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x-fs\kabudata\月報\geppou\月報1\・HP用データ\HP用相場表-データ\ETF相場表作成\"/>
    </mc:Choice>
  </mc:AlternateContent>
  <xr:revisionPtr revIDLastSave="0" documentId="13_ncr:1_{59E50E80-B94D-4224-BCC8-B1F935C98148}" xr6:coauthVersionLast="47" xr6:coauthVersionMax="47" xr10:uidLastSave="{00000000-0000-0000-0000-000000000000}"/>
  <bookViews>
    <workbookView xWindow="825" yWindow="-120" windowWidth="22335" windowHeight="13200" xr2:uid="{83A47E7C-9A24-47D3-BB6F-FB29FB92B0E2}"/>
  </bookViews>
  <sheets>
    <sheet name="2024.03" sheetId="40" r:id="rId1"/>
    <sheet name="2024.02" sheetId="38" r:id="rId2"/>
    <sheet name="2024.01" sheetId="37" r:id="rId3"/>
  </sheets>
  <definedNames>
    <definedName name="_xlnm.Print_Titles" localSheetId="2">'2024.01'!$1:$6</definedName>
    <definedName name="_xlnm.Print_Titles" localSheetId="1">'2024.02'!$1:$6</definedName>
    <definedName name="_xlnm.Print_Titles" localSheetId="0">'2024.03'!$1:$6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0" l="1"/>
  <c r="M7" i="40"/>
  <c r="O7" i="40"/>
  <c r="Q7" i="40"/>
  <c r="S7" i="40"/>
  <c r="T7" i="40"/>
  <c r="U7" i="40"/>
  <c r="V7" i="40"/>
  <c r="W7" i="40"/>
  <c r="X7" i="40"/>
  <c r="K8" i="40"/>
  <c r="M8" i="40"/>
  <c r="O8" i="40"/>
  <c r="Q8" i="40"/>
  <c r="S8" i="40"/>
  <c r="T8" i="40"/>
  <c r="U8" i="40"/>
  <c r="V8" i="40"/>
  <c r="W8" i="40"/>
  <c r="X8" i="40"/>
  <c r="K9" i="40"/>
  <c r="M9" i="40"/>
  <c r="O9" i="40"/>
  <c r="Q9" i="40"/>
  <c r="S9" i="40"/>
  <c r="T9" i="40"/>
  <c r="U9" i="40"/>
  <c r="V9" i="40"/>
  <c r="W9" i="40"/>
  <c r="X9" i="40"/>
  <c r="K10" i="40"/>
  <c r="M10" i="40"/>
  <c r="O10" i="40"/>
  <c r="Q10" i="40"/>
  <c r="S10" i="40"/>
  <c r="T10" i="40"/>
  <c r="U10" i="40"/>
  <c r="V10" i="40"/>
  <c r="W10" i="40"/>
  <c r="X10" i="40"/>
  <c r="K11" i="40"/>
  <c r="M11" i="40"/>
  <c r="O11" i="40"/>
  <c r="Q11" i="40"/>
  <c r="S11" i="40"/>
  <c r="T11" i="40"/>
  <c r="U11" i="40"/>
  <c r="V11" i="40"/>
  <c r="W11" i="40"/>
  <c r="X11" i="40"/>
  <c r="K12" i="40"/>
  <c r="M12" i="40"/>
  <c r="O12" i="40"/>
  <c r="Q12" i="40"/>
  <c r="S12" i="40"/>
  <c r="T12" i="40"/>
  <c r="U12" i="40"/>
  <c r="V12" i="40"/>
  <c r="W12" i="40"/>
  <c r="X12" i="40"/>
  <c r="K13" i="40"/>
  <c r="M13" i="40"/>
  <c r="O13" i="40"/>
  <c r="Q13" i="40"/>
  <c r="S13" i="40"/>
  <c r="T13" i="40"/>
  <c r="U13" i="40"/>
  <c r="V13" i="40"/>
  <c r="W13" i="40"/>
  <c r="X13" i="40"/>
  <c r="K14" i="40"/>
  <c r="M14" i="40"/>
  <c r="O14" i="40"/>
  <c r="Q14" i="40"/>
  <c r="S14" i="40"/>
  <c r="T14" i="40"/>
  <c r="U14" i="40"/>
  <c r="V14" i="40"/>
  <c r="W14" i="40"/>
  <c r="X14" i="40"/>
  <c r="K15" i="40"/>
  <c r="M15" i="40"/>
  <c r="O15" i="40"/>
  <c r="Q15" i="40"/>
  <c r="S15" i="40"/>
  <c r="T15" i="40"/>
  <c r="U15" i="40"/>
  <c r="V15" i="40"/>
  <c r="W15" i="40"/>
  <c r="X15" i="40"/>
  <c r="K16" i="40"/>
  <c r="M16" i="40"/>
  <c r="O16" i="40"/>
  <c r="Q16" i="40"/>
  <c r="S16" i="40"/>
  <c r="T16" i="40"/>
  <c r="U16" i="40"/>
  <c r="V16" i="40"/>
  <c r="W16" i="40"/>
  <c r="X16" i="40"/>
  <c r="K17" i="40"/>
  <c r="M17" i="40"/>
  <c r="O17" i="40"/>
  <c r="Q17" i="40"/>
  <c r="S17" i="40"/>
  <c r="T17" i="40"/>
  <c r="U17" i="40"/>
  <c r="V17" i="40"/>
  <c r="W17" i="40"/>
  <c r="X17" i="40"/>
  <c r="K18" i="40"/>
  <c r="M18" i="40"/>
  <c r="O18" i="40"/>
  <c r="Q18" i="40"/>
  <c r="S18" i="40"/>
  <c r="T18" i="40"/>
  <c r="U18" i="40"/>
  <c r="V18" i="40"/>
  <c r="W18" i="40"/>
  <c r="X18" i="40"/>
  <c r="K19" i="40"/>
  <c r="M19" i="40"/>
  <c r="O19" i="40"/>
  <c r="Q19" i="40"/>
  <c r="S19" i="40"/>
  <c r="T19" i="40"/>
  <c r="U19" i="40"/>
  <c r="V19" i="40"/>
  <c r="W19" i="40"/>
  <c r="X19" i="40"/>
  <c r="K20" i="40"/>
  <c r="M20" i="40"/>
  <c r="O20" i="40"/>
  <c r="Q20" i="40"/>
  <c r="S20" i="40"/>
  <c r="T20" i="40"/>
  <c r="U20" i="40"/>
  <c r="V20" i="40"/>
  <c r="W20" i="40"/>
  <c r="X20" i="40"/>
  <c r="K21" i="40"/>
  <c r="M21" i="40"/>
  <c r="O21" i="40"/>
  <c r="Q21" i="40"/>
  <c r="S21" i="40"/>
  <c r="T21" i="40"/>
  <c r="U21" i="40"/>
  <c r="V21" i="40"/>
  <c r="W21" i="40"/>
  <c r="X21" i="40"/>
  <c r="K22" i="40"/>
  <c r="M22" i="40"/>
  <c r="O22" i="40"/>
  <c r="Q22" i="40"/>
  <c r="S22" i="40"/>
  <c r="T22" i="40"/>
  <c r="U22" i="40"/>
  <c r="V22" i="40"/>
  <c r="W22" i="40"/>
  <c r="X22" i="40"/>
  <c r="K23" i="40"/>
  <c r="M23" i="40"/>
  <c r="O23" i="40"/>
  <c r="Q23" i="40"/>
  <c r="S23" i="40"/>
  <c r="T23" i="40"/>
  <c r="U23" i="40"/>
  <c r="V23" i="40"/>
  <c r="W23" i="40"/>
  <c r="X23" i="40"/>
  <c r="K24" i="40"/>
  <c r="M24" i="40"/>
  <c r="O24" i="40"/>
  <c r="Q24" i="40"/>
  <c r="S24" i="40"/>
  <c r="T24" i="40"/>
  <c r="U24" i="40"/>
  <c r="V24" i="40"/>
  <c r="W24" i="40"/>
  <c r="X24" i="40"/>
  <c r="K25" i="40"/>
  <c r="M25" i="40"/>
  <c r="O25" i="40"/>
  <c r="Q25" i="40"/>
  <c r="S25" i="40"/>
  <c r="T25" i="40"/>
  <c r="U25" i="40"/>
  <c r="V25" i="40"/>
  <c r="W25" i="40"/>
  <c r="X25" i="40"/>
  <c r="K26" i="40"/>
  <c r="M26" i="40"/>
  <c r="O26" i="40"/>
  <c r="Q26" i="40"/>
  <c r="S26" i="40"/>
  <c r="T26" i="40"/>
  <c r="U26" i="40"/>
  <c r="V26" i="40"/>
  <c r="W26" i="40"/>
  <c r="X26" i="40"/>
  <c r="K27" i="40"/>
  <c r="M27" i="40"/>
  <c r="O27" i="40"/>
  <c r="Q27" i="40"/>
  <c r="S27" i="40"/>
  <c r="T27" i="40"/>
  <c r="U27" i="40"/>
  <c r="V27" i="40"/>
  <c r="W27" i="40"/>
  <c r="X27" i="40"/>
  <c r="K28" i="40"/>
  <c r="M28" i="40"/>
  <c r="O28" i="40"/>
  <c r="Q28" i="40"/>
  <c r="S28" i="40"/>
  <c r="T28" i="40"/>
  <c r="U28" i="40"/>
  <c r="V28" i="40"/>
  <c r="W28" i="40"/>
  <c r="X28" i="40"/>
  <c r="K29" i="40"/>
  <c r="M29" i="40"/>
  <c r="O29" i="40"/>
  <c r="Q29" i="40"/>
  <c r="S29" i="40"/>
  <c r="T29" i="40"/>
  <c r="U29" i="40"/>
  <c r="V29" i="40"/>
  <c r="W29" i="40"/>
  <c r="X29" i="40"/>
  <c r="K30" i="40"/>
  <c r="M30" i="40"/>
  <c r="O30" i="40"/>
  <c r="Q30" i="40"/>
  <c r="S30" i="40"/>
  <c r="T30" i="40"/>
  <c r="U30" i="40"/>
  <c r="V30" i="40"/>
  <c r="W30" i="40"/>
  <c r="X30" i="40"/>
  <c r="K31" i="40"/>
  <c r="M31" i="40"/>
  <c r="O31" i="40"/>
  <c r="Q31" i="40"/>
  <c r="S31" i="40"/>
  <c r="T31" i="40"/>
  <c r="U31" i="40"/>
  <c r="V31" i="40"/>
  <c r="W31" i="40"/>
  <c r="X31" i="40"/>
  <c r="K32" i="40"/>
  <c r="M32" i="40"/>
  <c r="O32" i="40"/>
  <c r="Q32" i="40"/>
  <c r="S32" i="40"/>
  <c r="T32" i="40"/>
  <c r="U32" i="40"/>
  <c r="V32" i="40"/>
  <c r="W32" i="40"/>
  <c r="X32" i="40"/>
  <c r="K33" i="40"/>
  <c r="M33" i="40"/>
  <c r="O33" i="40"/>
  <c r="Q33" i="40"/>
  <c r="S33" i="40"/>
  <c r="T33" i="40"/>
  <c r="U33" i="40"/>
  <c r="V33" i="40"/>
  <c r="W33" i="40"/>
  <c r="X33" i="40"/>
  <c r="K34" i="40"/>
  <c r="M34" i="40"/>
  <c r="O34" i="40"/>
  <c r="Q34" i="40"/>
  <c r="S34" i="40"/>
  <c r="T34" i="40"/>
  <c r="U34" i="40"/>
  <c r="V34" i="40"/>
  <c r="W34" i="40"/>
  <c r="X34" i="40"/>
  <c r="K35" i="40"/>
  <c r="M35" i="40"/>
  <c r="O35" i="40"/>
  <c r="Q35" i="40"/>
  <c r="S35" i="40"/>
  <c r="T35" i="40"/>
  <c r="U35" i="40"/>
  <c r="V35" i="40"/>
  <c r="W35" i="40"/>
  <c r="X35" i="40"/>
  <c r="K36" i="40"/>
  <c r="M36" i="40"/>
  <c r="O36" i="40"/>
  <c r="Q36" i="40"/>
  <c r="S36" i="40"/>
  <c r="T36" i="40"/>
  <c r="U36" i="40"/>
  <c r="V36" i="40"/>
  <c r="W36" i="40"/>
  <c r="X36" i="40"/>
  <c r="K37" i="40"/>
  <c r="M37" i="40"/>
  <c r="O37" i="40"/>
  <c r="Q37" i="40"/>
  <c r="S37" i="40"/>
  <c r="T37" i="40"/>
  <c r="U37" i="40"/>
  <c r="V37" i="40"/>
  <c r="W37" i="40"/>
  <c r="X37" i="40"/>
  <c r="K38" i="40"/>
  <c r="M38" i="40"/>
  <c r="O38" i="40"/>
  <c r="Q38" i="40"/>
  <c r="S38" i="40"/>
  <c r="T38" i="40"/>
  <c r="U38" i="40"/>
  <c r="V38" i="40"/>
  <c r="W38" i="40"/>
  <c r="X38" i="40"/>
  <c r="K39" i="40"/>
  <c r="M39" i="40"/>
  <c r="O39" i="40"/>
  <c r="Q39" i="40"/>
  <c r="S39" i="40"/>
  <c r="T39" i="40"/>
  <c r="U39" i="40"/>
  <c r="V39" i="40"/>
  <c r="W39" i="40"/>
  <c r="X39" i="40"/>
  <c r="K40" i="40"/>
  <c r="M40" i="40"/>
  <c r="O40" i="40"/>
  <c r="Q40" i="40"/>
  <c r="S40" i="40"/>
  <c r="T40" i="40"/>
  <c r="U40" i="40"/>
  <c r="V40" i="40"/>
  <c r="W40" i="40"/>
  <c r="X40" i="40"/>
  <c r="K41" i="40"/>
  <c r="M41" i="40"/>
  <c r="O41" i="40"/>
  <c r="Q41" i="40"/>
  <c r="S41" i="40"/>
  <c r="T41" i="40"/>
  <c r="U41" i="40"/>
  <c r="V41" i="40"/>
  <c r="W41" i="40"/>
  <c r="X41" i="40"/>
  <c r="K42" i="40"/>
  <c r="M42" i="40"/>
  <c r="O42" i="40"/>
  <c r="Q42" i="40"/>
  <c r="S42" i="40"/>
  <c r="T42" i="40"/>
  <c r="U42" i="40"/>
  <c r="V42" i="40"/>
  <c r="W42" i="40"/>
  <c r="X42" i="40"/>
  <c r="K43" i="40"/>
  <c r="M43" i="40"/>
  <c r="O43" i="40"/>
  <c r="Q43" i="40"/>
  <c r="S43" i="40"/>
  <c r="T43" i="40"/>
  <c r="U43" i="40"/>
  <c r="V43" i="40"/>
  <c r="W43" i="40"/>
  <c r="X43" i="40"/>
  <c r="K44" i="40"/>
  <c r="M44" i="40"/>
  <c r="O44" i="40"/>
  <c r="Q44" i="40"/>
  <c r="S44" i="40"/>
  <c r="T44" i="40"/>
  <c r="U44" i="40"/>
  <c r="V44" i="40"/>
  <c r="W44" i="40"/>
  <c r="X44" i="40"/>
  <c r="K45" i="40"/>
  <c r="M45" i="40"/>
  <c r="O45" i="40"/>
  <c r="Q45" i="40"/>
  <c r="S45" i="40"/>
  <c r="T45" i="40"/>
  <c r="U45" i="40"/>
  <c r="V45" i="40"/>
  <c r="W45" i="40"/>
  <c r="X45" i="40"/>
  <c r="K46" i="40"/>
  <c r="M46" i="40"/>
  <c r="O46" i="40"/>
  <c r="Q46" i="40"/>
  <c r="S46" i="40"/>
  <c r="T46" i="40"/>
  <c r="U46" i="40"/>
  <c r="V46" i="40"/>
  <c r="W46" i="40"/>
  <c r="X46" i="40"/>
  <c r="K47" i="40"/>
  <c r="M47" i="40"/>
  <c r="O47" i="40"/>
  <c r="Q47" i="40"/>
  <c r="S47" i="40"/>
  <c r="T47" i="40"/>
  <c r="U47" i="40"/>
  <c r="V47" i="40"/>
  <c r="W47" i="40"/>
  <c r="X47" i="40"/>
  <c r="K48" i="40"/>
  <c r="M48" i="40"/>
  <c r="O48" i="40"/>
  <c r="Q48" i="40"/>
  <c r="S48" i="40"/>
  <c r="T48" i="40"/>
  <c r="U48" i="40"/>
  <c r="V48" i="40"/>
  <c r="W48" i="40"/>
  <c r="X48" i="40"/>
  <c r="K49" i="40"/>
  <c r="M49" i="40"/>
  <c r="O49" i="40"/>
  <c r="Q49" i="40"/>
  <c r="S49" i="40"/>
  <c r="T49" i="40"/>
  <c r="U49" i="40"/>
  <c r="V49" i="40"/>
  <c r="W49" i="40"/>
  <c r="X49" i="40"/>
  <c r="K50" i="40"/>
  <c r="M50" i="40"/>
  <c r="O50" i="40"/>
  <c r="Q50" i="40"/>
  <c r="S50" i="40"/>
  <c r="T50" i="40"/>
  <c r="U50" i="40"/>
  <c r="V50" i="40"/>
  <c r="W50" i="40"/>
  <c r="X50" i="40"/>
  <c r="K51" i="40"/>
  <c r="M51" i="40"/>
  <c r="O51" i="40"/>
  <c r="Q51" i="40"/>
  <c r="S51" i="40"/>
  <c r="T51" i="40"/>
  <c r="U51" i="40"/>
  <c r="V51" i="40"/>
  <c r="W51" i="40"/>
  <c r="X51" i="40"/>
  <c r="K52" i="40"/>
  <c r="M52" i="40"/>
  <c r="O52" i="40"/>
  <c r="Q52" i="40"/>
  <c r="S52" i="40"/>
  <c r="T52" i="40"/>
  <c r="U52" i="40"/>
  <c r="V52" i="40"/>
  <c r="W52" i="40"/>
  <c r="X52" i="40"/>
  <c r="K53" i="40"/>
  <c r="M53" i="40"/>
  <c r="O53" i="40"/>
  <c r="Q53" i="40"/>
  <c r="S53" i="40"/>
  <c r="T53" i="40"/>
  <c r="U53" i="40"/>
  <c r="V53" i="40"/>
  <c r="W53" i="40"/>
  <c r="X53" i="40"/>
  <c r="K54" i="40"/>
  <c r="M54" i="40"/>
  <c r="O54" i="40"/>
  <c r="Q54" i="40"/>
  <c r="S54" i="40"/>
  <c r="T54" i="40"/>
  <c r="U54" i="40"/>
  <c r="V54" i="40"/>
  <c r="W54" i="40"/>
  <c r="X54" i="40"/>
  <c r="K55" i="40"/>
  <c r="M55" i="40"/>
  <c r="O55" i="40"/>
  <c r="Q55" i="40"/>
  <c r="S55" i="40"/>
  <c r="T55" i="40"/>
  <c r="U55" i="40"/>
  <c r="V55" i="40"/>
  <c r="W55" i="40"/>
  <c r="X55" i="40"/>
  <c r="K56" i="40"/>
  <c r="M56" i="40"/>
  <c r="O56" i="40"/>
  <c r="Q56" i="40"/>
  <c r="S56" i="40"/>
  <c r="T56" i="40"/>
  <c r="U56" i="40"/>
  <c r="V56" i="40"/>
  <c r="W56" i="40"/>
  <c r="X56" i="40"/>
  <c r="K57" i="40"/>
  <c r="M57" i="40"/>
  <c r="O57" i="40"/>
  <c r="Q57" i="40"/>
  <c r="S57" i="40"/>
  <c r="T57" i="40"/>
  <c r="U57" i="40"/>
  <c r="V57" i="40"/>
  <c r="W57" i="40"/>
  <c r="X57" i="40"/>
  <c r="K58" i="40"/>
  <c r="M58" i="40"/>
  <c r="O58" i="40"/>
  <c r="Q58" i="40"/>
  <c r="S58" i="40"/>
  <c r="T58" i="40"/>
  <c r="U58" i="40"/>
  <c r="V58" i="40"/>
  <c r="W58" i="40"/>
  <c r="X58" i="40"/>
  <c r="K59" i="40"/>
  <c r="M59" i="40"/>
  <c r="O59" i="40"/>
  <c r="Q59" i="40"/>
  <c r="S59" i="40"/>
  <c r="T59" i="40"/>
  <c r="U59" i="40"/>
  <c r="V59" i="40"/>
  <c r="W59" i="40"/>
  <c r="X59" i="40"/>
  <c r="K60" i="40"/>
  <c r="M60" i="40"/>
  <c r="O60" i="40"/>
  <c r="Q60" i="40"/>
  <c r="S60" i="40"/>
  <c r="T60" i="40"/>
  <c r="U60" i="40"/>
  <c r="V60" i="40"/>
  <c r="W60" i="40"/>
  <c r="X60" i="40"/>
  <c r="K61" i="40"/>
  <c r="M61" i="40"/>
  <c r="O61" i="40"/>
  <c r="Q61" i="40"/>
  <c r="S61" i="40"/>
  <c r="T61" i="40"/>
  <c r="U61" i="40"/>
  <c r="V61" i="40"/>
  <c r="W61" i="40"/>
  <c r="X61" i="40"/>
  <c r="K62" i="40"/>
  <c r="M62" i="40"/>
  <c r="O62" i="40"/>
  <c r="Q62" i="40"/>
  <c r="S62" i="40"/>
  <c r="T62" i="40"/>
  <c r="U62" i="40"/>
  <c r="V62" i="40"/>
  <c r="W62" i="40"/>
  <c r="X62" i="40"/>
  <c r="K63" i="40"/>
  <c r="M63" i="40"/>
  <c r="O63" i="40"/>
  <c r="Q63" i="40"/>
  <c r="S63" i="40"/>
  <c r="T63" i="40"/>
  <c r="U63" i="40"/>
  <c r="V63" i="40"/>
  <c r="W63" i="40"/>
  <c r="X63" i="40"/>
  <c r="K64" i="40"/>
  <c r="M64" i="40"/>
  <c r="O64" i="40"/>
  <c r="Q64" i="40"/>
  <c r="S64" i="40"/>
  <c r="T64" i="40"/>
  <c r="U64" i="40"/>
  <c r="V64" i="40"/>
  <c r="W64" i="40"/>
  <c r="X64" i="40"/>
  <c r="K65" i="40"/>
  <c r="M65" i="40"/>
  <c r="O65" i="40"/>
  <c r="Q65" i="40"/>
  <c r="S65" i="40"/>
  <c r="T65" i="40"/>
  <c r="U65" i="40"/>
  <c r="V65" i="40"/>
  <c r="W65" i="40"/>
  <c r="X65" i="40"/>
  <c r="K66" i="40"/>
  <c r="M66" i="40"/>
  <c r="O66" i="40"/>
  <c r="Q66" i="40"/>
  <c r="S66" i="40"/>
  <c r="T66" i="40"/>
  <c r="U66" i="40"/>
  <c r="V66" i="40"/>
  <c r="W66" i="40"/>
  <c r="X66" i="40"/>
  <c r="K67" i="40"/>
  <c r="M67" i="40"/>
  <c r="O67" i="40"/>
  <c r="Q67" i="40"/>
  <c r="S67" i="40"/>
  <c r="T67" i="40"/>
  <c r="U67" i="40"/>
  <c r="V67" i="40"/>
  <c r="W67" i="40"/>
  <c r="X67" i="40"/>
  <c r="K68" i="40"/>
  <c r="M68" i="40"/>
  <c r="O68" i="40"/>
  <c r="Q68" i="40"/>
  <c r="S68" i="40"/>
  <c r="T68" i="40"/>
  <c r="U68" i="40"/>
  <c r="V68" i="40"/>
  <c r="W68" i="40"/>
  <c r="X68" i="40"/>
  <c r="K69" i="40"/>
  <c r="M69" i="40"/>
  <c r="O69" i="40"/>
  <c r="Q69" i="40"/>
  <c r="S69" i="40"/>
  <c r="T69" i="40"/>
  <c r="U69" i="40"/>
  <c r="V69" i="40"/>
  <c r="W69" i="40"/>
  <c r="X69" i="40"/>
  <c r="K70" i="40"/>
  <c r="M70" i="40"/>
  <c r="O70" i="40"/>
  <c r="Q70" i="40"/>
  <c r="S70" i="40"/>
  <c r="T70" i="40"/>
  <c r="U70" i="40"/>
  <c r="V70" i="40"/>
  <c r="W70" i="40"/>
  <c r="X70" i="40"/>
  <c r="K71" i="40"/>
  <c r="M71" i="40"/>
  <c r="O71" i="40"/>
  <c r="Q71" i="40"/>
  <c r="S71" i="40"/>
  <c r="T71" i="40"/>
  <c r="U71" i="40"/>
  <c r="V71" i="40"/>
  <c r="W71" i="40"/>
  <c r="X71" i="40"/>
  <c r="K72" i="40"/>
  <c r="M72" i="40"/>
  <c r="O72" i="40"/>
  <c r="Q72" i="40"/>
  <c r="S72" i="40"/>
  <c r="T72" i="40"/>
  <c r="U72" i="40"/>
  <c r="V72" i="40"/>
  <c r="W72" i="40"/>
  <c r="X72" i="40"/>
  <c r="K73" i="40"/>
  <c r="M73" i="40"/>
  <c r="O73" i="40"/>
  <c r="Q73" i="40"/>
  <c r="S73" i="40"/>
  <c r="T73" i="40"/>
  <c r="U73" i="40"/>
  <c r="V73" i="40"/>
  <c r="W73" i="40"/>
  <c r="X73" i="40"/>
  <c r="K74" i="40"/>
  <c r="M74" i="40"/>
  <c r="O74" i="40"/>
  <c r="Q74" i="40"/>
  <c r="S74" i="40"/>
  <c r="T74" i="40"/>
  <c r="U74" i="40"/>
  <c r="V74" i="40"/>
  <c r="W74" i="40"/>
  <c r="X74" i="40"/>
  <c r="K75" i="40"/>
  <c r="M75" i="40"/>
  <c r="O75" i="40"/>
  <c r="Q75" i="40"/>
  <c r="S75" i="40"/>
  <c r="T75" i="40"/>
  <c r="U75" i="40"/>
  <c r="V75" i="40"/>
  <c r="W75" i="40"/>
  <c r="X75" i="40"/>
  <c r="K76" i="40"/>
  <c r="M76" i="40"/>
  <c r="O76" i="40"/>
  <c r="Q76" i="40"/>
  <c r="S76" i="40"/>
  <c r="T76" i="40"/>
  <c r="U76" i="40"/>
  <c r="V76" i="40"/>
  <c r="W76" i="40"/>
  <c r="X76" i="40"/>
  <c r="K77" i="40"/>
  <c r="M77" i="40"/>
  <c r="O77" i="40"/>
  <c r="Q77" i="40"/>
  <c r="S77" i="40"/>
  <c r="T77" i="40"/>
  <c r="U77" i="40"/>
  <c r="V77" i="40"/>
  <c r="W77" i="40"/>
  <c r="X77" i="40"/>
  <c r="K78" i="40"/>
  <c r="M78" i="40"/>
  <c r="O78" i="40"/>
  <c r="Q78" i="40"/>
  <c r="S78" i="40"/>
  <c r="T78" i="40"/>
  <c r="U78" i="40"/>
  <c r="V78" i="40"/>
  <c r="W78" i="40"/>
  <c r="X78" i="40"/>
  <c r="K79" i="40"/>
  <c r="M79" i="40"/>
  <c r="O79" i="40"/>
  <c r="Q79" i="40"/>
  <c r="S79" i="40"/>
  <c r="T79" i="40"/>
  <c r="U79" i="40"/>
  <c r="V79" i="40"/>
  <c r="W79" i="40"/>
  <c r="X79" i="40"/>
  <c r="K80" i="40"/>
  <c r="M80" i="40"/>
  <c r="O80" i="40"/>
  <c r="Q80" i="40"/>
  <c r="S80" i="40"/>
  <c r="T80" i="40"/>
  <c r="U80" i="40"/>
  <c r="V80" i="40"/>
  <c r="W80" i="40"/>
  <c r="X80" i="40"/>
  <c r="K81" i="40"/>
  <c r="M81" i="40"/>
  <c r="O81" i="40"/>
  <c r="Q81" i="40"/>
  <c r="S81" i="40"/>
  <c r="T81" i="40"/>
  <c r="U81" i="40"/>
  <c r="V81" i="40"/>
  <c r="W81" i="40"/>
  <c r="X81" i="40"/>
  <c r="K82" i="40"/>
  <c r="M82" i="40"/>
  <c r="O82" i="40"/>
  <c r="Q82" i="40"/>
  <c r="S82" i="40"/>
  <c r="T82" i="40"/>
  <c r="U82" i="40"/>
  <c r="V82" i="40"/>
  <c r="W82" i="40"/>
  <c r="X82" i="40"/>
  <c r="K83" i="40"/>
  <c r="M83" i="40"/>
  <c r="O83" i="40"/>
  <c r="Q83" i="40"/>
  <c r="S83" i="40"/>
  <c r="T83" i="40"/>
  <c r="U83" i="40"/>
  <c r="V83" i="40"/>
  <c r="W83" i="40"/>
  <c r="X83" i="40"/>
  <c r="K84" i="40"/>
  <c r="M84" i="40"/>
  <c r="O84" i="40"/>
  <c r="Q84" i="40"/>
  <c r="S84" i="40"/>
  <c r="T84" i="40"/>
  <c r="U84" i="40"/>
  <c r="V84" i="40"/>
  <c r="W84" i="40"/>
  <c r="X84" i="40"/>
  <c r="K85" i="40"/>
  <c r="M85" i="40"/>
  <c r="O85" i="40"/>
  <c r="Q85" i="40"/>
  <c r="S85" i="40"/>
  <c r="T85" i="40"/>
  <c r="U85" i="40"/>
  <c r="V85" i="40"/>
  <c r="W85" i="40"/>
  <c r="X85" i="40"/>
  <c r="K86" i="40"/>
  <c r="M86" i="40"/>
  <c r="O86" i="40"/>
  <c r="Q86" i="40"/>
  <c r="S86" i="40"/>
  <c r="T86" i="40"/>
  <c r="U86" i="40"/>
  <c r="V86" i="40"/>
  <c r="W86" i="40"/>
  <c r="X86" i="40"/>
  <c r="K87" i="40"/>
  <c r="M87" i="40"/>
  <c r="O87" i="40"/>
  <c r="Q87" i="40"/>
  <c r="S87" i="40"/>
  <c r="T87" i="40"/>
  <c r="U87" i="40"/>
  <c r="V87" i="40"/>
  <c r="W87" i="40"/>
  <c r="X87" i="40"/>
  <c r="K88" i="40"/>
  <c r="M88" i="40"/>
  <c r="O88" i="40"/>
  <c r="Q88" i="40"/>
  <c r="S88" i="40"/>
  <c r="T88" i="40"/>
  <c r="U88" i="40"/>
  <c r="V88" i="40"/>
  <c r="W88" i="40"/>
  <c r="X88" i="40"/>
  <c r="K89" i="40"/>
  <c r="M89" i="40"/>
  <c r="O89" i="40"/>
  <c r="Q89" i="40"/>
  <c r="S89" i="40"/>
  <c r="T89" i="40"/>
  <c r="U89" i="40"/>
  <c r="V89" i="40"/>
  <c r="W89" i="40"/>
  <c r="X89" i="40"/>
  <c r="K90" i="40"/>
  <c r="M90" i="40"/>
  <c r="O90" i="40"/>
  <c r="Q90" i="40"/>
  <c r="S90" i="40"/>
  <c r="T90" i="40"/>
  <c r="U90" i="40"/>
  <c r="V90" i="40"/>
  <c r="W90" i="40"/>
  <c r="X90" i="40"/>
  <c r="K91" i="40"/>
  <c r="M91" i="40"/>
  <c r="O91" i="40"/>
  <c r="Q91" i="40"/>
  <c r="S91" i="40"/>
  <c r="T91" i="40"/>
  <c r="U91" i="40"/>
  <c r="V91" i="40"/>
  <c r="W91" i="40"/>
  <c r="X91" i="40"/>
  <c r="K92" i="40"/>
  <c r="M92" i="40"/>
  <c r="O92" i="40"/>
  <c r="Q92" i="40"/>
  <c r="S92" i="40"/>
  <c r="T92" i="40"/>
  <c r="U92" i="40"/>
  <c r="V92" i="40"/>
  <c r="W92" i="40"/>
  <c r="X92" i="40"/>
  <c r="K93" i="40"/>
  <c r="M93" i="40"/>
  <c r="O93" i="40"/>
  <c r="Q93" i="40"/>
  <c r="S93" i="40"/>
  <c r="T93" i="40"/>
  <c r="U93" i="40"/>
  <c r="V93" i="40"/>
  <c r="W93" i="40"/>
  <c r="X93" i="40"/>
  <c r="K94" i="40"/>
  <c r="M94" i="40"/>
  <c r="O94" i="40"/>
  <c r="Q94" i="40"/>
  <c r="S94" i="40"/>
  <c r="T94" i="40"/>
  <c r="U94" i="40"/>
  <c r="V94" i="40"/>
  <c r="W94" i="40"/>
  <c r="X94" i="40"/>
  <c r="K95" i="40"/>
  <c r="M95" i="40"/>
  <c r="O95" i="40"/>
  <c r="Q95" i="40"/>
  <c r="S95" i="40"/>
  <c r="T95" i="40"/>
  <c r="U95" i="40"/>
  <c r="V95" i="40"/>
  <c r="W95" i="40"/>
  <c r="X95" i="40"/>
  <c r="K96" i="40"/>
  <c r="M96" i="40"/>
  <c r="O96" i="40"/>
  <c r="Q96" i="40"/>
  <c r="S96" i="40"/>
  <c r="T96" i="40"/>
  <c r="U96" i="40"/>
  <c r="V96" i="40"/>
  <c r="W96" i="40"/>
  <c r="X96" i="40"/>
  <c r="K97" i="40"/>
  <c r="M97" i="40"/>
  <c r="O97" i="40"/>
  <c r="Q97" i="40"/>
  <c r="S97" i="40"/>
  <c r="T97" i="40"/>
  <c r="U97" i="40"/>
  <c r="V97" i="40"/>
  <c r="W97" i="40"/>
  <c r="X97" i="40"/>
  <c r="K98" i="40"/>
  <c r="M98" i="40"/>
  <c r="O98" i="40"/>
  <c r="Q98" i="40"/>
  <c r="S98" i="40"/>
  <c r="T98" i="40"/>
  <c r="U98" i="40"/>
  <c r="V98" i="40"/>
  <c r="W98" i="40"/>
  <c r="X98" i="40"/>
  <c r="K99" i="40"/>
  <c r="M99" i="40"/>
  <c r="O99" i="40"/>
  <c r="Q99" i="40"/>
  <c r="S99" i="40"/>
  <c r="T99" i="40"/>
  <c r="U99" i="40"/>
  <c r="V99" i="40"/>
  <c r="W99" i="40"/>
  <c r="X99" i="40"/>
  <c r="K100" i="40"/>
  <c r="M100" i="40"/>
  <c r="O100" i="40"/>
  <c r="Q100" i="40"/>
  <c r="S100" i="40"/>
  <c r="T100" i="40"/>
  <c r="U100" i="40"/>
  <c r="V100" i="40"/>
  <c r="W100" i="40"/>
  <c r="X100" i="40"/>
  <c r="K101" i="40"/>
  <c r="M101" i="40"/>
  <c r="O101" i="40"/>
  <c r="Q101" i="40"/>
  <c r="S101" i="40"/>
  <c r="T101" i="40"/>
  <c r="U101" i="40"/>
  <c r="V101" i="40"/>
  <c r="W101" i="40"/>
  <c r="X101" i="40"/>
  <c r="K102" i="40"/>
  <c r="M102" i="40"/>
  <c r="O102" i="40"/>
  <c r="Q102" i="40"/>
  <c r="S102" i="40"/>
  <c r="T102" i="40"/>
  <c r="U102" i="40"/>
  <c r="V102" i="40"/>
  <c r="W102" i="40"/>
  <c r="X102" i="40"/>
  <c r="K103" i="40"/>
  <c r="M103" i="40"/>
  <c r="O103" i="40"/>
  <c r="Q103" i="40"/>
  <c r="S103" i="40"/>
  <c r="T103" i="40"/>
  <c r="U103" i="40"/>
  <c r="V103" i="40"/>
  <c r="W103" i="40"/>
  <c r="X103" i="40"/>
  <c r="K104" i="40"/>
  <c r="M104" i="40"/>
  <c r="O104" i="40"/>
  <c r="Q104" i="40"/>
  <c r="S104" i="40"/>
  <c r="T104" i="40"/>
  <c r="U104" i="40"/>
  <c r="V104" i="40"/>
  <c r="W104" i="40"/>
  <c r="X104" i="40"/>
  <c r="K105" i="40"/>
  <c r="M105" i="40"/>
  <c r="O105" i="40"/>
  <c r="Q105" i="40"/>
  <c r="S105" i="40"/>
  <c r="T105" i="40"/>
  <c r="U105" i="40"/>
  <c r="V105" i="40"/>
  <c r="W105" i="40"/>
  <c r="X105" i="40"/>
  <c r="K106" i="40"/>
  <c r="M106" i="40"/>
  <c r="O106" i="40"/>
  <c r="Q106" i="40"/>
  <c r="S106" i="40"/>
  <c r="T106" i="40"/>
  <c r="U106" i="40"/>
  <c r="V106" i="40"/>
  <c r="W106" i="40"/>
  <c r="X106" i="40"/>
  <c r="K107" i="40"/>
  <c r="M107" i="40"/>
  <c r="O107" i="40"/>
  <c r="Q107" i="40"/>
  <c r="S107" i="40"/>
  <c r="T107" i="40"/>
  <c r="U107" i="40"/>
  <c r="V107" i="40"/>
  <c r="W107" i="40"/>
  <c r="X107" i="40"/>
  <c r="K108" i="40"/>
  <c r="M108" i="40"/>
  <c r="O108" i="40"/>
  <c r="Q108" i="40"/>
  <c r="S108" i="40"/>
  <c r="T108" i="40"/>
  <c r="U108" i="40"/>
  <c r="V108" i="40"/>
  <c r="W108" i="40"/>
  <c r="X108" i="40"/>
  <c r="K109" i="40"/>
  <c r="M109" i="40"/>
  <c r="O109" i="40"/>
  <c r="Q109" i="40"/>
  <c r="S109" i="40"/>
  <c r="T109" i="40"/>
  <c r="U109" i="40"/>
  <c r="V109" i="40"/>
  <c r="W109" i="40"/>
  <c r="X109" i="40"/>
  <c r="K110" i="40"/>
  <c r="M110" i="40"/>
  <c r="O110" i="40"/>
  <c r="Q110" i="40"/>
  <c r="S110" i="40"/>
  <c r="T110" i="40"/>
  <c r="U110" i="40"/>
  <c r="V110" i="40"/>
  <c r="W110" i="40"/>
  <c r="X110" i="40"/>
  <c r="K111" i="40"/>
  <c r="M111" i="40"/>
  <c r="O111" i="40"/>
  <c r="Q111" i="40"/>
  <c r="S111" i="40"/>
  <c r="T111" i="40"/>
  <c r="U111" i="40"/>
  <c r="V111" i="40"/>
  <c r="W111" i="40"/>
  <c r="X111" i="40"/>
  <c r="K112" i="40"/>
  <c r="M112" i="40"/>
  <c r="O112" i="40"/>
  <c r="Q112" i="40"/>
  <c r="S112" i="40"/>
  <c r="T112" i="40"/>
  <c r="U112" i="40"/>
  <c r="V112" i="40"/>
  <c r="W112" i="40"/>
  <c r="X112" i="40"/>
  <c r="K113" i="40"/>
  <c r="M113" i="40"/>
  <c r="O113" i="40"/>
  <c r="Q113" i="40"/>
  <c r="S113" i="40"/>
  <c r="T113" i="40"/>
  <c r="U113" i="40"/>
  <c r="V113" i="40"/>
  <c r="W113" i="40"/>
  <c r="X113" i="40"/>
  <c r="K114" i="40"/>
  <c r="M114" i="40"/>
  <c r="O114" i="40"/>
  <c r="Q114" i="40"/>
  <c r="S114" i="40"/>
  <c r="T114" i="40"/>
  <c r="U114" i="40"/>
  <c r="V114" i="40"/>
  <c r="W114" i="40"/>
  <c r="X114" i="40"/>
  <c r="K115" i="40"/>
  <c r="M115" i="40"/>
  <c r="O115" i="40"/>
  <c r="Q115" i="40"/>
  <c r="S115" i="40"/>
  <c r="T115" i="40"/>
  <c r="U115" i="40"/>
  <c r="V115" i="40"/>
  <c r="W115" i="40"/>
  <c r="X115" i="40"/>
  <c r="K116" i="40"/>
  <c r="M116" i="40"/>
  <c r="O116" i="40"/>
  <c r="Q116" i="40"/>
  <c r="S116" i="40"/>
  <c r="T116" i="40"/>
  <c r="U116" i="40"/>
  <c r="V116" i="40"/>
  <c r="W116" i="40"/>
  <c r="X116" i="40"/>
  <c r="K117" i="40"/>
  <c r="M117" i="40"/>
  <c r="O117" i="40"/>
  <c r="Q117" i="40"/>
  <c r="S117" i="40"/>
  <c r="T117" i="40"/>
  <c r="U117" i="40"/>
  <c r="V117" i="40"/>
  <c r="W117" i="40"/>
  <c r="X117" i="40"/>
  <c r="K118" i="40"/>
  <c r="M118" i="40"/>
  <c r="O118" i="40"/>
  <c r="Q118" i="40"/>
  <c r="S118" i="40"/>
  <c r="T118" i="40"/>
  <c r="U118" i="40"/>
  <c r="V118" i="40"/>
  <c r="W118" i="40"/>
  <c r="X118" i="40"/>
  <c r="K119" i="40"/>
  <c r="M119" i="40"/>
  <c r="O119" i="40"/>
  <c r="Q119" i="40"/>
  <c r="S119" i="40"/>
  <c r="T119" i="40"/>
  <c r="U119" i="40"/>
  <c r="V119" i="40"/>
  <c r="W119" i="40"/>
  <c r="X119" i="40"/>
  <c r="K120" i="40"/>
  <c r="M120" i="40"/>
  <c r="O120" i="40"/>
  <c r="Q120" i="40"/>
  <c r="S120" i="40"/>
  <c r="T120" i="40"/>
  <c r="U120" i="40"/>
  <c r="V120" i="40"/>
  <c r="W120" i="40"/>
  <c r="X120" i="40"/>
  <c r="K121" i="40"/>
  <c r="M121" i="40"/>
  <c r="O121" i="40"/>
  <c r="Q121" i="40"/>
  <c r="S121" i="40"/>
  <c r="T121" i="40"/>
  <c r="U121" i="40"/>
  <c r="V121" i="40"/>
  <c r="W121" i="40"/>
  <c r="X121" i="40"/>
  <c r="K122" i="40"/>
  <c r="M122" i="40"/>
  <c r="O122" i="40"/>
  <c r="Q122" i="40"/>
  <c r="S122" i="40"/>
  <c r="T122" i="40"/>
  <c r="U122" i="40"/>
  <c r="V122" i="40"/>
  <c r="W122" i="40"/>
  <c r="X122" i="40"/>
  <c r="K123" i="40"/>
  <c r="M123" i="40"/>
  <c r="O123" i="40"/>
  <c r="Q123" i="40"/>
  <c r="S123" i="40"/>
  <c r="T123" i="40"/>
  <c r="U123" i="40"/>
  <c r="V123" i="40"/>
  <c r="W123" i="40"/>
  <c r="X123" i="40"/>
  <c r="K124" i="40"/>
  <c r="M124" i="40"/>
  <c r="O124" i="40"/>
  <c r="Q124" i="40"/>
  <c r="S124" i="40"/>
  <c r="T124" i="40"/>
  <c r="U124" i="40"/>
  <c r="V124" i="40"/>
  <c r="W124" i="40"/>
  <c r="X124" i="40"/>
  <c r="K125" i="40"/>
  <c r="M125" i="40"/>
  <c r="O125" i="40"/>
  <c r="Q125" i="40"/>
  <c r="S125" i="40"/>
  <c r="T125" i="40"/>
  <c r="U125" i="40"/>
  <c r="V125" i="40"/>
  <c r="W125" i="40"/>
  <c r="X125" i="40"/>
  <c r="K126" i="40"/>
  <c r="M126" i="40"/>
  <c r="O126" i="40"/>
  <c r="Q126" i="40"/>
  <c r="S126" i="40"/>
  <c r="T126" i="40"/>
  <c r="U126" i="40"/>
  <c r="V126" i="40"/>
  <c r="W126" i="40"/>
  <c r="X126" i="40"/>
  <c r="K127" i="40"/>
  <c r="M127" i="40"/>
  <c r="O127" i="40"/>
  <c r="Q127" i="40"/>
  <c r="S127" i="40"/>
  <c r="T127" i="40"/>
  <c r="U127" i="40"/>
  <c r="V127" i="40"/>
  <c r="W127" i="40"/>
  <c r="X127" i="40"/>
  <c r="K128" i="40"/>
  <c r="M128" i="40"/>
  <c r="O128" i="40"/>
  <c r="Q128" i="40"/>
  <c r="S128" i="40"/>
  <c r="T128" i="40"/>
  <c r="U128" i="40"/>
  <c r="V128" i="40"/>
  <c r="W128" i="40"/>
  <c r="X128" i="40"/>
  <c r="K129" i="40"/>
  <c r="M129" i="40"/>
  <c r="O129" i="40"/>
  <c r="Q129" i="40"/>
  <c r="S129" i="40"/>
  <c r="T129" i="40"/>
  <c r="U129" i="40"/>
  <c r="V129" i="40"/>
  <c r="W129" i="40"/>
  <c r="X129" i="40"/>
  <c r="K130" i="40"/>
  <c r="M130" i="40"/>
  <c r="O130" i="40"/>
  <c r="Q130" i="40"/>
  <c r="S130" i="40"/>
  <c r="T130" i="40"/>
  <c r="U130" i="40"/>
  <c r="V130" i="40"/>
  <c r="W130" i="40"/>
  <c r="X130" i="40"/>
  <c r="K131" i="40"/>
  <c r="M131" i="40"/>
  <c r="O131" i="40"/>
  <c r="Q131" i="40"/>
  <c r="S131" i="40"/>
  <c r="T131" i="40"/>
  <c r="U131" i="40"/>
  <c r="V131" i="40"/>
  <c r="W131" i="40"/>
  <c r="X131" i="40"/>
  <c r="K132" i="40"/>
  <c r="M132" i="40"/>
  <c r="O132" i="40"/>
  <c r="Q132" i="40"/>
  <c r="S132" i="40"/>
  <c r="T132" i="40"/>
  <c r="U132" i="40"/>
  <c r="V132" i="40"/>
  <c r="W132" i="40"/>
  <c r="X132" i="40"/>
  <c r="K133" i="40"/>
  <c r="M133" i="40"/>
  <c r="O133" i="40"/>
  <c r="Q133" i="40"/>
  <c r="S133" i="40"/>
  <c r="T133" i="40"/>
  <c r="U133" i="40"/>
  <c r="V133" i="40"/>
  <c r="W133" i="40"/>
  <c r="X133" i="40"/>
  <c r="K134" i="40"/>
  <c r="M134" i="40"/>
  <c r="O134" i="40"/>
  <c r="Q134" i="40"/>
  <c r="S134" i="40"/>
  <c r="T134" i="40"/>
  <c r="U134" i="40"/>
  <c r="V134" i="40"/>
  <c r="W134" i="40"/>
  <c r="X134" i="40"/>
  <c r="K135" i="40"/>
  <c r="M135" i="40"/>
  <c r="O135" i="40"/>
  <c r="Q135" i="40"/>
  <c r="S135" i="40"/>
  <c r="T135" i="40"/>
  <c r="U135" i="40"/>
  <c r="V135" i="40"/>
  <c r="W135" i="40"/>
  <c r="X135" i="40"/>
  <c r="K136" i="40"/>
  <c r="M136" i="40"/>
  <c r="O136" i="40"/>
  <c r="Q136" i="40"/>
  <c r="S136" i="40"/>
  <c r="T136" i="40"/>
  <c r="U136" i="40"/>
  <c r="V136" i="40"/>
  <c r="W136" i="40"/>
  <c r="X136" i="40"/>
  <c r="K137" i="40"/>
  <c r="M137" i="40"/>
  <c r="O137" i="40"/>
  <c r="Q137" i="40"/>
  <c r="S137" i="40"/>
  <c r="T137" i="40"/>
  <c r="U137" i="40"/>
  <c r="V137" i="40"/>
  <c r="W137" i="40"/>
  <c r="X137" i="40"/>
  <c r="K138" i="40"/>
  <c r="M138" i="40"/>
  <c r="O138" i="40"/>
  <c r="Q138" i="40"/>
  <c r="S138" i="40"/>
  <c r="T138" i="40"/>
  <c r="U138" i="40"/>
  <c r="V138" i="40"/>
  <c r="W138" i="40"/>
  <c r="X138" i="40"/>
  <c r="K139" i="40"/>
  <c r="M139" i="40"/>
  <c r="O139" i="40"/>
  <c r="Q139" i="40"/>
  <c r="S139" i="40"/>
  <c r="T139" i="40"/>
  <c r="U139" i="40"/>
  <c r="V139" i="40"/>
  <c r="W139" i="40"/>
  <c r="X139" i="40"/>
  <c r="K140" i="40"/>
  <c r="M140" i="40"/>
  <c r="O140" i="40"/>
  <c r="Q140" i="40"/>
  <c r="S140" i="40"/>
  <c r="T140" i="40"/>
  <c r="U140" i="40"/>
  <c r="V140" i="40"/>
  <c r="W140" i="40"/>
  <c r="X140" i="40"/>
  <c r="K141" i="40"/>
  <c r="M141" i="40"/>
  <c r="O141" i="40"/>
  <c r="Q141" i="40"/>
  <c r="S141" i="40"/>
  <c r="T141" i="40"/>
  <c r="U141" i="40"/>
  <c r="V141" i="40"/>
  <c r="W141" i="40"/>
  <c r="X141" i="40"/>
  <c r="K142" i="40"/>
  <c r="M142" i="40"/>
  <c r="O142" i="40"/>
  <c r="Q142" i="40"/>
  <c r="S142" i="40"/>
  <c r="T142" i="40"/>
  <c r="U142" i="40"/>
  <c r="V142" i="40"/>
  <c r="W142" i="40"/>
  <c r="X142" i="40"/>
  <c r="K143" i="40"/>
  <c r="M143" i="40"/>
  <c r="O143" i="40"/>
  <c r="Q143" i="40"/>
  <c r="S143" i="40"/>
  <c r="T143" i="40"/>
  <c r="U143" i="40"/>
  <c r="V143" i="40"/>
  <c r="W143" i="40"/>
  <c r="X143" i="40"/>
  <c r="K144" i="40"/>
  <c r="M144" i="40"/>
  <c r="O144" i="40"/>
  <c r="Q144" i="40"/>
  <c r="S144" i="40"/>
  <c r="T144" i="40"/>
  <c r="U144" i="40"/>
  <c r="V144" i="40"/>
  <c r="W144" i="40"/>
  <c r="X144" i="40"/>
  <c r="K145" i="40"/>
  <c r="M145" i="40"/>
  <c r="O145" i="40"/>
  <c r="Q145" i="40"/>
  <c r="S145" i="40"/>
  <c r="T145" i="40"/>
  <c r="U145" i="40"/>
  <c r="V145" i="40"/>
  <c r="W145" i="40"/>
  <c r="X145" i="40"/>
  <c r="K146" i="40"/>
  <c r="M146" i="40"/>
  <c r="O146" i="40"/>
  <c r="Q146" i="40"/>
  <c r="S146" i="40"/>
  <c r="T146" i="40"/>
  <c r="U146" i="40"/>
  <c r="V146" i="40"/>
  <c r="W146" i="40"/>
  <c r="X146" i="40"/>
  <c r="K147" i="40"/>
  <c r="M147" i="40"/>
  <c r="O147" i="40"/>
  <c r="Q147" i="40"/>
  <c r="S147" i="40"/>
  <c r="T147" i="40"/>
  <c r="U147" i="40"/>
  <c r="V147" i="40"/>
  <c r="W147" i="40"/>
  <c r="X147" i="40"/>
  <c r="K148" i="40"/>
  <c r="M148" i="40"/>
  <c r="O148" i="40"/>
  <c r="Q148" i="40"/>
  <c r="S148" i="40"/>
  <c r="T148" i="40"/>
  <c r="U148" i="40"/>
  <c r="V148" i="40"/>
  <c r="W148" i="40"/>
  <c r="X148" i="40"/>
  <c r="K149" i="40"/>
  <c r="M149" i="40"/>
  <c r="O149" i="40"/>
  <c r="Q149" i="40"/>
  <c r="S149" i="40"/>
  <c r="T149" i="40"/>
  <c r="U149" i="40"/>
  <c r="V149" i="40"/>
  <c r="W149" i="40"/>
  <c r="X149" i="40"/>
  <c r="K150" i="40"/>
  <c r="M150" i="40"/>
  <c r="O150" i="40"/>
  <c r="Q150" i="40"/>
  <c r="S150" i="40"/>
  <c r="T150" i="40"/>
  <c r="U150" i="40"/>
  <c r="V150" i="40"/>
  <c r="W150" i="40"/>
  <c r="X150" i="40"/>
  <c r="K151" i="40"/>
  <c r="M151" i="40"/>
  <c r="O151" i="40"/>
  <c r="Q151" i="40"/>
  <c r="S151" i="40"/>
  <c r="T151" i="40"/>
  <c r="U151" i="40"/>
  <c r="V151" i="40"/>
  <c r="W151" i="40"/>
  <c r="X151" i="40"/>
  <c r="K152" i="40"/>
  <c r="M152" i="40"/>
  <c r="O152" i="40"/>
  <c r="Q152" i="40"/>
  <c r="S152" i="40"/>
  <c r="T152" i="40"/>
  <c r="U152" i="40"/>
  <c r="V152" i="40"/>
  <c r="W152" i="40"/>
  <c r="X152" i="40"/>
  <c r="K153" i="40"/>
  <c r="M153" i="40"/>
  <c r="O153" i="40"/>
  <c r="Q153" i="40"/>
  <c r="S153" i="40"/>
  <c r="T153" i="40"/>
  <c r="U153" i="40"/>
  <c r="V153" i="40"/>
  <c r="W153" i="40"/>
  <c r="X153" i="40"/>
  <c r="K154" i="40"/>
  <c r="M154" i="40"/>
  <c r="O154" i="40"/>
  <c r="Q154" i="40"/>
  <c r="S154" i="40"/>
  <c r="T154" i="40"/>
  <c r="U154" i="40"/>
  <c r="V154" i="40"/>
  <c r="W154" i="40"/>
  <c r="X154" i="40"/>
  <c r="K155" i="40"/>
  <c r="M155" i="40"/>
  <c r="O155" i="40"/>
  <c r="Q155" i="40"/>
  <c r="S155" i="40"/>
  <c r="T155" i="40"/>
  <c r="U155" i="40"/>
  <c r="V155" i="40"/>
  <c r="W155" i="40"/>
  <c r="X155" i="40"/>
  <c r="K156" i="40"/>
  <c r="M156" i="40"/>
  <c r="O156" i="40"/>
  <c r="Q156" i="40"/>
  <c r="S156" i="40"/>
  <c r="T156" i="40"/>
  <c r="U156" i="40"/>
  <c r="V156" i="40"/>
  <c r="W156" i="40"/>
  <c r="X156" i="40"/>
  <c r="K157" i="40"/>
  <c r="M157" i="40"/>
  <c r="O157" i="40"/>
  <c r="Q157" i="40"/>
  <c r="S157" i="40"/>
  <c r="T157" i="40"/>
  <c r="U157" i="40"/>
  <c r="V157" i="40"/>
  <c r="W157" i="40"/>
  <c r="X157" i="40"/>
  <c r="K158" i="40"/>
  <c r="M158" i="40"/>
  <c r="O158" i="40"/>
  <c r="Q158" i="40"/>
  <c r="S158" i="40"/>
  <c r="T158" i="40"/>
  <c r="U158" i="40"/>
  <c r="V158" i="40"/>
  <c r="W158" i="40"/>
  <c r="X158" i="40"/>
  <c r="K159" i="40"/>
  <c r="M159" i="40"/>
  <c r="O159" i="40"/>
  <c r="Q159" i="40"/>
  <c r="S159" i="40"/>
  <c r="T159" i="40"/>
  <c r="U159" i="40"/>
  <c r="V159" i="40"/>
  <c r="W159" i="40"/>
  <c r="X159" i="40"/>
  <c r="K160" i="40"/>
  <c r="M160" i="40"/>
  <c r="O160" i="40"/>
  <c r="Q160" i="40"/>
  <c r="S160" i="40"/>
  <c r="T160" i="40"/>
  <c r="U160" i="40"/>
  <c r="V160" i="40"/>
  <c r="W160" i="40"/>
  <c r="X160" i="40"/>
  <c r="K161" i="40"/>
  <c r="M161" i="40"/>
  <c r="O161" i="40"/>
  <c r="Q161" i="40"/>
  <c r="S161" i="40"/>
  <c r="T161" i="40"/>
  <c r="U161" i="40"/>
  <c r="V161" i="40"/>
  <c r="W161" i="40"/>
  <c r="X161" i="40"/>
  <c r="K162" i="40"/>
  <c r="M162" i="40"/>
  <c r="O162" i="40"/>
  <c r="Q162" i="40"/>
  <c r="S162" i="40"/>
  <c r="T162" i="40"/>
  <c r="U162" i="40"/>
  <c r="V162" i="40"/>
  <c r="W162" i="40"/>
  <c r="X162" i="40"/>
  <c r="K163" i="40"/>
  <c r="M163" i="40"/>
  <c r="O163" i="40"/>
  <c r="Q163" i="40"/>
  <c r="S163" i="40"/>
  <c r="T163" i="40"/>
  <c r="U163" i="40"/>
  <c r="V163" i="40"/>
  <c r="W163" i="40"/>
  <c r="X163" i="40"/>
  <c r="K164" i="40"/>
  <c r="M164" i="40"/>
  <c r="O164" i="40"/>
  <c r="Q164" i="40"/>
  <c r="S164" i="40"/>
  <c r="T164" i="40"/>
  <c r="U164" i="40"/>
  <c r="V164" i="40"/>
  <c r="W164" i="40"/>
  <c r="X164" i="40"/>
  <c r="K165" i="40"/>
  <c r="M165" i="40"/>
  <c r="O165" i="40"/>
  <c r="Q165" i="40"/>
  <c r="S165" i="40"/>
  <c r="T165" i="40"/>
  <c r="U165" i="40"/>
  <c r="V165" i="40"/>
  <c r="W165" i="40"/>
  <c r="X165" i="40"/>
  <c r="K166" i="40"/>
  <c r="M166" i="40"/>
  <c r="O166" i="40"/>
  <c r="Q166" i="40"/>
  <c r="S166" i="40"/>
  <c r="T166" i="40"/>
  <c r="U166" i="40"/>
  <c r="V166" i="40"/>
  <c r="W166" i="40"/>
  <c r="X166" i="40"/>
  <c r="K167" i="40"/>
  <c r="M167" i="40"/>
  <c r="O167" i="40"/>
  <c r="Q167" i="40"/>
  <c r="S167" i="40"/>
  <c r="T167" i="40"/>
  <c r="U167" i="40"/>
  <c r="V167" i="40"/>
  <c r="W167" i="40"/>
  <c r="X167" i="40"/>
  <c r="K168" i="40"/>
  <c r="M168" i="40"/>
  <c r="O168" i="40"/>
  <c r="Q168" i="40"/>
  <c r="S168" i="40"/>
  <c r="T168" i="40"/>
  <c r="U168" i="40"/>
  <c r="V168" i="40"/>
  <c r="W168" i="40"/>
  <c r="X168" i="40"/>
  <c r="K169" i="40"/>
  <c r="M169" i="40"/>
  <c r="O169" i="40"/>
  <c r="Q169" i="40"/>
  <c r="S169" i="40"/>
  <c r="T169" i="40"/>
  <c r="U169" i="40"/>
  <c r="V169" i="40"/>
  <c r="W169" i="40"/>
  <c r="X169" i="40"/>
  <c r="K170" i="40"/>
  <c r="M170" i="40"/>
  <c r="O170" i="40"/>
  <c r="Q170" i="40"/>
  <c r="S170" i="40"/>
  <c r="T170" i="40"/>
  <c r="U170" i="40"/>
  <c r="V170" i="40"/>
  <c r="W170" i="40"/>
  <c r="X170" i="40"/>
  <c r="K171" i="40"/>
  <c r="M171" i="40"/>
  <c r="O171" i="40"/>
  <c r="Q171" i="40"/>
  <c r="S171" i="40"/>
  <c r="T171" i="40"/>
  <c r="U171" i="40"/>
  <c r="V171" i="40"/>
  <c r="W171" i="40"/>
  <c r="X171" i="40"/>
  <c r="K172" i="40"/>
  <c r="M172" i="40"/>
  <c r="O172" i="40"/>
  <c r="Q172" i="40"/>
  <c r="S172" i="40"/>
  <c r="T172" i="40"/>
  <c r="U172" i="40"/>
  <c r="V172" i="40"/>
  <c r="W172" i="40"/>
  <c r="X172" i="40"/>
  <c r="K173" i="40"/>
  <c r="M173" i="40"/>
  <c r="O173" i="40"/>
  <c r="Q173" i="40"/>
  <c r="S173" i="40"/>
  <c r="T173" i="40"/>
  <c r="U173" i="40"/>
  <c r="V173" i="40"/>
  <c r="W173" i="40"/>
  <c r="X173" i="40"/>
  <c r="K174" i="40"/>
  <c r="M174" i="40"/>
  <c r="O174" i="40"/>
  <c r="Q174" i="40"/>
  <c r="S174" i="40"/>
  <c r="T174" i="40"/>
  <c r="U174" i="40"/>
  <c r="V174" i="40"/>
  <c r="W174" i="40"/>
  <c r="X174" i="40"/>
  <c r="K175" i="40"/>
  <c r="M175" i="40"/>
  <c r="O175" i="40"/>
  <c r="Q175" i="40"/>
  <c r="S175" i="40"/>
  <c r="T175" i="40"/>
  <c r="U175" i="40"/>
  <c r="V175" i="40"/>
  <c r="W175" i="40"/>
  <c r="X175" i="40"/>
  <c r="K176" i="40"/>
  <c r="M176" i="40"/>
  <c r="O176" i="40"/>
  <c r="Q176" i="40"/>
  <c r="S176" i="40"/>
  <c r="T176" i="40"/>
  <c r="U176" i="40"/>
  <c r="V176" i="40"/>
  <c r="W176" i="40"/>
  <c r="X176" i="40"/>
  <c r="K177" i="40"/>
  <c r="M177" i="40"/>
  <c r="O177" i="40"/>
  <c r="Q177" i="40"/>
  <c r="S177" i="40"/>
  <c r="T177" i="40"/>
  <c r="U177" i="40"/>
  <c r="V177" i="40"/>
  <c r="W177" i="40"/>
  <c r="X177" i="40"/>
  <c r="K178" i="40"/>
  <c r="M178" i="40"/>
  <c r="O178" i="40"/>
  <c r="Q178" i="40"/>
  <c r="S178" i="40"/>
  <c r="T178" i="40"/>
  <c r="U178" i="40"/>
  <c r="V178" i="40"/>
  <c r="W178" i="40"/>
  <c r="X178" i="40"/>
  <c r="K179" i="40"/>
  <c r="M179" i="40"/>
  <c r="O179" i="40"/>
  <c r="Q179" i="40"/>
  <c r="S179" i="40"/>
  <c r="T179" i="40"/>
  <c r="U179" i="40"/>
  <c r="V179" i="40"/>
  <c r="W179" i="40"/>
  <c r="X179" i="40"/>
  <c r="K180" i="40"/>
  <c r="M180" i="40"/>
  <c r="O180" i="40"/>
  <c r="Q180" i="40"/>
  <c r="S180" i="40"/>
  <c r="T180" i="40"/>
  <c r="U180" i="40"/>
  <c r="V180" i="40"/>
  <c r="W180" i="40"/>
  <c r="X180" i="40"/>
  <c r="K181" i="40"/>
  <c r="M181" i="40"/>
  <c r="O181" i="40"/>
  <c r="Q181" i="40"/>
  <c r="S181" i="40"/>
  <c r="T181" i="40"/>
  <c r="U181" i="40"/>
  <c r="V181" i="40"/>
  <c r="W181" i="40"/>
  <c r="X181" i="40"/>
  <c r="K182" i="40"/>
  <c r="M182" i="40"/>
  <c r="O182" i="40"/>
  <c r="Q182" i="40"/>
  <c r="S182" i="40"/>
  <c r="T182" i="40"/>
  <c r="U182" i="40"/>
  <c r="V182" i="40"/>
  <c r="W182" i="40"/>
  <c r="X182" i="40"/>
  <c r="K183" i="40"/>
  <c r="M183" i="40"/>
  <c r="O183" i="40"/>
  <c r="Q183" i="40"/>
  <c r="S183" i="40"/>
  <c r="T183" i="40"/>
  <c r="U183" i="40"/>
  <c r="V183" i="40"/>
  <c r="W183" i="40"/>
  <c r="X183" i="40"/>
  <c r="K184" i="40"/>
  <c r="M184" i="40"/>
  <c r="O184" i="40"/>
  <c r="Q184" i="40"/>
  <c r="S184" i="40"/>
  <c r="T184" i="40"/>
  <c r="U184" i="40"/>
  <c r="V184" i="40"/>
  <c r="W184" i="40"/>
  <c r="X184" i="40"/>
  <c r="K185" i="40"/>
  <c r="M185" i="40"/>
  <c r="O185" i="40"/>
  <c r="Q185" i="40"/>
  <c r="S185" i="40"/>
  <c r="T185" i="40"/>
  <c r="U185" i="40"/>
  <c r="V185" i="40"/>
  <c r="W185" i="40"/>
  <c r="X185" i="40"/>
  <c r="K186" i="40"/>
  <c r="M186" i="40"/>
  <c r="O186" i="40"/>
  <c r="Q186" i="40"/>
  <c r="S186" i="40"/>
  <c r="T186" i="40"/>
  <c r="U186" i="40"/>
  <c r="V186" i="40"/>
  <c r="W186" i="40"/>
  <c r="X186" i="40"/>
  <c r="K187" i="40"/>
  <c r="M187" i="40"/>
  <c r="O187" i="40"/>
  <c r="Q187" i="40"/>
  <c r="S187" i="40"/>
  <c r="T187" i="40"/>
  <c r="U187" i="40"/>
  <c r="V187" i="40"/>
  <c r="W187" i="40"/>
  <c r="X187" i="40"/>
  <c r="K188" i="40"/>
  <c r="M188" i="40"/>
  <c r="O188" i="40"/>
  <c r="Q188" i="40"/>
  <c r="S188" i="40"/>
  <c r="T188" i="40"/>
  <c r="U188" i="40"/>
  <c r="V188" i="40"/>
  <c r="W188" i="40"/>
  <c r="X188" i="40"/>
  <c r="K189" i="40"/>
  <c r="M189" i="40"/>
  <c r="O189" i="40"/>
  <c r="Q189" i="40"/>
  <c r="S189" i="40"/>
  <c r="T189" i="40"/>
  <c r="U189" i="40"/>
  <c r="V189" i="40"/>
  <c r="W189" i="40"/>
  <c r="X189" i="40"/>
  <c r="K190" i="40"/>
  <c r="M190" i="40"/>
  <c r="O190" i="40"/>
  <c r="Q190" i="40"/>
  <c r="S190" i="40"/>
  <c r="T190" i="40"/>
  <c r="U190" i="40"/>
  <c r="V190" i="40"/>
  <c r="W190" i="40"/>
  <c r="X190" i="40"/>
  <c r="K191" i="40"/>
  <c r="M191" i="40"/>
  <c r="O191" i="40"/>
  <c r="Q191" i="40"/>
  <c r="S191" i="40"/>
  <c r="T191" i="40"/>
  <c r="U191" i="40"/>
  <c r="V191" i="40"/>
  <c r="W191" i="40"/>
  <c r="X191" i="40"/>
  <c r="K192" i="40"/>
  <c r="M192" i="40"/>
  <c r="O192" i="40"/>
  <c r="Q192" i="40"/>
  <c r="S192" i="40"/>
  <c r="T192" i="40"/>
  <c r="U192" i="40"/>
  <c r="V192" i="40"/>
  <c r="W192" i="40"/>
  <c r="X192" i="40"/>
  <c r="K193" i="40"/>
  <c r="M193" i="40"/>
  <c r="O193" i="40"/>
  <c r="Q193" i="40"/>
  <c r="S193" i="40"/>
  <c r="T193" i="40"/>
  <c r="U193" i="40"/>
  <c r="V193" i="40"/>
  <c r="W193" i="40"/>
  <c r="X193" i="40"/>
  <c r="K194" i="40"/>
  <c r="M194" i="40"/>
  <c r="O194" i="40"/>
  <c r="Q194" i="40"/>
  <c r="S194" i="40"/>
  <c r="T194" i="40"/>
  <c r="U194" i="40"/>
  <c r="V194" i="40"/>
  <c r="W194" i="40"/>
  <c r="X194" i="40"/>
  <c r="K195" i="40"/>
  <c r="M195" i="40"/>
  <c r="O195" i="40"/>
  <c r="Q195" i="40"/>
  <c r="S195" i="40"/>
  <c r="T195" i="40"/>
  <c r="U195" i="40"/>
  <c r="V195" i="40"/>
  <c r="W195" i="40"/>
  <c r="X195" i="40"/>
  <c r="K196" i="40"/>
  <c r="M196" i="40"/>
  <c r="O196" i="40"/>
  <c r="Q196" i="40"/>
  <c r="S196" i="40"/>
  <c r="T196" i="40"/>
  <c r="U196" i="40"/>
  <c r="V196" i="40"/>
  <c r="W196" i="40"/>
  <c r="X196" i="40"/>
  <c r="K197" i="40"/>
  <c r="M197" i="40"/>
  <c r="O197" i="40"/>
  <c r="Q197" i="40"/>
  <c r="S197" i="40"/>
  <c r="T197" i="40"/>
  <c r="U197" i="40"/>
  <c r="V197" i="40"/>
  <c r="W197" i="40"/>
  <c r="X197" i="40"/>
  <c r="K198" i="40"/>
  <c r="M198" i="40"/>
  <c r="O198" i="40"/>
  <c r="Q198" i="40"/>
  <c r="S198" i="40"/>
  <c r="T198" i="40"/>
  <c r="U198" i="40"/>
  <c r="V198" i="40"/>
  <c r="W198" i="40"/>
  <c r="X198" i="40"/>
  <c r="K199" i="40"/>
  <c r="M199" i="40"/>
  <c r="O199" i="40"/>
  <c r="Q199" i="40"/>
  <c r="S199" i="40"/>
  <c r="T199" i="40"/>
  <c r="U199" i="40"/>
  <c r="V199" i="40"/>
  <c r="W199" i="40"/>
  <c r="X199" i="40"/>
  <c r="K200" i="40"/>
  <c r="M200" i="40"/>
  <c r="O200" i="40"/>
  <c r="Q200" i="40"/>
  <c r="S200" i="40"/>
  <c r="T200" i="40"/>
  <c r="U200" i="40"/>
  <c r="V200" i="40"/>
  <c r="W200" i="40"/>
  <c r="X200" i="40"/>
  <c r="K201" i="40"/>
  <c r="M201" i="40"/>
  <c r="O201" i="40"/>
  <c r="Q201" i="40"/>
  <c r="S201" i="40"/>
  <c r="T201" i="40"/>
  <c r="U201" i="40"/>
  <c r="V201" i="40"/>
  <c r="W201" i="40"/>
  <c r="X201" i="40"/>
  <c r="K202" i="40"/>
  <c r="M202" i="40"/>
  <c r="O202" i="40"/>
  <c r="Q202" i="40"/>
  <c r="S202" i="40"/>
  <c r="T202" i="40"/>
  <c r="U202" i="40"/>
  <c r="V202" i="40"/>
  <c r="W202" i="40"/>
  <c r="X202" i="40"/>
  <c r="K203" i="40"/>
  <c r="M203" i="40"/>
  <c r="O203" i="40"/>
  <c r="Q203" i="40"/>
  <c r="S203" i="40"/>
  <c r="T203" i="40"/>
  <c r="U203" i="40"/>
  <c r="V203" i="40"/>
  <c r="W203" i="40"/>
  <c r="X203" i="40"/>
  <c r="K204" i="40"/>
  <c r="M204" i="40"/>
  <c r="O204" i="40"/>
  <c r="Q204" i="40"/>
  <c r="S204" i="40"/>
  <c r="T204" i="40"/>
  <c r="U204" i="40"/>
  <c r="V204" i="40"/>
  <c r="W204" i="40"/>
  <c r="X204" i="40"/>
  <c r="K205" i="40"/>
  <c r="M205" i="40"/>
  <c r="O205" i="40"/>
  <c r="Q205" i="40"/>
  <c r="S205" i="40"/>
  <c r="T205" i="40"/>
  <c r="U205" i="40"/>
  <c r="V205" i="40"/>
  <c r="W205" i="40"/>
  <c r="X205" i="40"/>
  <c r="K206" i="40"/>
  <c r="M206" i="40"/>
  <c r="O206" i="40"/>
  <c r="Q206" i="40"/>
  <c r="S206" i="40"/>
  <c r="T206" i="40"/>
  <c r="U206" i="40"/>
  <c r="V206" i="40"/>
  <c r="W206" i="40"/>
  <c r="X206" i="40"/>
  <c r="K207" i="40"/>
  <c r="M207" i="40"/>
  <c r="O207" i="40"/>
  <c r="Q207" i="40"/>
  <c r="S207" i="40"/>
  <c r="T207" i="40"/>
  <c r="U207" i="40"/>
  <c r="V207" i="40"/>
  <c r="W207" i="40"/>
  <c r="X207" i="40"/>
  <c r="K208" i="40"/>
  <c r="M208" i="40"/>
  <c r="O208" i="40"/>
  <c r="Q208" i="40"/>
  <c r="S208" i="40"/>
  <c r="T208" i="40"/>
  <c r="U208" i="40"/>
  <c r="V208" i="40"/>
  <c r="W208" i="40"/>
  <c r="X208" i="40"/>
  <c r="K209" i="40"/>
  <c r="M209" i="40"/>
  <c r="O209" i="40"/>
  <c r="Q209" i="40"/>
  <c r="S209" i="40"/>
  <c r="T209" i="40"/>
  <c r="U209" i="40"/>
  <c r="V209" i="40"/>
  <c r="W209" i="40"/>
  <c r="X209" i="40"/>
  <c r="K210" i="40"/>
  <c r="M210" i="40"/>
  <c r="O210" i="40"/>
  <c r="Q210" i="40"/>
  <c r="S210" i="40"/>
  <c r="T210" i="40"/>
  <c r="U210" i="40"/>
  <c r="V210" i="40"/>
  <c r="W210" i="40"/>
  <c r="X210" i="40"/>
  <c r="K211" i="40"/>
  <c r="M211" i="40"/>
  <c r="O211" i="40"/>
  <c r="Q211" i="40"/>
  <c r="S211" i="40"/>
  <c r="T211" i="40"/>
  <c r="U211" i="40"/>
  <c r="V211" i="40"/>
  <c r="W211" i="40"/>
  <c r="X211" i="40"/>
  <c r="K212" i="40"/>
  <c r="M212" i="40"/>
  <c r="O212" i="40"/>
  <c r="Q212" i="40"/>
  <c r="S212" i="40"/>
  <c r="T212" i="40"/>
  <c r="U212" i="40"/>
  <c r="V212" i="40"/>
  <c r="W212" i="40"/>
  <c r="X212" i="40"/>
  <c r="K213" i="40"/>
  <c r="M213" i="40"/>
  <c r="O213" i="40"/>
  <c r="Q213" i="40"/>
  <c r="S213" i="40"/>
  <c r="T213" i="40"/>
  <c r="U213" i="40"/>
  <c r="V213" i="40"/>
  <c r="W213" i="40"/>
  <c r="X213" i="40"/>
  <c r="K214" i="40"/>
  <c r="M214" i="40"/>
  <c r="O214" i="40"/>
  <c r="Q214" i="40"/>
  <c r="S214" i="40"/>
  <c r="T214" i="40"/>
  <c r="U214" i="40"/>
  <c r="V214" i="40"/>
  <c r="W214" i="40"/>
  <c r="X214" i="40"/>
  <c r="K215" i="40"/>
  <c r="M215" i="40"/>
  <c r="O215" i="40"/>
  <c r="Q215" i="40"/>
  <c r="S215" i="40"/>
  <c r="T215" i="40"/>
  <c r="U215" i="40"/>
  <c r="V215" i="40"/>
  <c r="W215" i="40"/>
  <c r="X215" i="40"/>
  <c r="K216" i="40"/>
  <c r="M216" i="40"/>
  <c r="O216" i="40"/>
  <c r="Q216" i="40"/>
  <c r="S216" i="40"/>
  <c r="T216" i="40"/>
  <c r="U216" i="40"/>
  <c r="V216" i="40"/>
  <c r="W216" i="40"/>
  <c r="X216" i="40"/>
  <c r="K217" i="40"/>
  <c r="M217" i="40"/>
  <c r="O217" i="40"/>
  <c r="Q217" i="40"/>
  <c r="S217" i="40"/>
  <c r="T217" i="40"/>
  <c r="U217" i="40"/>
  <c r="V217" i="40"/>
  <c r="W217" i="40"/>
  <c r="X217" i="40"/>
  <c r="K218" i="40"/>
  <c r="M218" i="40"/>
  <c r="O218" i="40"/>
  <c r="Q218" i="40"/>
  <c r="S218" i="40"/>
  <c r="T218" i="40"/>
  <c r="U218" i="40"/>
  <c r="V218" i="40"/>
  <c r="W218" i="40"/>
  <c r="X218" i="40"/>
  <c r="K219" i="40"/>
  <c r="M219" i="40"/>
  <c r="O219" i="40"/>
  <c r="Q219" i="40"/>
  <c r="S219" i="40"/>
  <c r="T219" i="40"/>
  <c r="U219" i="40"/>
  <c r="V219" i="40"/>
  <c r="W219" i="40"/>
  <c r="X219" i="40"/>
  <c r="K220" i="40"/>
  <c r="M220" i="40"/>
  <c r="O220" i="40"/>
  <c r="Q220" i="40"/>
  <c r="S220" i="40"/>
  <c r="T220" i="40"/>
  <c r="U220" i="40"/>
  <c r="V220" i="40"/>
  <c r="W220" i="40"/>
  <c r="X220" i="40"/>
  <c r="K221" i="40"/>
  <c r="M221" i="40"/>
  <c r="O221" i="40"/>
  <c r="Q221" i="40"/>
  <c r="S221" i="40"/>
  <c r="T221" i="40"/>
  <c r="U221" i="40"/>
  <c r="V221" i="40"/>
  <c r="W221" i="40"/>
  <c r="X221" i="40"/>
  <c r="K222" i="40"/>
  <c r="M222" i="40"/>
  <c r="O222" i="40"/>
  <c r="Q222" i="40"/>
  <c r="S222" i="40"/>
  <c r="T222" i="40"/>
  <c r="U222" i="40"/>
  <c r="V222" i="40"/>
  <c r="W222" i="40"/>
  <c r="X222" i="40"/>
  <c r="K223" i="40"/>
  <c r="M223" i="40"/>
  <c r="O223" i="40"/>
  <c r="Q223" i="40"/>
  <c r="S223" i="40"/>
  <c r="T223" i="40"/>
  <c r="U223" i="40"/>
  <c r="V223" i="40"/>
  <c r="W223" i="40"/>
  <c r="X223" i="40"/>
  <c r="K224" i="40"/>
  <c r="M224" i="40"/>
  <c r="O224" i="40"/>
  <c r="Q224" i="40"/>
  <c r="S224" i="40"/>
  <c r="T224" i="40"/>
  <c r="U224" i="40"/>
  <c r="V224" i="40"/>
  <c r="W224" i="40"/>
  <c r="X224" i="40"/>
  <c r="K225" i="40"/>
  <c r="M225" i="40"/>
  <c r="O225" i="40"/>
  <c r="Q225" i="40"/>
  <c r="S225" i="40"/>
  <c r="T225" i="40"/>
  <c r="U225" i="40"/>
  <c r="V225" i="40"/>
  <c r="W225" i="40"/>
  <c r="X225" i="40"/>
  <c r="K226" i="40"/>
  <c r="M226" i="40"/>
  <c r="O226" i="40"/>
  <c r="Q226" i="40"/>
  <c r="S226" i="40"/>
  <c r="T226" i="40"/>
  <c r="U226" i="40"/>
  <c r="V226" i="40"/>
  <c r="W226" i="40"/>
  <c r="X226" i="40"/>
  <c r="K227" i="40"/>
  <c r="M227" i="40"/>
  <c r="O227" i="40"/>
  <c r="Q227" i="40"/>
  <c r="S227" i="40"/>
  <c r="T227" i="40"/>
  <c r="U227" i="40"/>
  <c r="V227" i="40"/>
  <c r="W227" i="40"/>
  <c r="X227" i="40"/>
  <c r="K228" i="40"/>
  <c r="M228" i="40"/>
  <c r="O228" i="40"/>
  <c r="Q228" i="40"/>
  <c r="S228" i="40"/>
  <c r="T228" i="40"/>
  <c r="U228" i="40"/>
  <c r="V228" i="40"/>
  <c r="W228" i="40"/>
  <c r="X228" i="40"/>
  <c r="K229" i="40"/>
  <c r="M229" i="40"/>
  <c r="O229" i="40"/>
  <c r="Q229" i="40"/>
  <c r="S229" i="40"/>
  <c r="T229" i="40"/>
  <c r="U229" i="40"/>
  <c r="V229" i="40"/>
  <c r="W229" i="40"/>
  <c r="X229" i="40"/>
  <c r="K230" i="40"/>
  <c r="M230" i="40"/>
  <c r="O230" i="40"/>
  <c r="Q230" i="40"/>
  <c r="S230" i="40"/>
  <c r="T230" i="40"/>
  <c r="U230" i="40"/>
  <c r="V230" i="40"/>
  <c r="W230" i="40"/>
  <c r="X230" i="40"/>
  <c r="K231" i="40"/>
  <c r="M231" i="40"/>
  <c r="O231" i="40"/>
  <c r="Q231" i="40"/>
  <c r="S231" i="40"/>
  <c r="T231" i="40"/>
  <c r="U231" i="40"/>
  <c r="V231" i="40"/>
  <c r="W231" i="40"/>
  <c r="X231" i="40"/>
  <c r="K232" i="40"/>
  <c r="M232" i="40"/>
  <c r="O232" i="40"/>
  <c r="Q232" i="40"/>
  <c r="S232" i="40"/>
  <c r="T232" i="40"/>
  <c r="U232" i="40"/>
  <c r="V232" i="40"/>
  <c r="W232" i="40"/>
  <c r="X232" i="40"/>
  <c r="K233" i="40"/>
  <c r="M233" i="40"/>
  <c r="O233" i="40"/>
  <c r="Q233" i="40"/>
  <c r="S233" i="40"/>
  <c r="T233" i="40"/>
  <c r="U233" i="40"/>
  <c r="V233" i="40"/>
  <c r="W233" i="40"/>
  <c r="X233" i="40"/>
  <c r="K234" i="40"/>
  <c r="M234" i="40"/>
  <c r="O234" i="40"/>
  <c r="Q234" i="40"/>
  <c r="S234" i="40"/>
  <c r="T234" i="40"/>
  <c r="U234" i="40"/>
  <c r="V234" i="40"/>
  <c r="W234" i="40"/>
  <c r="X234" i="40"/>
  <c r="K235" i="40"/>
  <c r="M235" i="40"/>
  <c r="O235" i="40"/>
  <c r="Q235" i="40"/>
  <c r="S235" i="40"/>
  <c r="T235" i="40"/>
  <c r="U235" i="40"/>
  <c r="V235" i="40"/>
  <c r="W235" i="40"/>
  <c r="X235" i="40"/>
  <c r="K236" i="40"/>
  <c r="M236" i="40"/>
  <c r="O236" i="40"/>
  <c r="Q236" i="40"/>
  <c r="S236" i="40"/>
  <c r="T236" i="40"/>
  <c r="U236" i="40"/>
  <c r="V236" i="40"/>
  <c r="W236" i="40"/>
  <c r="X236" i="40"/>
  <c r="K237" i="40"/>
  <c r="M237" i="40"/>
  <c r="O237" i="40"/>
  <c r="Q237" i="40"/>
  <c r="S237" i="40"/>
  <c r="T237" i="40"/>
  <c r="U237" i="40"/>
  <c r="V237" i="40"/>
  <c r="W237" i="40"/>
  <c r="X237" i="40"/>
  <c r="K238" i="40"/>
  <c r="M238" i="40"/>
  <c r="O238" i="40"/>
  <c r="Q238" i="40"/>
  <c r="S238" i="40"/>
  <c r="T238" i="40"/>
  <c r="U238" i="40"/>
  <c r="V238" i="40"/>
  <c r="W238" i="40"/>
  <c r="X238" i="40"/>
  <c r="K239" i="40"/>
  <c r="M239" i="40"/>
  <c r="O239" i="40"/>
  <c r="Q239" i="40"/>
  <c r="S239" i="40"/>
  <c r="T239" i="40"/>
  <c r="U239" i="40"/>
  <c r="V239" i="40"/>
  <c r="W239" i="40"/>
  <c r="X239" i="40"/>
  <c r="K240" i="40"/>
  <c r="M240" i="40"/>
  <c r="O240" i="40"/>
  <c r="Q240" i="40"/>
  <c r="S240" i="40"/>
  <c r="T240" i="40"/>
  <c r="U240" i="40"/>
  <c r="V240" i="40"/>
  <c r="W240" i="40"/>
  <c r="X240" i="40"/>
  <c r="K241" i="40"/>
  <c r="M241" i="40"/>
  <c r="O241" i="40"/>
  <c r="Q241" i="40"/>
  <c r="S241" i="40"/>
  <c r="T241" i="40"/>
  <c r="U241" i="40"/>
  <c r="V241" i="40"/>
  <c r="W241" i="40"/>
  <c r="X241" i="40"/>
  <c r="K242" i="40"/>
  <c r="M242" i="40"/>
  <c r="O242" i="40"/>
  <c r="Q242" i="40"/>
  <c r="S242" i="40"/>
  <c r="T242" i="40"/>
  <c r="U242" i="40"/>
  <c r="V242" i="40"/>
  <c r="W242" i="40"/>
  <c r="X242" i="40"/>
  <c r="K243" i="40"/>
  <c r="M243" i="40"/>
  <c r="O243" i="40"/>
  <c r="Q243" i="40"/>
  <c r="S243" i="40"/>
  <c r="T243" i="40"/>
  <c r="U243" i="40"/>
  <c r="V243" i="40"/>
  <c r="W243" i="40"/>
  <c r="X243" i="40"/>
  <c r="K244" i="40"/>
  <c r="M244" i="40"/>
  <c r="O244" i="40"/>
  <c r="Q244" i="40"/>
  <c r="S244" i="40"/>
  <c r="T244" i="40"/>
  <c r="U244" i="40"/>
  <c r="V244" i="40"/>
  <c r="W244" i="40"/>
  <c r="X244" i="40"/>
  <c r="K245" i="40"/>
  <c r="M245" i="40"/>
  <c r="O245" i="40"/>
  <c r="Q245" i="40"/>
  <c r="S245" i="40"/>
  <c r="T245" i="40"/>
  <c r="U245" i="40"/>
  <c r="V245" i="40"/>
  <c r="W245" i="40"/>
  <c r="X245" i="40"/>
  <c r="K246" i="40"/>
  <c r="M246" i="40"/>
  <c r="O246" i="40"/>
  <c r="Q246" i="40"/>
  <c r="S246" i="40"/>
  <c r="T246" i="40"/>
  <c r="U246" i="40"/>
  <c r="V246" i="40"/>
  <c r="W246" i="40"/>
  <c r="X246" i="40"/>
  <c r="K247" i="40"/>
  <c r="M247" i="40"/>
  <c r="O247" i="40"/>
  <c r="Q247" i="40"/>
  <c r="S247" i="40"/>
  <c r="T247" i="40"/>
  <c r="U247" i="40"/>
  <c r="V247" i="40"/>
  <c r="W247" i="40"/>
  <c r="X247" i="40"/>
  <c r="K248" i="40"/>
  <c r="M248" i="40"/>
  <c r="O248" i="40"/>
  <c r="Q248" i="40"/>
  <c r="S248" i="40"/>
  <c r="T248" i="40"/>
  <c r="U248" i="40"/>
  <c r="V248" i="40"/>
  <c r="W248" i="40"/>
  <c r="X248" i="40"/>
  <c r="K249" i="40"/>
  <c r="M249" i="40"/>
  <c r="O249" i="40"/>
  <c r="Q249" i="40"/>
  <c r="S249" i="40"/>
  <c r="T249" i="40"/>
  <c r="U249" i="40"/>
  <c r="V249" i="40"/>
  <c r="W249" i="40"/>
  <c r="X249" i="40"/>
  <c r="K250" i="40"/>
  <c r="M250" i="40"/>
  <c r="O250" i="40"/>
  <c r="Q250" i="40"/>
  <c r="S250" i="40"/>
  <c r="T250" i="40"/>
  <c r="U250" i="40"/>
  <c r="V250" i="40"/>
  <c r="W250" i="40"/>
  <c r="X250" i="40"/>
  <c r="K251" i="40"/>
  <c r="M251" i="40"/>
  <c r="O251" i="40"/>
  <c r="Q251" i="40"/>
  <c r="S251" i="40"/>
  <c r="T251" i="40"/>
  <c r="U251" i="40"/>
  <c r="V251" i="40"/>
  <c r="W251" i="40"/>
  <c r="X251" i="40"/>
  <c r="K252" i="40"/>
  <c r="M252" i="40"/>
  <c r="O252" i="40"/>
  <c r="Q252" i="40"/>
  <c r="S252" i="40"/>
  <c r="T252" i="40"/>
  <c r="U252" i="40"/>
  <c r="V252" i="40"/>
  <c r="W252" i="40"/>
  <c r="X252" i="40"/>
  <c r="K253" i="40"/>
  <c r="M253" i="40"/>
  <c r="O253" i="40"/>
  <c r="Q253" i="40"/>
  <c r="S253" i="40"/>
  <c r="T253" i="40"/>
  <c r="U253" i="40"/>
  <c r="V253" i="40"/>
  <c r="W253" i="40"/>
  <c r="X253" i="40"/>
  <c r="K254" i="40"/>
  <c r="M254" i="40"/>
  <c r="O254" i="40"/>
  <c r="Q254" i="40"/>
  <c r="S254" i="40"/>
  <c r="T254" i="40"/>
  <c r="U254" i="40"/>
  <c r="V254" i="40"/>
  <c r="W254" i="40"/>
  <c r="X254" i="40"/>
  <c r="K255" i="40"/>
  <c r="M255" i="40"/>
  <c r="O255" i="40"/>
  <c r="Q255" i="40"/>
  <c r="S255" i="40"/>
  <c r="T255" i="40"/>
  <c r="U255" i="40"/>
  <c r="V255" i="40"/>
  <c r="W255" i="40"/>
  <c r="X255" i="40"/>
  <c r="K256" i="40"/>
  <c r="M256" i="40"/>
  <c r="O256" i="40"/>
  <c r="Q256" i="40"/>
  <c r="S256" i="40"/>
  <c r="T256" i="40"/>
  <c r="U256" i="40"/>
  <c r="V256" i="40"/>
  <c r="W256" i="40"/>
  <c r="X256" i="40"/>
  <c r="K257" i="40"/>
  <c r="M257" i="40"/>
  <c r="O257" i="40"/>
  <c r="Q257" i="40"/>
  <c r="S257" i="40"/>
  <c r="T257" i="40"/>
  <c r="U257" i="40"/>
  <c r="V257" i="40"/>
  <c r="W257" i="40"/>
  <c r="X257" i="40"/>
  <c r="K258" i="40"/>
  <c r="M258" i="40"/>
  <c r="O258" i="40"/>
  <c r="Q258" i="40"/>
  <c r="S258" i="40"/>
  <c r="T258" i="40"/>
  <c r="U258" i="40"/>
  <c r="V258" i="40"/>
  <c r="W258" i="40"/>
  <c r="X258" i="40"/>
  <c r="K259" i="40"/>
  <c r="M259" i="40"/>
  <c r="O259" i="40"/>
  <c r="Q259" i="40"/>
  <c r="S259" i="40"/>
  <c r="T259" i="40"/>
  <c r="U259" i="40"/>
  <c r="V259" i="40"/>
  <c r="W259" i="40"/>
  <c r="X259" i="40"/>
  <c r="K260" i="40"/>
  <c r="M260" i="40"/>
  <c r="O260" i="40"/>
  <c r="Q260" i="40"/>
  <c r="S260" i="40"/>
  <c r="T260" i="40"/>
  <c r="U260" i="40"/>
  <c r="V260" i="40"/>
  <c r="W260" i="40"/>
  <c r="X260" i="40"/>
  <c r="K261" i="40"/>
  <c r="M261" i="40"/>
  <c r="O261" i="40"/>
  <c r="Q261" i="40"/>
  <c r="S261" i="40"/>
  <c r="T261" i="40"/>
  <c r="U261" i="40"/>
  <c r="V261" i="40"/>
  <c r="W261" i="40"/>
  <c r="X261" i="40"/>
  <c r="K262" i="40"/>
  <c r="M262" i="40"/>
  <c r="O262" i="40"/>
  <c r="Q262" i="40"/>
  <c r="S262" i="40"/>
  <c r="T262" i="40"/>
  <c r="U262" i="40"/>
  <c r="V262" i="40"/>
  <c r="W262" i="40"/>
  <c r="X262" i="40"/>
  <c r="K263" i="40"/>
  <c r="M263" i="40"/>
  <c r="O263" i="40"/>
  <c r="Q263" i="40"/>
  <c r="S263" i="40"/>
  <c r="T263" i="40"/>
  <c r="U263" i="40"/>
  <c r="V263" i="40"/>
  <c r="W263" i="40"/>
  <c r="X263" i="40"/>
  <c r="K264" i="40"/>
  <c r="M264" i="40"/>
  <c r="O264" i="40"/>
  <c r="Q264" i="40"/>
  <c r="S264" i="40"/>
  <c r="T264" i="40"/>
  <c r="U264" i="40"/>
  <c r="V264" i="40"/>
  <c r="W264" i="40"/>
  <c r="X264" i="40"/>
  <c r="K265" i="40"/>
  <c r="M265" i="40"/>
  <c r="O265" i="40"/>
  <c r="Q265" i="40"/>
  <c r="S265" i="40"/>
  <c r="T265" i="40"/>
  <c r="U265" i="40"/>
  <c r="V265" i="40"/>
  <c r="W265" i="40"/>
  <c r="X265" i="40"/>
  <c r="K266" i="40"/>
  <c r="M266" i="40"/>
  <c r="O266" i="40"/>
  <c r="Q266" i="40"/>
  <c r="S266" i="40"/>
  <c r="T266" i="40"/>
  <c r="U266" i="40"/>
  <c r="V266" i="40"/>
  <c r="W266" i="40"/>
  <c r="X266" i="40"/>
  <c r="K267" i="40"/>
  <c r="M267" i="40"/>
  <c r="O267" i="40"/>
  <c r="Q267" i="40"/>
  <c r="S267" i="40"/>
  <c r="T267" i="40"/>
  <c r="U267" i="40"/>
  <c r="V267" i="40"/>
  <c r="W267" i="40"/>
  <c r="X267" i="40"/>
  <c r="K268" i="40"/>
  <c r="M268" i="40"/>
  <c r="O268" i="40"/>
  <c r="Q268" i="40"/>
  <c r="S268" i="40"/>
  <c r="T268" i="40"/>
  <c r="U268" i="40"/>
  <c r="V268" i="40"/>
  <c r="W268" i="40"/>
  <c r="X268" i="40"/>
  <c r="K269" i="40"/>
  <c r="M269" i="40"/>
  <c r="O269" i="40"/>
  <c r="Q269" i="40"/>
  <c r="S269" i="40"/>
  <c r="T269" i="40"/>
  <c r="U269" i="40"/>
  <c r="V269" i="40"/>
  <c r="W269" i="40"/>
  <c r="X269" i="40"/>
  <c r="K270" i="40"/>
  <c r="M270" i="40"/>
  <c r="O270" i="40"/>
  <c r="Q270" i="40"/>
  <c r="S270" i="40"/>
  <c r="T270" i="40"/>
  <c r="U270" i="40"/>
  <c r="V270" i="40"/>
  <c r="W270" i="40"/>
  <c r="X270" i="40"/>
  <c r="K271" i="40"/>
  <c r="M271" i="40"/>
  <c r="O271" i="40"/>
  <c r="Q271" i="40"/>
  <c r="S271" i="40"/>
  <c r="T271" i="40"/>
  <c r="U271" i="40"/>
  <c r="V271" i="40"/>
  <c r="W271" i="40"/>
  <c r="X271" i="40"/>
  <c r="K272" i="40"/>
  <c r="M272" i="40"/>
  <c r="O272" i="40"/>
  <c r="Q272" i="40"/>
  <c r="S272" i="40"/>
  <c r="T272" i="40"/>
  <c r="U272" i="40"/>
  <c r="V272" i="40"/>
  <c r="W272" i="40"/>
  <c r="X272" i="40"/>
  <c r="K273" i="40"/>
  <c r="M273" i="40"/>
  <c r="O273" i="40"/>
  <c r="Q273" i="40"/>
  <c r="S273" i="40"/>
  <c r="T273" i="40"/>
  <c r="U273" i="40"/>
  <c r="V273" i="40"/>
  <c r="W273" i="40"/>
  <c r="X273" i="40"/>
  <c r="K274" i="40"/>
  <c r="M274" i="40"/>
  <c r="O274" i="40"/>
  <c r="Q274" i="40"/>
  <c r="S274" i="40"/>
  <c r="T274" i="40"/>
  <c r="U274" i="40"/>
  <c r="V274" i="40"/>
  <c r="W274" i="40"/>
  <c r="X274" i="40"/>
  <c r="K275" i="40"/>
  <c r="M275" i="40"/>
  <c r="O275" i="40"/>
  <c r="Q275" i="40"/>
  <c r="S275" i="40"/>
  <c r="T275" i="40"/>
  <c r="U275" i="40"/>
  <c r="V275" i="40"/>
  <c r="W275" i="40"/>
  <c r="X275" i="40"/>
  <c r="K276" i="40"/>
  <c r="M276" i="40"/>
  <c r="O276" i="40"/>
  <c r="Q276" i="40"/>
  <c r="S276" i="40"/>
  <c r="T276" i="40"/>
  <c r="U276" i="40"/>
  <c r="V276" i="40"/>
  <c r="W276" i="40"/>
  <c r="X276" i="40"/>
  <c r="K277" i="40"/>
  <c r="M277" i="40"/>
  <c r="O277" i="40"/>
  <c r="Q277" i="40"/>
  <c r="S277" i="40"/>
  <c r="T277" i="40"/>
  <c r="U277" i="40"/>
  <c r="V277" i="40"/>
  <c r="W277" i="40"/>
  <c r="X277" i="40"/>
  <c r="K278" i="40"/>
  <c r="M278" i="40"/>
  <c r="O278" i="40"/>
  <c r="Q278" i="40"/>
  <c r="S278" i="40"/>
  <c r="T278" i="40"/>
  <c r="U278" i="40"/>
  <c r="V278" i="40"/>
  <c r="W278" i="40"/>
  <c r="X278" i="40"/>
  <c r="K279" i="40"/>
  <c r="M279" i="40"/>
  <c r="O279" i="40"/>
  <c r="Q279" i="40"/>
  <c r="S279" i="40"/>
  <c r="T279" i="40"/>
  <c r="U279" i="40"/>
  <c r="V279" i="40"/>
  <c r="W279" i="40"/>
  <c r="X279" i="40"/>
  <c r="K280" i="40"/>
  <c r="M280" i="40"/>
  <c r="O280" i="40"/>
  <c r="Q280" i="40"/>
  <c r="S280" i="40"/>
  <c r="T280" i="40"/>
  <c r="U280" i="40"/>
  <c r="V280" i="40"/>
  <c r="W280" i="40"/>
  <c r="X280" i="40"/>
  <c r="K281" i="40"/>
  <c r="M281" i="40"/>
  <c r="O281" i="40"/>
  <c r="Q281" i="40"/>
  <c r="S281" i="40"/>
  <c r="T281" i="40"/>
  <c r="U281" i="40"/>
  <c r="V281" i="40"/>
  <c r="W281" i="40"/>
  <c r="X281" i="40"/>
  <c r="K282" i="40"/>
  <c r="M282" i="40"/>
  <c r="O282" i="40"/>
  <c r="Q282" i="40"/>
  <c r="S282" i="40"/>
  <c r="T282" i="40"/>
  <c r="U282" i="40"/>
  <c r="V282" i="40"/>
  <c r="W282" i="40"/>
  <c r="X282" i="40"/>
  <c r="K283" i="40"/>
  <c r="M283" i="40"/>
  <c r="O283" i="40"/>
  <c r="Q283" i="40"/>
  <c r="S283" i="40"/>
  <c r="T283" i="40"/>
  <c r="U283" i="40"/>
  <c r="V283" i="40"/>
  <c r="W283" i="40"/>
  <c r="X283" i="40"/>
  <c r="K284" i="40"/>
  <c r="M284" i="40"/>
  <c r="O284" i="40"/>
  <c r="Q284" i="40"/>
  <c r="S284" i="40"/>
  <c r="T284" i="40"/>
  <c r="U284" i="40"/>
  <c r="V284" i="40"/>
  <c r="W284" i="40"/>
  <c r="X284" i="40"/>
  <c r="K285" i="40"/>
  <c r="M285" i="40"/>
  <c r="O285" i="40"/>
  <c r="Q285" i="40"/>
  <c r="S285" i="40"/>
  <c r="T285" i="40"/>
  <c r="U285" i="40"/>
  <c r="V285" i="40"/>
  <c r="W285" i="40"/>
  <c r="X285" i="40"/>
  <c r="K286" i="40"/>
  <c r="M286" i="40"/>
  <c r="O286" i="40"/>
  <c r="Q286" i="40"/>
  <c r="S286" i="40"/>
  <c r="T286" i="40"/>
  <c r="U286" i="40"/>
  <c r="V286" i="40"/>
  <c r="W286" i="40"/>
  <c r="X286" i="40"/>
  <c r="K287" i="40"/>
  <c r="M287" i="40"/>
  <c r="O287" i="40"/>
  <c r="Q287" i="40"/>
  <c r="S287" i="40"/>
  <c r="T287" i="40"/>
  <c r="U287" i="40"/>
  <c r="V287" i="40"/>
  <c r="W287" i="40"/>
  <c r="X287" i="40"/>
  <c r="K288" i="40"/>
  <c r="M288" i="40"/>
  <c r="O288" i="40"/>
  <c r="Q288" i="40"/>
  <c r="S288" i="40"/>
  <c r="T288" i="40"/>
  <c r="U288" i="40"/>
  <c r="V288" i="40"/>
  <c r="W288" i="40"/>
  <c r="X288" i="40"/>
  <c r="K289" i="40"/>
  <c r="M289" i="40"/>
  <c r="O289" i="40"/>
  <c r="Q289" i="40"/>
  <c r="S289" i="40"/>
  <c r="T289" i="40"/>
  <c r="U289" i="40"/>
  <c r="V289" i="40"/>
  <c r="W289" i="40"/>
  <c r="X289" i="40"/>
  <c r="K290" i="40"/>
  <c r="M290" i="40"/>
  <c r="O290" i="40"/>
  <c r="Q290" i="40"/>
  <c r="S290" i="40"/>
  <c r="T290" i="40"/>
  <c r="U290" i="40"/>
  <c r="V290" i="40"/>
  <c r="W290" i="40"/>
  <c r="X290" i="40"/>
  <c r="K291" i="40"/>
  <c r="M291" i="40"/>
  <c r="O291" i="40"/>
  <c r="Q291" i="40"/>
  <c r="S291" i="40"/>
  <c r="T291" i="40"/>
  <c r="U291" i="40"/>
  <c r="V291" i="40"/>
  <c r="W291" i="40"/>
  <c r="X291" i="40"/>
  <c r="K292" i="40"/>
  <c r="M292" i="40"/>
  <c r="O292" i="40"/>
  <c r="Q292" i="40"/>
  <c r="S292" i="40"/>
  <c r="T292" i="40"/>
  <c r="U292" i="40"/>
  <c r="V292" i="40"/>
  <c r="W292" i="40"/>
  <c r="X292" i="40"/>
  <c r="K293" i="40"/>
  <c r="M293" i="40"/>
  <c r="O293" i="40"/>
  <c r="Q293" i="40"/>
  <c r="S293" i="40"/>
  <c r="T293" i="40"/>
  <c r="U293" i="40"/>
  <c r="V293" i="40"/>
  <c r="W293" i="40"/>
  <c r="X293" i="40"/>
  <c r="K294" i="40"/>
  <c r="M294" i="40"/>
  <c r="O294" i="40"/>
  <c r="Q294" i="40"/>
  <c r="S294" i="40"/>
  <c r="T294" i="40"/>
  <c r="U294" i="40"/>
  <c r="V294" i="40"/>
  <c r="W294" i="40"/>
  <c r="X294" i="40"/>
  <c r="K295" i="40"/>
  <c r="M295" i="40"/>
  <c r="O295" i="40"/>
  <c r="Q295" i="40"/>
  <c r="S295" i="40"/>
  <c r="T295" i="40"/>
  <c r="U295" i="40"/>
  <c r="V295" i="40"/>
  <c r="W295" i="40"/>
  <c r="X295" i="40"/>
  <c r="K296" i="40"/>
  <c r="M296" i="40"/>
  <c r="O296" i="40"/>
  <c r="Q296" i="40"/>
  <c r="S296" i="40"/>
  <c r="T296" i="40"/>
  <c r="U296" i="40"/>
  <c r="V296" i="40"/>
  <c r="W296" i="40"/>
  <c r="X296" i="40"/>
  <c r="K297" i="40"/>
  <c r="M297" i="40"/>
  <c r="O297" i="40"/>
  <c r="Q297" i="40"/>
  <c r="S297" i="40"/>
  <c r="T297" i="40"/>
  <c r="U297" i="40"/>
  <c r="V297" i="40"/>
  <c r="W297" i="40"/>
  <c r="X297" i="40"/>
  <c r="K298" i="40"/>
  <c r="M298" i="40"/>
  <c r="O298" i="40"/>
  <c r="Q298" i="40"/>
  <c r="S298" i="40"/>
  <c r="T298" i="40"/>
  <c r="U298" i="40"/>
  <c r="V298" i="40"/>
  <c r="W298" i="40"/>
  <c r="X298" i="40"/>
  <c r="K299" i="40"/>
  <c r="M299" i="40"/>
  <c r="O299" i="40"/>
  <c r="Q299" i="40"/>
  <c r="S299" i="40"/>
  <c r="T299" i="40"/>
  <c r="U299" i="40"/>
  <c r="V299" i="40"/>
  <c r="W299" i="40"/>
  <c r="X299" i="40"/>
  <c r="K300" i="40"/>
  <c r="M300" i="40"/>
  <c r="O300" i="40"/>
  <c r="Q300" i="40"/>
  <c r="S300" i="40"/>
  <c r="T300" i="40"/>
  <c r="U300" i="40"/>
  <c r="V300" i="40"/>
  <c r="W300" i="40"/>
  <c r="X300" i="40"/>
  <c r="K301" i="40"/>
  <c r="M301" i="40"/>
  <c r="O301" i="40"/>
  <c r="Q301" i="40"/>
  <c r="S301" i="40"/>
  <c r="T301" i="40"/>
  <c r="U301" i="40"/>
  <c r="V301" i="40"/>
  <c r="W301" i="40"/>
  <c r="X301" i="40"/>
  <c r="K302" i="40"/>
  <c r="M302" i="40"/>
  <c r="O302" i="40"/>
  <c r="Q302" i="40"/>
  <c r="S302" i="40"/>
  <c r="T302" i="40"/>
  <c r="U302" i="40"/>
  <c r="V302" i="40"/>
  <c r="W302" i="40"/>
  <c r="X302" i="40"/>
  <c r="K303" i="40"/>
  <c r="M303" i="40"/>
  <c r="O303" i="40"/>
  <c r="Q303" i="40"/>
  <c r="S303" i="40"/>
  <c r="T303" i="40"/>
  <c r="U303" i="40"/>
  <c r="V303" i="40"/>
  <c r="W303" i="40"/>
  <c r="X303" i="40"/>
  <c r="K304" i="40"/>
  <c r="M304" i="40"/>
  <c r="O304" i="40"/>
  <c r="Q304" i="40"/>
  <c r="S304" i="40"/>
  <c r="T304" i="40"/>
  <c r="U304" i="40"/>
  <c r="V304" i="40"/>
  <c r="W304" i="40"/>
  <c r="X304" i="40"/>
  <c r="K305" i="40"/>
  <c r="M305" i="40"/>
  <c r="O305" i="40"/>
  <c r="Q305" i="40"/>
  <c r="S305" i="40"/>
  <c r="T305" i="40"/>
  <c r="U305" i="40"/>
  <c r="V305" i="40"/>
  <c r="W305" i="40"/>
  <c r="X305" i="40"/>
  <c r="K306" i="40"/>
  <c r="M306" i="40"/>
  <c r="O306" i="40"/>
  <c r="Q306" i="40"/>
  <c r="S306" i="40"/>
  <c r="T306" i="40"/>
  <c r="U306" i="40"/>
  <c r="V306" i="40"/>
  <c r="W306" i="40"/>
  <c r="X306" i="40"/>
  <c r="K307" i="40"/>
  <c r="M307" i="40"/>
  <c r="O307" i="40"/>
  <c r="Q307" i="40"/>
  <c r="S307" i="40"/>
  <c r="T307" i="40"/>
  <c r="U307" i="40"/>
  <c r="V307" i="40"/>
  <c r="W307" i="40"/>
  <c r="X307" i="40"/>
  <c r="K308" i="40"/>
  <c r="M308" i="40"/>
  <c r="O308" i="40"/>
  <c r="Q308" i="40"/>
  <c r="S308" i="40"/>
  <c r="T308" i="40"/>
  <c r="U308" i="40"/>
  <c r="V308" i="40"/>
  <c r="W308" i="40"/>
  <c r="X308" i="40"/>
  <c r="K309" i="40"/>
  <c r="M309" i="40"/>
  <c r="O309" i="40"/>
  <c r="Q309" i="40"/>
  <c r="S309" i="40"/>
  <c r="T309" i="40"/>
  <c r="U309" i="40"/>
  <c r="V309" i="40"/>
  <c r="W309" i="40"/>
  <c r="X309" i="40"/>
  <c r="K310" i="40"/>
  <c r="M310" i="40"/>
  <c r="O310" i="40"/>
  <c r="Q310" i="40"/>
  <c r="S310" i="40"/>
  <c r="T310" i="40"/>
  <c r="U310" i="40"/>
  <c r="V310" i="40"/>
  <c r="W310" i="40"/>
  <c r="X310" i="40"/>
  <c r="K311" i="40"/>
  <c r="M311" i="40"/>
  <c r="O311" i="40"/>
  <c r="Q311" i="40"/>
  <c r="S311" i="40"/>
  <c r="T311" i="40"/>
  <c r="U311" i="40"/>
  <c r="V311" i="40"/>
  <c r="W311" i="40"/>
  <c r="X311" i="40"/>
  <c r="K312" i="40"/>
  <c r="M312" i="40"/>
  <c r="O312" i="40"/>
  <c r="Q312" i="40"/>
  <c r="S312" i="40"/>
  <c r="T312" i="40"/>
  <c r="U312" i="40"/>
  <c r="V312" i="40"/>
  <c r="W312" i="40"/>
  <c r="X312" i="40"/>
  <c r="K313" i="40"/>
  <c r="M313" i="40"/>
  <c r="O313" i="40"/>
  <c r="Q313" i="40"/>
  <c r="S313" i="40"/>
  <c r="T313" i="40"/>
  <c r="U313" i="40"/>
  <c r="V313" i="40"/>
  <c r="W313" i="40"/>
  <c r="X313" i="40"/>
  <c r="K314" i="40"/>
  <c r="M314" i="40"/>
  <c r="O314" i="40"/>
  <c r="Q314" i="40"/>
  <c r="S314" i="40"/>
  <c r="T314" i="40"/>
  <c r="U314" i="40"/>
  <c r="V314" i="40"/>
  <c r="W314" i="40"/>
  <c r="X314" i="40"/>
  <c r="K315" i="40"/>
  <c r="M315" i="40"/>
  <c r="O315" i="40"/>
  <c r="Q315" i="40"/>
  <c r="S315" i="40"/>
  <c r="T315" i="40"/>
  <c r="U315" i="40"/>
  <c r="V315" i="40"/>
  <c r="W315" i="40"/>
  <c r="X315" i="40"/>
  <c r="K316" i="40"/>
  <c r="M316" i="40"/>
  <c r="O316" i="40"/>
  <c r="Q316" i="40"/>
  <c r="S316" i="40"/>
  <c r="T316" i="40"/>
  <c r="U316" i="40"/>
  <c r="V316" i="40"/>
  <c r="W316" i="40"/>
  <c r="X316" i="40"/>
  <c r="K317" i="40"/>
  <c r="M317" i="40"/>
  <c r="O317" i="40"/>
  <c r="Q317" i="40"/>
  <c r="S317" i="40"/>
  <c r="T317" i="40"/>
  <c r="U317" i="40"/>
  <c r="V317" i="40"/>
  <c r="W317" i="40"/>
  <c r="X317" i="40"/>
  <c r="K318" i="40"/>
  <c r="M318" i="40"/>
  <c r="O318" i="40"/>
  <c r="Q318" i="40"/>
  <c r="S318" i="40"/>
  <c r="T318" i="40"/>
  <c r="U318" i="40"/>
  <c r="V318" i="40"/>
  <c r="W318" i="40"/>
  <c r="X318" i="40"/>
  <c r="K319" i="40"/>
  <c r="M319" i="40"/>
  <c r="O319" i="40"/>
  <c r="Q319" i="40"/>
  <c r="S319" i="40"/>
  <c r="T319" i="40"/>
  <c r="U319" i="40"/>
  <c r="V319" i="40"/>
  <c r="W319" i="40"/>
  <c r="X319" i="40"/>
  <c r="K320" i="40"/>
  <c r="M320" i="40"/>
  <c r="O320" i="40"/>
  <c r="Q320" i="40"/>
  <c r="S320" i="40"/>
  <c r="T320" i="40"/>
  <c r="U320" i="40"/>
  <c r="V320" i="40"/>
  <c r="W320" i="40"/>
  <c r="X320" i="40"/>
  <c r="K321" i="40"/>
  <c r="M321" i="40"/>
  <c r="O321" i="40"/>
  <c r="Q321" i="40"/>
  <c r="S321" i="40"/>
  <c r="T321" i="40"/>
  <c r="U321" i="40"/>
  <c r="V321" i="40"/>
  <c r="W321" i="40"/>
  <c r="X321" i="40"/>
  <c r="K322" i="40"/>
  <c r="M322" i="40"/>
  <c r="O322" i="40"/>
  <c r="Q322" i="40"/>
  <c r="S322" i="40"/>
  <c r="T322" i="40"/>
  <c r="U322" i="40"/>
  <c r="V322" i="40"/>
  <c r="W322" i="40"/>
  <c r="X322" i="40"/>
  <c r="K323" i="40"/>
  <c r="M323" i="40"/>
  <c r="O323" i="40"/>
  <c r="Q323" i="40"/>
  <c r="S323" i="40"/>
  <c r="T323" i="40"/>
  <c r="U323" i="40"/>
  <c r="V323" i="40"/>
  <c r="W323" i="40"/>
  <c r="X323" i="40"/>
  <c r="K324" i="40"/>
  <c r="M324" i="40"/>
  <c r="O324" i="40"/>
  <c r="Q324" i="40"/>
  <c r="S324" i="40"/>
  <c r="T324" i="40"/>
  <c r="U324" i="40"/>
  <c r="V324" i="40"/>
  <c r="W324" i="40"/>
  <c r="X324" i="40"/>
  <c r="K325" i="40"/>
  <c r="M325" i="40"/>
  <c r="O325" i="40"/>
  <c r="Q325" i="40"/>
  <c r="S325" i="40"/>
  <c r="T325" i="40"/>
  <c r="U325" i="40"/>
  <c r="V325" i="40"/>
  <c r="W325" i="40"/>
  <c r="X325" i="40"/>
  <c r="K326" i="40"/>
  <c r="M326" i="40"/>
  <c r="O326" i="40"/>
  <c r="Q326" i="40"/>
  <c r="S326" i="40"/>
  <c r="T326" i="40"/>
  <c r="U326" i="40"/>
  <c r="V326" i="40"/>
  <c r="W326" i="40"/>
  <c r="X326" i="40"/>
  <c r="K327" i="40"/>
  <c r="M327" i="40"/>
  <c r="O327" i="40"/>
  <c r="Q327" i="40"/>
  <c r="S327" i="40"/>
  <c r="T327" i="40"/>
  <c r="U327" i="40"/>
  <c r="V327" i="40"/>
  <c r="W327" i="40"/>
  <c r="X327" i="40"/>
  <c r="K328" i="40"/>
  <c r="M328" i="40"/>
  <c r="O328" i="40"/>
  <c r="Q328" i="40"/>
  <c r="S328" i="40"/>
  <c r="T328" i="40"/>
  <c r="U328" i="40"/>
  <c r="V328" i="40"/>
  <c r="W328" i="40"/>
  <c r="X328" i="40"/>
  <c r="K329" i="40"/>
  <c r="M329" i="40"/>
  <c r="O329" i="40"/>
  <c r="Q329" i="40"/>
  <c r="S329" i="40"/>
  <c r="T329" i="40"/>
  <c r="U329" i="40"/>
  <c r="V329" i="40"/>
  <c r="W329" i="40"/>
  <c r="X329" i="40"/>
  <c r="K330" i="40"/>
  <c r="M330" i="40"/>
  <c r="O330" i="40"/>
  <c r="Q330" i="40"/>
  <c r="S330" i="40"/>
  <c r="T330" i="40"/>
  <c r="U330" i="40"/>
  <c r="V330" i="40"/>
  <c r="W330" i="40"/>
  <c r="X330" i="40"/>
  <c r="K331" i="40"/>
  <c r="M331" i="40"/>
  <c r="O331" i="40"/>
  <c r="Q331" i="40"/>
  <c r="S331" i="40"/>
  <c r="T331" i="40"/>
  <c r="U331" i="40"/>
  <c r="V331" i="40"/>
  <c r="W331" i="40"/>
  <c r="X331" i="40"/>
  <c r="K332" i="40"/>
  <c r="M332" i="40"/>
  <c r="O332" i="40"/>
  <c r="Q332" i="40"/>
  <c r="S332" i="40"/>
  <c r="T332" i="40"/>
  <c r="U332" i="40"/>
  <c r="V332" i="40"/>
  <c r="W332" i="40"/>
  <c r="X332" i="40"/>
  <c r="K333" i="40"/>
  <c r="M333" i="40"/>
  <c r="O333" i="40"/>
  <c r="Q333" i="40"/>
  <c r="S333" i="40"/>
  <c r="T333" i="40"/>
  <c r="U333" i="40"/>
  <c r="V333" i="40"/>
  <c r="W333" i="40"/>
  <c r="X333" i="40"/>
  <c r="K334" i="40"/>
  <c r="M334" i="40"/>
  <c r="O334" i="40"/>
  <c r="Q334" i="40"/>
  <c r="S334" i="40"/>
  <c r="T334" i="40"/>
  <c r="U334" i="40"/>
  <c r="V334" i="40"/>
  <c r="W334" i="40"/>
  <c r="X334" i="40"/>
  <c r="K335" i="40"/>
  <c r="M335" i="40"/>
  <c r="O335" i="40"/>
  <c r="Q335" i="40"/>
  <c r="S335" i="40"/>
  <c r="T335" i="40"/>
  <c r="U335" i="40"/>
  <c r="V335" i="40"/>
  <c r="W335" i="40"/>
  <c r="X335" i="40"/>
  <c r="K336" i="40"/>
  <c r="M336" i="40"/>
  <c r="O336" i="40"/>
  <c r="Q336" i="40"/>
  <c r="S336" i="40"/>
  <c r="T336" i="40"/>
  <c r="U336" i="40"/>
  <c r="V336" i="40"/>
  <c r="W336" i="40"/>
  <c r="X336" i="40"/>
  <c r="K337" i="40"/>
  <c r="M337" i="40"/>
  <c r="O337" i="40"/>
  <c r="Q337" i="40"/>
  <c r="S337" i="40"/>
  <c r="T337" i="40"/>
  <c r="U337" i="40"/>
  <c r="V337" i="40"/>
  <c r="W337" i="40"/>
  <c r="X337" i="40"/>
  <c r="K338" i="40"/>
  <c r="M338" i="40"/>
  <c r="O338" i="40"/>
  <c r="Q338" i="40"/>
  <c r="S338" i="40"/>
  <c r="T338" i="40"/>
  <c r="U338" i="40"/>
  <c r="V338" i="40"/>
  <c r="W338" i="40"/>
  <c r="X338" i="40"/>
  <c r="K339" i="40"/>
  <c r="M339" i="40"/>
  <c r="O339" i="40"/>
  <c r="Q339" i="40"/>
  <c r="S339" i="40"/>
  <c r="T339" i="40"/>
  <c r="U339" i="40"/>
  <c r="V339" i="40"/>
  <c r="W339" i="40"/>
  <c r="X339" i="40"/>
  <c r="K340" i="40"/>
  <c r="M340" i="40"/>
  <c r="O340" i="40"/>
  <c r="Q340" i="40"/>
  <c r="S340" i="40"/>
  <c r="T340" i="40"/>
  <c r="U340" i="40"/>
  <c r="V340" i="40"/>
  <c r="W340" i="40"/>
  <c r="X340" i="40"/>
  <c r="K341" i="40"/>
  <c r="M341" i="40"/>
  <c r="O341" i="40"/>
  <c r="Q341" i="40"/>
  <c r="S341" i="40"/>
  <c r="T341" i="40"/>
  <c r="U341" i="40"/>
  <c r="V341" i="40"/>
  <c r="W341" i="40"/>
  <c r="X341" i="40"/>
  <c r="K342" i="40"/>
  <c r="M342" i="40"/>
  <c r="O342" i="40"/>
  <c r="Q342" i="40"/>
  <c r="S342" i="40"/>
  <c r="T342" i="40"/>
  <c r="U342" i="40"/>
  <c r="V342" i="40"/>
  <c r="W342" i="40"/>
  <c r="X342" i="40"/>
  <c r="K343" i="40"/>
  <c r="M343" i="40"/>
  <c r="O343" i="40"/>
  <c r="Q343" i="40"/>
  <c r="S343" i="40"/>
  <c r="T343" i="40"/>
  <c r="U343" i="40"/>
  <c r="V343" i="40"/>
  <c r="W343" i="40"/>
  <c r="X343" i="40"/>
  <c r="K344" i="40"/>
  <c r="M344" i="40"/>
  <c r="O344" i="40"/>
  <c r="Q344" i="40"/>
  <c r="S344" i="40"/>
  <c r="T344" i="40"/>
  <c r="U344" i="40"/>
  <c r="V344" i="40"/>
  <c r="W344" i="40"/>
  <c r="X344" i="40"/>
  <c r="K345" i="40"/>
  <c r="M345" i="40"/>
  <c r="O345" i="40"/>
  <c r="Q345" i="40"/>
  <c r="S345" i="40"/>
  <c r="T345" i="40"/>
  <c r="U345" i="40"/>
  <c r="V345" i="40"/>
  <c r="W345" i="40"/>
  <c r="X345" i="40"/>
  <c r="K346" i="40"/>
  <c r="M346" i="40"/>
  <c r="O346" i="40"/>
  <c r="Q346" i="40"/>
  <c r="S346" i="40"/>
  <c r="T346" i="40"/>
  <c r="U346" i="40"/>
  <c r="V346" i="40"/>
  <c r="W346" i="40"/>
  <c r="X346" i="40"/>
  <c r="K347" i="40"/>
  <c r="M347" i="40"/>
  <c r="O347" i="40"/>
  <c r="Q347" i="40"/>
  <c r="S347" i="40"/>
  <c r="T347" i="40"/>
  <c r="U347" i="40"/>
  <c r="V347" i="40"/>
  <c r="W347" i="40"/>
  <c r="X347" i="40"/>
  <c r="K348" i="40"/>
  <c r="M348" i="40"/>
  <c r="O348" i="40"/>
  <c r="Q348" i="40"/>
  <c r="S348" i="40"/>
  <c r="T348" i="40"/>
  <c r="U348" i="40"/>
  <c r="V348" i="40"/>
  <c r="W348" i="40"/>
  <c r="X348" i="40"/>
  <c r="K349" i="40"/>
  <c r="M349" i="40"/>
  <c r="O349" i="40"/>
  <c r="Q349" i="40"/>
  <c r="S349" i="40"/>
  <c r="T349" i="40"/>
  <c r="U349" i="40"/>
  <c r="V349" i="40"/>
  <c r="W349" i="40"/>
  <c r="X349" i="40"/>
  <c r="K350" i="40"/>
  <c r="M350" i="40"/>
  <c r="O350" i="40"/>
  <c r="Q350" i="40"/>
  <c r="S350" i="40"/>
  <c r="T350" i="40"/>
  <c r="U350" i="40"/>
  <c r="V350" i="40"/>
  <c r="W350" i="40"/>
  <c r="X350" i="40"/>
  <c r="K351" i="40"/>
  <c r="M351" i="40"/>
  <c r="O351" i="40"/>
  <c r="Q351" i="40"/>
  <c r="S351" i="40"/>
  <c r="T351" i="40"/>
  <c r="U351" i="40"/>
  <c r="V351" i="40"/>
  <c r="W351" i="40"/>
  <c r="X351" i="40"/>
  <c r="K352" i="40"/>
  <c r="M352" i="40"/>
  <c r="O352" i="40"/>
  <c r="Q352" i="40"/>
  <c r="S352" i="40"/>
  <c r="T352" i="40"/>
  <c r="U352" i="40"/>
  <c r="V352" i="40"/>
  <c r="W352" i="40"/>
  <c r="X352" i="40"/>
  <c r="K353" i="40"/>
  <c r="M353" i="40"/>
  <c r="O353" i="40"/>
  <c r="Q353" i="40"/>
  <c r="S353" i="40"/>
  <c r="T353" i="40"/>
  <c r="U353" i="40"/>
  <c r="V353" i="40"/>
  <c r="W353" i="40"/>
  <c r="X353" i="40"/>
  <c r="K354" i="40"/>
  <c r="M354" i="40"/>
  <c r="O354" i="40"/>
  <c r="Q354" i="40"/>
  <c r="S354" i="40"/>
  <c r="T354" i="40"/>
  <c r="U354" i="40"/>
  <c r="V354" i="40"/>
  <c r="W354" i="40"/>
  <c r="X354" i="40"/>
  <c r="K355" i="40"/>
  <c r="M355" i="40"/>
  <c r="O355" i="40"/>
  <c r="Q355" i="40"/>
  <c r="S355" i="40"/>
  <c r="T355" i="40"/>
  <c r="U355" i="40"/>
  <c r="V355" i="40"/>
  <c r="W355" i="40"/>
  <c r="X355" i="40"/>
  <c r="X352" i="38" l="1"/>
  <c r="W352" i="38"/>
  <c r="V352" i="38"/>
  <c r="U352" i="38"/>
  <c r="T352" i="38"/>
  <c r="S352" i="38"/>
  <c r="Q352" i="38"/>
  <c r="O352" i="38"/>
  <c r="M352" i="38"/>
  <c r="K352" i="38"/>
  <c r="X351" i="38"/>
  <c r="W351" i="38"/>
  <c r="V351" i="38"/>
  <c r="U351" i="38"/>
  <c r="T351" i="38"/>
  <c r="S351" i="38"/>
  <c r="Q351" i="38"/>
  <c r="O351" i="38"/>
  <c r="M351" i="38"/>
  <c r="K351" i="38"/>
  <c r="X350" i="38"/>
  <c r="W350" i="38"/>
  <c r="V350" i="38"/>
  <c r="U350" i="38"/>
  <c r="T350" i="38"/>
  <c r="S350" i="38"/>
  <c r="Q350" i="38"/>
  <c r="O350" i="38"/>
  <c r="M350" i="38"/>
  <c r="K350" i="38"/>
  <c r="X349" i="38"/>
  <c r="W349" i="38"/>
  <c r="V349" i="38"/>
  <c r="U349" i="38"/>
  <c r="T349" i="38"/>
  <c r="S349" i="38"/>
  <c r="Q349" i="38"/>
  <c r="O349" i="38"/>
  <c r="M349" i="38"/>
  <c r="K349" i="38"/>
  <c r="X348" i="38"/>
  <c r="W348" i="38"/>
  <c r="V348" i="38"/>
  <c r="U348" i="38"/>
  <c r="T348" i="38"/>
  <c r="S348" i="38"/>
  <c r="Q348" i="38"/>
  <c r="O348" i="38"/>
  <c r="M348" i="38"/>
  <c r="K348" i="38"/>
  <c r="X347" i="38"/>
  <c r="W347" i="38"/>
  <c r="V347" i="38"/>
  <c r="U347" i="38"/>
  <c r="T347" i="38"/>
  <c r="S347" i="38"/>
  <c r="Q347" i="38"/>
  <c r="O347" i="38"/>
  <c r="M347" i="38"/>
  <c r="K347" i="38"/>
  <c r="X346" i="38"/>
  <c r="W346" i="38"/>
  <c r="V346" i="38"/>
  <c r="U346" i="38"/>
  <c r="T346" i="38"/>
  <c r="S346" i="38"/>
  <c r="Q346" i="38"/>
  <c r="O346" i="38"/>
  <c r="M346" i="38"/>
  <c r="K346" i="38"/>
  <c r="X345" i="38"/>
  <c r="W345" i="38"/>
  <c r="V345" i="38"/>
  <c r="U345" i="38"/>
  <c r="T345" i="38"/>
  <c r="S345" i="38"/>
  <c r="Q345" i="38"/>
  <c r="O345" i="38"/>
  <c r="M345" i="38"/>
  <c r="K345" i="38"/>
  <c r="X344" i="38"/>
  <c r="W344" i="38"/>
  <c r="V344" i="38"/>
  <c r="U344" i="38"/>
  <c r="T344" i="38"/>
  <c r="S344" i="38"/>
  <c r="Q344" i="38"/>
  <c r="O344" i="38"/>
  <c r="M344" i="38"/>
  <c r="K344" i="38"/>
  <c r="X343" i="38"/>
  <c r="W343" i="38"/>
  <c r="V343" i="38"/>
  <c r="U343" i="38"/>
  <c r="T343" i="38"/>
  <c r="S343" i="38"/>
  <c r="Q343" i="38"/>
  <c r="O343" i="38"/>
  <c r="M343" i="38"/>
  <c r="K343" i="38"/>
  <c r="X342" i="38"/>
  <c r="W342" i="38"/>
  <c r="V342" i="38"/>
  <c r="U342" i="38"/>
  <c r="T342" i="38"/>
  <c r="S342" i="38"/>
  <c r="Q342" i="38"/>
  <c r="O342" i="38"/>
  <c r="M342" i="38"/>
  <c r="K342" i="38"/>
  <c r="X341" i="38"/>
  <c r="W341" i="38"/>
  <c r="V341" i="38"/>
  <c r="U341" i="38"/>
  <c r="T341" i="38"/>
  <c r="S341" i="38"/>
  <c r="Q341" i="38"/>
  <c r="O341" i="38"/>
  <c r="M341" i="38"/>
  <c r="K341" i="38"/>
  <c r="X340" i="38"/>
  <c r="W340" i="38"/>
  <c r="V340" i="38"/>
  <c r="U340" i="38"/>
  <c r="T340" i="38"/>
  <c r="S340" i="38"/>
  <c r="Q340" i="38"/>
  <c r="O340" i="38"/>
  <c r="M340" i="38"/>
  <c r="K340" i="38"/>
  <c r="X339" i="38"/>
  <c r="W339" i="38"/>
  <c r="V339" i="38"/>
  <c r="U339" i="38"/>
  <c r="T339" i="38"/>
  <c r="S339" i="38"/>
  <c r="Q339" i="38"/>
  <c r="O339" i="38"/>
  <c r="M339" i="38"/>
  <c r="K339" i="38"/>
  <c r="X338" i="38"/>
  <c r="W338" i="38"/>
  <c r="V338" i="38"/>
  <c r="U338" i="38"/>
  <c r="T338" i="38"/>
  <c r="S338" i="38"/>
  <c r="Q338" i="38"/>
  <c r="O338" i="38"/>
  <c r="M338" i="38"/>
  <c r="K338" i="38"/>
  <c r="X337" i="38"/>
  <c r="W337" i="38"/>
  <c r="V337" i="38"/>
  <c r="U337" i="38"/>
  <c r="T337" i="38"/>
  <c r="S337" i="38"/>
  <c r="Q337" i="38"/>
  <c r="O337" i="38"/>
  <c r="M337" i="38"/>
  <c r="K337" i="38"/>
  <c r="X336" i="38"/>
  <c r="W336" i="38"/>
  <c r="V336" i="38"/>
  <c r="U336" i="38"/>
  <c r="T336" i="38"/>
  <c r="S336" i="38"/>
  <c r="Q336" i="38"/>
  <c r="O336" i="38"/>
  <c r="M336" i="38"/>
  <c r="K336" i="38"/>
  <c r="X335" i="38"/>
  <c r="W335" i="38"/>
  <c r="V335" i="38"/>
  <c r="U335" i="38"/>
  <c r="T335" i="38"/>
  <c r="S335" i="38"/>
  <c r="Q335" i="38"/>
  <c r="O335" i="38"/>
  <c r="M335" i="38"/>
  <c r="K335" i="38"/>
  <c r="X334" i="38"/>
  <c r="W334" i="38"/>
  <c r="V334" i="38"/>
  <c r="U334" i="38"/>
  <c r="T334" i="38"/>
  <c r="S334" i="38"/>
  <c r="Q334" i="38"/>
  <c r="O334" i="38"/>
  <c r="M334" i="38"/>
  <c r="K334" i="38"/>
  <c r="X333" i="38"/>
  <c r="W333" i="38"/>
  <c r="V333" i="38"/>
  <c r="U333" i="38"/>
  <c r="T333" i="38"/>
  <c r="S333" i="38"/>
  <c r="Q333" i="38"/>
  <c r="O333" i="38"/>
  <c r="M333" i="38"/>
  <c r="K333" i="38"/>
  <c r="X332" i="38"/>
  <c r="W332" i="38"/>
  <c r="V332" i="38"/>
  <c r="U332" i="38"/>
  <c r="T332" i="38"/>
  <c r="S332" i="38"/>
  <c r="Q332" i="38"/>
  <c r="O332" i="38"/>
  <c r="M332" i="38"/>
  <c r="K332" i="38"/>
  <c r="X331" i="38"/>
  <c r="W331" i="38"/>
  <c r="V331" i="38"/>
  <c r="U331" i="38"/>
  <c r="T331" i="38"/>
  <c r="S331" i="38"/>
  <c r="Q331" i="38"/>
  <c r="O331" i="38"/>
  <c r="M331" i="38"/>
  <c r="K331" i="38"/>
  <c r="X330" i="38"/>
  <c r="W330" i="38"/>
  <c r="V330" i="38"/>
  <c r="U330" i="38"/>
  <c r="T330" i="38"/>
  <c r="S330" i="38"/>
  <c r="Q330" i="38"/>
  <c r="O330" i="38"/>
  <c r="M330" i="38"/>
  <c r="K330" i="38"/>
  <c r="X329" i="38"/>
  <c r="W329" i="38"/>
  <c r="V329" i="38"/>
  <c r="U329" i="38"/>
  <c r="T329" i="38"/>
  <c r="S329" i="38"/>
  <c r="Q329" i="38"/>
  <c r="O329" i="38"/>
  <c r="M329" i="38"/>
  <c r="K329" i="38"/>
  <c r="X328" i="38"/>
  <c r="W328" i="38"/>
  <c r="V328" i="38"/>
  <c r="U328" i="38"/>
  <c r="T328" i="38"/>
  <c r="S328" i="38"/>
  <c r="Q328" i="38"/>
  <c r="O328" i="38"/>
  <c r="M328" i="38"/>
  <c r="K328" i="38"/>
  <c r="X327" i="38"/>
  <c r="W327" i="38"/>
  <c r="V327" i="38"/>
  <c r="U327" i="38"/>
  <c r="T327" i="38"/>
  <c r="S327" i="38"/>
  <c r="Q327" i="38"/>
  <c r="O327" i="38"/>
  <c r="M327" i="38"/>
  <c r="K327" i="38"/>
  <c r="X326" i="38"/>
  <c r="W326" i="38"/>
  <c r="V326" i="38"/>
  <c r="U326" i="38"/>
  <c r="T326" i="38"/>
  <c r="S326" i="38"/>
  <c r="Q326" i="38"/>
  <c r="O326" i="38"/>
  <c r="M326" i="38"/>
  <c r="K326" i="38"/>
  <c r="X325" i="38"/>
  <c r="W325" i="38"/>
  <c r="V325" i="38"/>
  <c r="U325" i="38"/>
  <c r="T325" i="38"/>
  <c r="S325" i="38"/>
  <c r="Q325" i="38"/>
  <c r="O325" i="38"/>
  <c r="M325" i="38"/>
  <c r="K325" i="38"/>
  <c r="X324" i="38"/>
  <c r="W324" i="38"/>
  <c r="V324" i="38"/>
  <c r="U324" i="38"/>
  <c r="T324" i="38"/>
  <c r="S324" i="38"/>
  <c r="Q324" i="38"/>
  <c r="O324" i="38"/>
  <c r="M324" i="38"/>
  <c r="K324" i="38"/>
  <c r="X323" i="38"/>
  <c r="W323" i="38"/>
  <c r="V323" i="38"/>
  <c r="U323" i="38"/>
  <c r="T323" i="38"/>
  <c r="S323" i="38"/>
  <c r="Q323" i="38"/>
  <c r="O323" i="38"/>
  <c r="M323" i="38"/>
  <c r="K323" i="38"/>
  <c r="X322" i="38"/>
  <c r="W322" i="38"/>
  <c r="V322" i="38"/>
  <c r="U322" i="38"/>
  <c r="T322" i="38"/>
  <c r="S322" i="38"/>
  <c r="Q322" i="38"/>
  <c r="O322" i="38"/>
  <c r="M322" i="38"/>
  <c r="K322" i="38"/>
  <c r="X321" i="38"/>
  <c r="W321" i="38"/>
  <c r="V321" i="38"/>
  <c r="U321" i="38"/>
  <c r="T321" i="38"/>
  <c r="S321" i="38"/>
  <c r="Q321" i="38"/>
  <c r="O321" i="38"/>
  <c r="M321" i="38"/>
  <c r="K321" i="38"/>
  <c r="X320" i="38"/>
  <c r="W320" i="38"/>
  <c r="V320" i="38"/>
  <c r="U320" i="38"/>
  <c r="T320" i="38"/>
  <c r="S320" i="38"/>
  <c r="Q320" i="38"/>
  <c r="O320" i="38"/>
  <c r="M320" i="38"/>
  <c r="K320" i="38"/>
  <c r="X319" i="38"/>
  <c r="W319" i="38"/>
  <c r="V319" i="38"/>
  <c r="U319" i="38"/>
  <c r="T319" i="38"/>
  <c r="S319" i="38"/>
  <c r="Q319" i="38"/>
  <c r="O319" i="38"/>
  <c r="M319" i="38"/>
  <c r="K319" i="38"/>
  <c r="X318" i="38"/>
  <c r="W318" i="38"/>
  <c r="V318" i="38"/>
  <c r="U318" i="38"/>
  <c r="T318" i="38"/>
  <c r="S318" i="38"/>
  <c r="Q318" i="38"/>
  <c r="O318" i="38"/>
  <c r="M318" i="38"/>
  <c r="K318" i="38"/>
  <c r="X317" i="38"/>
  <c r="W317" i="38"/>
  <c r="V317" i="38"/>
  <c r="U317" i="38"/>
  <c r="T317" i="38"/>
  <c r="S317" i="38"/>
  <c r="Q317" i="38"/>
  <c r="O317" i="38"/>
  <c r="M317" i="38"/>
  <c r="K317" i="38"/>
  <c r="X316" i="38"/>
  <c r="W316" i="38"/>
  <c r="V316" i="38"/>
  <c r="U316" i="38"/>
  <c r="T316" i="38"/>
  <c r="S316" i="38"/>
  <c r="Q316" i="38"/>
  <c r="O316" i="38"/>
  <c r="M316" i="38"/>
  <c r="K316" i="38"/>
  <c r="X315" i="38"/>
  <c r="W315" i="38"/>
  <c r="V315" i="38"/>
  <c r="U315" i="38"/>
  <c r="T315" i="38"/>
  <c r="S315" i="38"/>
  <c r="Q315" i="38"/>
  <c r="O315" i="38"/>
  <c r="M315" i="38"/>
  <c r="K315" i="38"/>
  <c r="X314" i="38"/>
  <c r="W314" i="38"/>
  <c r="V314" i="38"/>
  <c r="U314" i="38"/>
  <c r="T314" i="38"/>
  <c r="S314" i="38"/>
  <c r="Q314" i="38"/>
  <c r="O314" i="38"/>
  <c r="M314" i="38"/>
  <c r="K314" i="38"/>
  <c r="X313" i="38"/>
  <c r="W313" i="38"/>
  <c r="V313" i="38"/>
  <c r="U313" i="38"/>
  <c r="T313" i="38"/>
  <c r="S313" i="38"/>
  <c r="Q313" i="38"/>
  <c r="O313" i="38"/>
  <c r="M313" i="38"/>
  <c r="K313" i="38"/>
  <c r="X312" i="38"/>
  <c r="W312" i="38"/>
  <c r="V312" i="38"/>
  <c r="U312" i="38"/>
  <c r="T312" i="38"/>
  <c r="S312" i="38"/>
  <c r="Q312" i="38"/>
  <c r="O312" i="38"/>
  <c r="M312" i="38"/>
  <c r="K312" i="38"/>
  <c r="X311" i="38"/>
  <c r="W311" i="38"/>
  <c r="V311" i="38"/>
  <c r="U311" i="38"/>
  <c r="T311" i="38"/>
  <c r="S311" i="38"/>
  <c r="Q311" i="38"/>
  <c r="O311" i="38"/>
  <c r="M311" i="38"/>
  <c r="K311" i="38"/>
  <c r="X310" i="38"/>
  <c r="W310" i="38"/>
  <c r="V310" i="38"/>
  <c r="U310" i="38"/>
  <c r="T310" i="38"/>
  <c r="S310" i="38"/>
  <c r="Q310" i="38"/>
  <c r="O310" i="38"/>
  <c r="M310" i="38"/>
  <c r="K310" i="38"/>
  <c r="X309" i="38"/>
  <c r="W309" i="38"/>
  <c r="V309" i="38"/>
  <c r="U309" i="38"/>
  <c r="T309" i="38"/>
  <c r="S309" i="38"/>
  <c r="Q309" i="38"/>
  <c r="O309" i="38"/>
  <c r="M309" i="38"/>
  <c r="K309" i="38"/>
  <c r="X308" i="38"/>
  <c r="W308" i="38"/>
  <c r="V308" i="38"/>
  <c r="U308" i="38"/>
  <c r="T308" i="38"/>
  <c r="S308" i="38"/>
  <c r="Q308" i="38"/>
  <c r="O308" i="38"/>
  <c r="M308" i="38"/>
  <c r="K308" i="38"/>
  <c r="X307" i="38"/>
  <c r="W307" i="38"/>
  <c r="V307" i="38"/>
  <c r="U307" i="38"/>
  <c r="T307" i="38"/>
  <c r="S307" i="38"/>
  <c r="Q307" i="38"/>
  <c r="O307" i="38"/>
  <c r="M307" i="38"/>
  <c r="K307" i="38"/>
  <c r="X306" i="38"/>
  <c r="W306" i="38"/>
  <c r="V306" i="38"/>
  <c r="U306" i="38"/>
  <c r="T306" i="38"/>
  <c r="S306" i="38"/>
  <c r="Q306" i="38"/>
  <c r="O306" i="38"/>
  <c r="M306" i="38"/>
  <c r="K306" i="38"/>
  <c r="X305" i="38"/>
  <c r="W305" i="38"/>
  <c r="V305" i="38"/>
  <c r="U305" i="38"/>
  <c r="T305" i="38"/>
  <c r="S305" i="38"/>
  <c r="Q305" i="38"/>
  <c r="O305" i="38"/>
  <c r="M305" i="38"/>
  <c r="K305" i="38"/>
  <c r="X304" i="38"/>
  <c r="W304" i="38"/>
  <c r="V304" i="38"/>
  <c r="U304" i="38"/>
  <c r="T304" i="38"/>
  <c r="S304" i="38"/>
  <c r="Q304" i="38"/>
  <c r="O304" i="38"/>
  <c r="M304" i="38"/>
  <c r="K304" i="38"/>
  <c r="X303" i="38"/>
  <c r="W303" i="38"/>
  <c r="V303" i="38"/>
  <c r="U303" i="38"/>
  <c r="T303" i="38"/>
  <c r="S303" i="38"/>
  <c r="Q303" i="38"/>
  <c r="O303" i="38"/>
  <c r="M303" i="38"/>
  <c r="K303" i="38"/>
  <c r="X302" i="38"/>
  <c r="W302" i="38"/>
  <c r="V302" i="38"/>
  <c r="U302" i="38"/>
  <c r="T302" i="38"/>
  <c r="S302" i="38"/>
  <c r="Q302" i="38"/>
  <c r="O302" i="38"/>
  <c r="M302" i="38"/>
  <c r="K302" i="38"/>
  <c r="X301" i="38"/>
  <c r="W301" i="38"/>
  <c r="V301" i="38"/>
  <c r="U301" i="38"/>
  <c r="T301" i="38"/>
  <c r="S301" i="38"/>
  <c r="Q301" i="38"/>
  <c r="O301" i="38"/>
  <c r="M301" i="38"/>
  <c r="K301" i="38"/>
  <c r="X300" i="38"/>
  <c r="W300" i="38"/>
  <c r="V300" i="38"/>
  <c r="U300" i="38"/>
  <c r="T300" i="38"/>
  <c r="S300" i="38"/>
  <c r="Q300" i="38"/>
  <c r="O300" i="38"/>
  <c r="M300" i="38"/>
  <c r="K300" i="38"/>
  <c r="X299" i="38"/>
  <c r="W299" i="38"/>
  <c r="V299" i="38"/>
  <c r="U299" i="38"/>
  <c r="T299" i="38"/>
  <c r="S299" i="38"/>
  <c r="Q299" i="38"/>
  <c r="O299" i="38"/>
  <c r="M299" i="38"/>
  <c r="K299" i="38"/>
  <c r="X298" i="38"/>
  <c r="W298" i="38"/>
  <c r="V298" i="38"/>
  <c r="U298" i="38"/>
  <c r="T298" i="38"/>
  <c r="S298" i="38"/>
  <c r="Q298" i="38"/>
  <c r="O298" i="38"/>
  <c r="M298" i="38"/>
  <c r="K298" i="38"/>
  <c r="X297" i="38"/>
  <c r="W297" i="38"/>
  <c r="V297" i="38"/>
  <c r="U297" i="38"/>
  <c r="T297" i="38"/>
  <c r="S297" i="38"/>
  <c r="Q297" i="38"/>
  <c r="O297" i="38"/>
  <c r="M297" i="38"/>
  <c r="K297" i="38"/>
  <c r="X296" i="38"/>
  <c r="W296" i="38"/>
  <c r="V296" i="38"/>
  <c r="U296" i="38"/>
  <c r="T296" i="38"/>
  <c r="S296" i="38"/>
  <c r="Q296" i="38"/>
  <c r="O296" i="38"/>
  <c r="M296" i="38"/>
  <c r="K296" i="38"/>
  <c r="X295" i="38"/>
  <c r="W295" i="38"/>
  <c r="V295" i="38"/>
  <c r="U295" i="38"/>
  <c r="T295" i="38"/>
  <c r="S295" i="38"/>
  <c r="Q295" i="38"/>
  <c r="O295" i="38"/>
  <c r="M295" i="38"/>
  <c r="K295" i="38"/>
  <c r="X294" i="38"/>
  <c r="W294" i="38"/>
  <c r="V294" i="38"/>
  <c r="U294" i="38"/>
  <c r="T294" i="38"/>
  <c r="S294" i="38"/>
  <c r="Q294" i="38"/>
  <c r="O294" i="38"/>
  <c r="M294" i="38"/>
  <c r="K294" i="38"/>
  <c r="X293" i="38"/>
  <c r="W293" i="38"/>
  <c r="V293" i="38"/>
  <c r="U293" i="38"/>
  <c r="T293" i="38"/>
  <c r="S293" i="38"/>
  <c r="Q293" i="38"/>
  <c r="O293" i="38"/>
  <c r="M293" i="38"/>
  <c r="K293" i="38"/>
  <c r="X292" i="38"/>
  <c r="W292" i="38"/>
  <c r="V292" i="38"/>
  <c r="U292" i="38"/>
  <c r="T292" i="38"/>
  <c r="S292" i="38"/>
  <c r="Q292" i="38"/>
  <c r="O292" i="38"/>
  <c r="M292" i="38"/>
  <c r="K292" i="38"/>
  <c r="X291" i="38"/>
  <c r="W291" i="38"/>
  <c r="V291" i="38"/>
  <c r="U291" i="38"/>
  <c r="T291" i="38"/>
  <c r="S291" i="38"/>
  <c r="Q291" i="38"/>
  <c r="O291" i="38"/>
  <c r="M291" i="38"/>
  <c r="K291" i="38"/>
  <c r="X290" i="38"/>
  <c r="W290" i="38"/>
  <c r="V290" i="38"/>
  <c r="U290" i="38"/>
  <c r="T290" i="38"/>
  <c r="S290" i="38"/>
  <c r="Q290" i="38"/>
  <c r="O290" i="38"/>
  <c r="M290" i="38"/>
  <c r="K290" i="38"/>
  <c r="X289" i="38"/>
  <c r="W289" i="38"/>
  <c r="V289" i="38"/>
  <c r="U289" i="38"/>
  <c r="T289" i="38"/>
  <c r="S289" i="38"/>
  <c r="Q289" i="38"/>
  <c r="O289" i="38"/>
  <c r="M289" i="38"/>
  <c r="K289" i="38"/>
  <c r="X288" i="38"/>
  <c r="W288" i="38"/>
  <c r="V288" i="38"/>
  <c r="U288" i="38"/>
  <c r="T288" i="38"/>
  <c r="S288" i="38"/>
  <c r="Q288" i="38"/>
  <c r="O288" i="38"/>
  <c r="M288" i="38"/>
  <c r="K288" i="38"/>
  <c r="X287" i="38"/>
  <c r="W287" i="38"/>
  <c r="V287" i="38"/>
  <c r="U287" i="38"/>
  <c r="T287" i="38"/>
  <c r="S287" i="38"/>
  <c r="Q287" i="38"/>
  <c r="O287" i="38"/>
  <c r="M287" i="38"/>
  <c r="K287" i="38"/>
  <c r="X286" i="38"/>
  <c r="W286" i="38"/>
  <c r="V286" i="38"/>
  <c r="U286" i="38"/>
  <c r="T286" i="38"/>
  <c r="S286" i="38"/>
  <c r="Q286" i="38"/>
  <c r="O286" i="38"/>
  <c r="M286" i="38"/>
  <c r="K286" i="38"/>
  <c r="X285" i="38"/>
  <c r="W285" i="38"/>
  <c r="V285" i="38"/>
  <c r="U285" i="38"/>
  <c r="T285" i="38"/>
  <c r="S285" i="38"/>
  <c r="Q285" i="38"/>
  <c r="O285" i="38"/>
  <c r="M285" i="38"/>
  <c r="K285" i="38"/>
  <c r="X284" i="38"/>
  <c r="W284" i="38"/>
  <c r="V284" i="38"/>
  <c r="U284" i="38"/>
  <c r="T284" i="38"/>
  <c r="S284" i="38"/>
  <c r="Q284" i="38"/>
  <c r="O284" i="38"/>
  <c r="M284" i="38"/>
  <c r="K284" i="38"/>
  <c r="X283" i="38"/>
  <c r="W283" i="38"/>
  <c r="V283" i="38"/>
  <c r="U283" i="38"/>
  <c r="T283" i="38"/>
  <c r="S283" i="38"/>
  <c r="Q283" i="38"/>
  <c r="O283" i="38"/>
  <c r="M283" i="38"/>
  <c r="K283" i="38"/>
  <c r="X282" i="38"/>
  <c r="W282" i="38"/>
  <c r="V282" i="38"/>
  <c r="U282" i="38"/>
  <c r="T282" i="38"/>
  <c r="S282" i="38"/>
  <c r="Q282" i="38"/>
  <c r="O282" i="38"/>
  <c r="M282" i="38"/>
  <c r="K282" i="38"/>
  <c r="X281" i="38"/>
  <c r="W281" i="38"/>
  <c r="V281" i="38"/>
  <c r="U281" i="38"/>
  <c r="T281" i="38"/>
  <c r="S281" i="38"/>
  <c r="Q281" i="38"/>
  <c r="O281" i="38"/>
  <c r="M281" i="38"/>
  <c r="K281" i="38"/>
  <c r="X280" i="38"/>
  <c r="W280" i="38"/>
  <c r="V280" i="38"/>
  <c r="U280" i="38"/>
  <c r="T280" i="38"/>
  <c r="S280" i="38"/>
  <c r="Q280" i="38"/>
  <c r="O280" i="38"/>
  <c r="M280" i="38"/>
  <c r="K280" i="38"/>
  <c r="X279" i="38"/>
  <c r="W279" i="38"/>
  <c r="V279" i="38"/>
  <c r="U279" i="38"/>
  <c r="T279" i="38"/>
  <c r="S279" i="38"/>
  <c r="Q279" i="38"/>
  <c r="O279" i="38"/>
  <c r="M279" i="38"/>
  <c r="K279" i="38"/>
  <c r="X278" i="38"/>
  <c r="W278" i="38"/>
  <c r="V278" i="38"/>
  <c r="U278" i="38"/>
  <c r="T278" i="38"/>
  <c r="S278" i="38"/>
  <c r="Q278" i="38"/>
  <c r="O278" i="38"/>
  <c r="M278" i="38"/>
  <c r="K278" i="38"/>
  <c r="X277" i="38"/>
  <c r="W277" i="38"/>
  <c r="V277" i="38"/>
  <c r="U277" i="38"/>
  <c r="T277" i="38"/>
  <c r="S277" i="38"/>
  <c r="Q277" i="38"/>
  <c r="O277" i="38"/>
  <c r="M277" i="38"/>
  <c r="K277" i="38"/>
  <c r="X276" i="38"/>
  <c r="W276" i="38"/>
  <c r="V276" i="38"/>
  <c r="U276" i="38"/>
  <c r="T276" i="38"/>
  <c r="S276" i="38"/>
  <c r="Q276" i="38"/>
  <c r="O276" i="38"/>
  <c r="M276" i="38"/>
  <c r="K276" i="38"/>
  <c r="X275" i="38"/>
  <c r="W275" i="38"/>
  <c r="V275" i="38"/>
  <c r="U275" i="38"/>
  <c r="T275" i="38"/>
  <c r="S275" i="38"/>
  <c r="Q275" i="38"/>
  <c r="O275" i="38"/>
  <c r="M275" i="38"/>
  <c r="K275" i="38"/>
  <c r="X274" i="38"/>
  <c r="W274" i="38"/>
  <c r="V274" i="38"/>
  <c r="U274" i="38"/>
  <c r="T274" i="38"/>
  <c r="S274" i="38"/>
  <c r="Q274" i="38"/>
  <c r="O274" i="38"/>
  <c r="M274" i="38"/>
  <c r="K274" i="38"/>
  <c r="X273" i="38"/>
  <c r="W273" i="38"/>
  <c r="V273" i="38"/>
  <c r="U273" i="38"/>
  <c r="T273" i="38"/>
  <c r="S273" i="38"/>
  <c r="Q273" i="38"/>
  <c r="O273" i="38"/>
  <c r="M273" i="38"/>
  <c r="K273" i="38"/>
  <c r="X272" i="38"/>
  <c r="W272" i="38"/>
  <c r="V272" i="38"/>
  <c r="U272" i="38"/>
  <c r="T272" i="38"/>
  <c r="S272" i="38"/>
  <c r="Q272" i="38"/>
  <c r="O272" i="38"/>
  <c r="M272" i="38"/>
  <c r="K272" i="38"/>
  <c r="X271" i="38"/>
  <c r="W271" i="38"/>
  <c r="V271" i="38"/>
  <c r="U271" i="38"/>
  <c r="T271" i="38"/>
  <c r="S271" i="38"/>
  <c r="Q271" i="38"/>
  <c r="O271" i="38"/>
  <c r="M271" i="38"/>
  <c r="K271" i="38"/>
  <c r="X270" i="38"/>
  <c r="W270" i="38"/>
  <c r="V270" i="38"/>
  <c r="U270" i="38"/>
  <c r="T270" i="38"/>
  <c r="S270" i="38"/>
  <c r="Q270" i="38"/>
  <c r="O270" i="38"/>
  <c r="M270" i="38"/>
  <c r="K270" i="38"/>
  <c r="X269" i="38"/>
  <c r="W269" i="38"/>
  <c r="V269" i="38"/>
  <c r="U269" i="38"/>
  <c r="T269" i="38"/>
  <c r="S269" i="38"/>
  <c r="Q269" i="38"/>
  <c r="O269" i="38"/>
  <c r="M269" i="38"/>
  <c r="K269" i="38"/>
  <c r="X268" i="38"/>
  <c r="W268" i="38"/>
  <c r="V268" i="38"/>
  <c r="U268" i="38"/>
  <c r="T268" i="38"/>
  <c r="S268" i="38"/>
  <c r="Q268" i="38"/>
  <c r="O268" i="38"/>
  <c r="M268" i="38"/>
  <c r="K268" i="38"/>
  <c r="X267" i="38"/>
  <c r="W267" i="38"/>
  <c r="V267" i="38"/>
  <c r="U267" i="38"/>
  <c r="T267" i="38"/>
  <c r="S267" i="38"/>
  <c r="Q267" i="38"/>
  <c r="O267" i="38"/>
  <c r="M267" i="38"/>
  <c r="K267" i="38"/>
  <c r="X266" i="38"/>
  <c r="W266" i="38"/>
  <c r="V266" i="38"/>
  <c r="U266" i="38"/>
  <c r="T266" i="38"/>
  <c r="S266" i="38"/>
  <c r="Q266" i="38"/>
  <c r="O266" i="38"/>
  <c r="M266" i="38"/>
  <c r="K266" i="38"/>
  <c r="X265" i="38"/>
  <c r="W265" i="38"/>
  <c r="V265" i="38"/>
  <c r="U265" i="38"/>
  <c r="T265" i="38"/>
  <c r="S265" i="38"/>
  <c r="Q265" i="38"/>
  <c r="O265" i="38"/>
  <c r="M265" i="38"/>
  <c r="K265" i="38"/>
  <c r="X264" i="38"/>
  <c r="W264" i="38"/>
  <c r="V264" i="38"/>
  <c r="U264" i="38"/>
  <c r="T264" i="38"/>
  <c r="S264" i="38"/>
  <c r="Q264" i="38"/>
  <c r="O264" i="38"/>
  <c r="M264" i="38"/>
  <c r="K264" i="38"/>
  <c r="X263" i="38"/>
  <c r="W263" i="38"/>
  <c r="V263" i="38"/>
  <c r="U263" i="38"/>
  <c r="T263" i="38"/>
  <c r="S263" i="38"/>
  <c r="Q263" i="38"/>
  <c r="O263" i="38"/>
  <c r="M263" i="38"/>
  <c r="K263" i="38"/>
  <c r="X262" i="38"/>
  <c r="W262" i="38"/>
  <c r="V262" i="38"/>
  <c r="U262" i="38"/>
  <c r="T262" i="38"/>
  <c r="S262" i="38"/>
  <c r="Q262" i="38"/>
  <c r="O262" i="38"/>
  <c r="M262" i="38"/>
  <c r="K262" i="38"/>
  <c r="X261" i="38"/>
  <c r="W261" i="38"/>
  <c r="V261" i="38"/>
  <c r="U261" i="38"/>
  <c r="T261" i="38"/>
  <c r="S261" i="38"/>
  <c r="Q261" i="38"/>
  <c r="O261" i="38"/>
  <c r="M261" i="38"/>
  <c r="K261" i="38"/>
  <c r="X260" i="38"/>
  <c r="W260" i="38"/>
  <c r="V260" i="38"/>
  <c r="U260" i="38"/>
  <c r="T260" i="38"/>
  <c r="S260" i="38"/>
  <c r="Q260" i="38"/>
  <c r="O260" i="38"/>
  <c r="M260" i="38"/>
  <c r="K260" i="38"/>
  <c r="X259" i="38"/>
  <c r="W259" i="38"/>
  <c r="V259" i="38"/>
  <c r="U259" i="38"/>
  <c r="T259" i="38"/>
  <c r="S259" i="38"/>
  <c r="Q259" i="38"/>
  <c r="O259" i="38"/>
  <c r="M259" i="38"/>
  <c r="K259" i="38"/>
  <c r="X258" i="38"/>
  <c r="W258" i="38"/>
  <c r="V258" i="38"/>
  <c r="U258" i="38"/>
  <c r="T258" i="38"/>
  <c r="S258" i="38"/>
  <c r="Q258" i="38"/>
  <c r="O258" i="38"/>
  <c r="M258" i="38"/>
  <c r="K258" i="38"/>
  <c r="X257" i="38"/>
  <c r="W257" i="38"/>
  <c r="V257" i="38"/>
  <c r="U257" i="38"/>
  <c r="T257" i="38"/>
  <c r="S257" i="38"/>
  <c r="Q257" i="38"/>
  <c r="O257" i="38"/>
  <c r="M257" i="38"/>
  <c r="K257" i="38"/>
  <c r="X256" i="38"/>
  <c r="W256" i="38"/>
  <c r="V256" i="38"/>
  <c r="U256" i="38"/>
  <c r="T256" i="38"/>
  <c r="S256" i="38"/>
  <c r="Q256" i="38"/>
  <c r="O256" i="38"/>
  <c r="M256" i="38"/>
  <c r="K256" i="38"/>
  <c r="X255" i="38"/>
  <c r="W255" i="38"/>
  <c r="V255" i="38"/>
  <c r="U255" i="38"/>
  <c r="T255" i="38"/>
  <c r="S255" i="38"/>
  <c r="Q255" i="38"/>
  <c r="O255" i="38"/>
  <c r="M255" i="38"/>
  <c r="K255" i="38"/>
  <c r="X254" i="38"/>
  <c r="W254" i="38"/>
  <c r="V254" i="38"/>
  <c r="U254" i="38"/>
  <c r="T254" i="38"/>
  <c r="S254" i="38"/>
  <c r="Q254" i="38"/>
  <c r="O254" i="38"/>
  <c r="M254" i="38"/>
  <c r="K254" i="38"/>
  <c r="X253" i="38"/>
  <c r="W253" i="38"/>
  <c r="V253" i="38"/>
  <c r="U253" i="38"/>
  <c r="T253" i="38"/>
  <c r="S253" i="38"/>
  <c r="Q253" i="38"/>
  <c r="O253" i="38"/>
  <c r="M253" i="38"/>
  <c r="K253" i="38"/>
  <c r="X252" i="38"/>
  <c r="W252" i="38"/>
  <c r="V252" i="38"/>
  <c r="U252" i="38"/>
  <c r="T252" i="38"/>
  <c r="S252" i="38"/>
  <c r="Q252" i="38"/>
  <c r="O252" i="38"/>
  <c r="M252" i="38"/>
  <c r="K252" i="38"/>
  <c r="X251" i="38"/>
  <c r="W251" i="38"/>
  <c r="V251" i="38"/>
  <c r="U251" i="38"/>
  <c r="T251" i="38"/>
  <c r="S251" i="38"/>
  <c r="Q251" i="38"/>
  <c r="O251" i="38"/>
  <c r="M251" i="38"/>
  <c r="K251" i="38"/>
  <c r="X250" i="38"/>
  <c r="W250" i="38"/>
  <c r="V250" i="38"/>
  <c r="U250" i="38"/>
  <c r="T250" i="38"/>
  <c r="S250" i="38"/>
  <c r="Q250" i="38"/>
  <c r="O250" i="38"/>
  <c r="M250" i="38"/>
  <c r="K250" i="38"/>
  <c r="X249" i="38"/>
  <c r="W249" i="38"/>
  <c r="V249" i="38"/>
  <c r="U249" i="38"/>
  <c r="T249" i="38"/>
  <c r="S249" i="38"/>
  <c r="Q249" i="38"/>
  <c r="O249" i="38"/>
  <c r="M249" i="38"/>
  <c r="K249" i="38"/>
  <c r="X248" i="38"/>
  <c r="W248" i="38"/>
  <c r="V248" i="38"/>
  <c r="U248" i="38"/>
  <c r="T248" i="38"/>
  <c r="S248" i="38"/>
  <c r="Q248" i="38"/>
  <c r="O248" i="38"/>
  <c r="M248" i="38"/>
  <c r="K248" i="38"/>
  <c r="X247" i="38"/>
  <c r="W247" i="38"/>
  <c r="V247" i="38"/>
  <c r="U247" i="38"/>
  <c r="T247" i="38"/>
  <c r="S247" i="38"/>
  <c r="Q247" i="38"/>
  <c r="O247" i="38"/>
  <c r="M247" i="38"/>
  <c r="K247" i="38"/>
  <c r="X246" i="38"/>
  <c r="W246" i="38"/>
  <c r="V246" i="38"/>
  <c r="U246" i="38"/>
  <c r="T246" i="38"/>
  <c r="S246" i="38"/>
  <c r="Q246" i="38"/>
  <c r="O246" i="38"/>
  <c r="M246" i="38"/>
  <c r="K246" i="38"/>
  <c r="X245" i="38"/>
  <c r="W245" i="38"/>
  <c r="V245" i="38"/>
  <c r="U245" i="38"/>
  <c r="T245" i="38"/>
  <c r="S245" i="38"/>
  <c r="Q245" i="38"/>
  <c r="O245" i="38"/>
  <c r="M245" i="38"/>
  <c r="K245" i="38"/>
  <c r="X244" i="38"/>
  <c r="W244" i="38"/>
  <c r="V244" i="38"/>
  <c r="U244" i="38"/>
  <c r="T244" i="38"/>
  <c r="S244" i="38"/>
  <c r="Q244" i="38"/>
  <c r="O244" i="38"/>
  <c r="M244" i="38"/>
  <c r="K244" i="38"/>
  <c r="X243" i="38"/>
  <c r="W243" i="38"/>
  <c r="V243" i="38"/>
  <c r="U243" i="38"/>
  <c r="T243" i="38"/>
  <c r="S243" i="38"/>
  <c r="Q243" i="38"/>
  <c r="O243" i="38"/>
  <c r="M243" i="38"/>
  <c r="K243" i="38"/>
  <c r="X242" i="38"/>
  <c r="W242" i="38"/>
  <c r="V242" i="38"/>
  <c r="U242" i="38"/>
  <c r="T242" i="38"/>
  <c r="S242" i="38"/>
  <c r="Q242" i="38"/>
  <c r="O242" i="38"/>
  <c r="M242" i="38"/>
  <c r="K242" i="38"/>
  <c r="X241" i="38"/>
  <c r="W241" i="38"/>
  <c r="V241" i="38"/>
  <c r="U241" i="38"/>
  <c r="T241" i="38"/>
  <c r="S241" i="38"/>
  <c r="Q241" i="38"/>
  <c r="O241" i="38"/>
  <c r="M241" i="38"/>
  <c r="K241" i="38"/>
  <c r="X240" i="38"/>
  <c r="W240" i="38"/>
  <c r="V240" i="38"/>
  <c r="U240" i="38"/>
  <c r="T240" i="38"/>
  <c r="S240" i="38"/>
  <c r="Q240" i="38"/>
  <c r="O240" i="38"/>
  <c r="M240" i="38"/>
  <c r="K240" i="38"/>
  <c r="X239" i="38"/>
  <c r="W239" i="38"/>
  <c r="V239" i="38"/>
  <c r="U239" i="38"/>
  <c r="T239" i="38"/>
  <c r="S239" i="38"/>
  <c r="Q239" i="38"/>
  <c r="O239" i="38"/>
  <c r="M239" i="38"/>
  <c r="K239" i="38"/>
  <c r="X238" i="38"/>
  <c r="W238" i="38"/>
  <c r="V238" i="38"/>
  <c r="U238" i="38"/>
  <c r="T238" i="38"/>
  <c r="S238" i="38"/>
  <c r="Q238" i="38"/>
  <c r="O238" i="38"/>
  <c r="M238" i="38"/>
  <c r="K238" i="38"/>
  <c r="X237" i="38"/>
  <c r="W237" i="38"/>
  <c r="V237" i="38"/>
  <c r="U237" i="38"/>
  <c r="T237" i="38"/>
  <c r="S237" i="38"/>
  <c r="Q237" i="38"/>
  <c r="O237" i="38"/>
  <c r="M237" i="38"/>
  <c r="K237" i="38"/>
  <c r="X236" i="38"/>
  <c r="W236" i="38"/>
  <c r="V236" i="38"/>
  <c r="U236" i="38"/>
  <c r="T236" i="38"/>
  <c r="S236" i="38"/>
  <c r="Q236" i="38"/>
  <c r="O236" i="38"/>
  <c r="M236" i="38"/>
  <c r="K236" i="38"/>
  <c r="X235" i="38"/>
  <c r="W235" i="38"/>
  <c r="V235" i="38"/>
  <c r="U235" i="38"/>
  <c r="T235" i="38"/>
  <c r="S235" i="38"/>
  <c r="Q235" i="38"/>
  <c r="O235" i="38"/>
  <c r="M235" i="38"/>
  <c r="K235" i="38"/>
  <c r="X234" i="38"/>
  <c r="W234" i="38"/>
  <c r="V234" i="38"/>
  <c r="U234" i="38"/>
  <c r="T234" i="38"/>
  <c r="S234" i="38"/>
  <c r="Q234" i="38"/>
  <c r="O234" i="38"/>
  <c r="M234" i="38"/>
  <c r="K234" i="38"/>
  <c r="X233" i="38"/>
  <c r="W233" i="38"/>
  <c r="V233" i="38"/>
  <c r="U233" i="38"/>
  <c r="T233" i="38"/>
  <c r="S233" i="38"/>
  <c r="Q233" i="38"/>
  <c r="O233" i="38"/>
  <c r="M233" i="38"/>
  <c r="K233" i="38"/>
  <c r="X232" i="38"/>
  <c r="W232" i="38"/>
  <c r="V232" i="38"/>
  <c r="U232" i="38"/>
  <c r="T232" i="38"/>
  <c r="S232" i="38"/>
  <c r="Q232" i="38"/>
  <c r="O232" i="38"/>
  <c r="M232" i="38"/>
  <c r="K232" i="38"/>
  <c r="X231" i="38"/>
  <c r="W231" i="38"/>
  <c r="V231" i="38"/>
  <c r="U231" i="38"/>
  <c r="T231" i="38"/>
  <c r="S231" i="38"/>
  <c r="Q231" i="38"/>
  <c r="O231" i="38"/>
  <c r="M231" i="38"/>
  <c r="K231" i="38"/>
  <c r="X230" i="38"/>
  <c r="W230" i="38"/>
  <c r="V230" i="38"/>
  <c r="U230" i="38"/>
  <c r="T230" i="38"/>
  <c r="S230" i="38"/>
  <c r="Q230" i="38"/>
  <c r="O230" i="38"/>
  <c r="M230" i="38"/>
  <c r="K230" i="38"/>
  <c r="X229" i="38"/>
  <c r="W229" i="38"/>
  <c r="V229" i="38"/>
  <c r="U229" i="38"/>
  <c r="T229" i="38"/>
  <c r="S229" i="38"/>
  <c r="Q229" i="38"/>
  <c r="O229" i="38"/>
  <c r="M229" i="38"/>
  <c r="K229" i="38"/>
  <c r="X228" i="38"/>
  <c r="W228" i="38"/>
  <c r="V228" i="38"/>
  <c r="U228" i="38"/>
  <c r="T228" i="38"/>
  <c r="S228" i="38"/>
  <c r="Q228" i="38"/>
  <c r="O228" i="38"/>
  <c r="M228" i="38"/>
  <c r="K228" i="38"/>
  <c r="X227" i="38"/>
  <c r="W227" i="38"/>
  <c r="V227" i="38"/>
  <c r="U227" i="38"/>
  <c r="T227" i="38"/>
  <c r="S227" i="38"/>
  <c r="Q227" i="38"/>
  <c r="O227" i="38"/>
  <c r="M227" i="38"/>
  <c r="K227" i="38"/>
  <c r="X226" i="38"/>
  <c r="W226" i="38"/>
  <c r="V226" i="38"/>
  <c r="U226" i="38"/>
  <c r="T226" i="38"/>
  <c r="S226" i="38"/>
  <c r="Q226" i="38"/>
  <c r="O226" i="38"/>
  <c r="M226" i="38"/>
  <c r="K226" i="38"/>
  <c r="X225" i="38"/>
  <c r="W225" i="38"/>
  <c r="V225" i="38"/>
  <c r="U225" i="38"/>
  <c r="T225" i="38"/>
  <c r="S225" i="38"/>
  <c r="Q225" i="38"/>
  <c r="O225" i="38"/>
  <c r="M225" i="38"/>
  <c r="K225" i="38"/>
  <c r="X224" i="38"/>
  <c r="W224" i="38"/>
  <c r="V224" i="38"/>
  <c r="U224" i="38"/>
  <c r="T224" i="38"/>
  <c r="S224" i="38"/>
  <c r="Q224" i="38"/>
  <c r="O224" i="38"/>
  <c r="M224" i="38"/>
  <c r="K224" i="38"/>
  <c r="X223" i="38"/>
  <c r="W223" i="38"/>
  <c r="V223" i="38"/>
  <c r="U223" i="38"/>
  <c r="T223" i="38"/>
  <c r="S223" i="38"/>
  <c r="Q223" i="38"/>
  <c r="O223" i="38"/>
  <c r="M223" i="38"/>
  <c r="K223" i="38"/>
  <c r="X222" i="38"/>
  <c r="W222" i="38"/>
  <c r="V222" i="38"/>
  <c r="U222" i="38"/>
  <c r="T222" i="38"/>
  <c r="S222" i="38"/>
  <c r="Q222" i="38"/>
  <c r="O222" i="38"/>
  <c r="M222" i="38"/>
  <c r="K222" i="38"/>
  <c r="X221" i="38"/>
  <c r="W221" i="38"/>
  <c r="V221" i="38"/>
  <c r="U221" i="38"/>
  <c r="T221" i="38"/>
  <c r="S221" i="38"/>
  <c r="Q221" i="38"/>
  <c r="O221" i="38"/>
  <c r="M221" i="38"/>
  <c r="K221" i="38"/>
  <c r="X220" i="38"/>
  <c r="W220" i="38"/>
  <c r="V220" i="38"/>
  <c r="U220" i="38"/>
  <c r="T220" i="38"/>
  <c r="S220" i="38"/>
  <c r="Q220" i="38"/>
  <c r="O220" i="38"/>
  <c r="M220" i="38"/>
  <c r="K220" i="38"/>
  <c r="X219" i="38"/>
  <c r="W219" i="38"/>
  <c r="V219" i="38"/>
  <c r="U219" i="38"/>
  <c r="T219" i="38"/>
  <c r="S219" i="38"/>
  <c r="Q219" i="38"/>
  <c r="O219" i="38"/>
  <c r="M219" i="38"/>
  <c r="K219" i="38"/>
  <c r="X218" i="38"/>
  <c r="W218" i="38"/>
  <c r="V218" i="38"/>
  <c r="U218" i="38"/>
  <c r="T218" i="38"/>
  <c r="S218" i="38"/>
  <c r="Q218" i="38"/>
  <c r="O218" i="38"/>
  <c r="M218" i="38"/>
  <c r="K218" i="38"/>
  <c r="X217" i="38"/>
  <c r="W217" i="38"/>
  <c r="V217" i="38"/>
  <c r="U217" i="38"/>
  <c r="T217" i="38"/>
  <c r="S217" i="38"/>
  <c r="Q217" i="38"/>
  <c r="O217" i="38"/>
  <c r="M217" i="38"/>
  <c r="K217" i="38"/>
  <c r="X216" i="38"/>
  <c r="W216" i="38"/>
  <c r="V216" i="38"/>
  <c r="U216" i="38"/>
  <c r="T216" i="38"/>
  <c r="S216" i="38"/>
  <c r="Q216" i="38"/>
  <c r="O216" i="38"/>
  <c r="M216" i="38"/>
  <c r="K216" i="38"/>
  <c r="X215" i="38"/>
  <c r="W215" i="38"/>
  <c r="V215" i="38"/>
  <c r="U215" i="38"/>
  <c r="T215" i="38"/>
  <c r="S215" i="38"/>
  <c r="Q215" i="38"/>
  <c r="O215" i="38"/>
  <c r="M215" i="38"/>
  <c r="K215" i="38"/>
  <c r="X214" i="38"/>
  <c r="W214" i="38"/>
  <c r="V214" i="38"/>
  <c r="U214" i="38"/>
  <c r="T214" i="38"/>
  <c r="S214" i="38"/>
  <c r="Q214" i="38"/>
  <c r="O214" i="38"/>
  <c r="M214" i="38"/>
  <c r="K214" i="38"/>
  <c r="X213" i="38"/>
  <c r="W213" i="38"/>
  <c r="V213" i="38"/>
  <c r="U213" i="38"/>
  <c r="T213" i="38"/>
  <c r="S213" i="38"/>
  <c r="Q213" i="38"/>
  <c r="O213" i="38"/>
  <c r="M213" i="38"/>
  <c r="K213" i="38"/>
  <c r="X212" i="38"/>
  <c r="W212" i="38"/>
  <c r="V212" i="38"/>
  <c r="U212" i="38"/>
  <c r="T212" i="38"/>
  <c r="S212" i="38"/>
  <c r="Q212" i="38"/>
  <c r="O212" i="38"/>
  <c r="M212" i="38"/>
  <c r="K212" i="38"/>
  <c r="X211" i="38"/>
  <c r="W211" i="38"/>
  <c r="V211" i="38"/>
  <c r="U211" i="38"/>
  <c r="T211" i="38"/>
  <c r="S211" i="38"/>
  <c r="Q211" i="38"/>
  <c r="O211" i="38"/>
  <c r="M211" i="38"/>
  <c r="K211" i="38"/>
  <c r="X210" i="38"/>
  <c r="W210" i="38"/>
  <c r="V210" i="38"/>
  <c r="U210" i="38"/>
  <c r="T210" i="38"/>
  <c r="S210" i="38"/>
  <c r="Q210" i="38"/>
  <c r="O210" i="38"/>
  <c r="M210" i="38"/>
  <c r="K210" i="38"/>
  <c r="X209" i="38"/>
  <c r="W209" i="38"/>
  <c r="V209" i="38"/>
  <c r="U209" i="38"/>
  <c r="T209" i="38"/>
  <c r="S209" i="38"/>
  <c r="Q209" i="38"/>
  <c r="O209" i="38"/>
  <c r="M209" i="38"/>
  <c r="K209" i="38"/>
  <c r="X208" i="38"/>
  <c r="W208" i="38"/>
  <c r="V208" i="38"/>
  <c r="U208" i="38"/>
  <c r="T208" i="38"/>
  <c r="S208" i="38"/>
  <c r="Q208" i="38"/>
  <c r="O208" i="38"/>
  <c r="M208" i="38"/>
  <c r="K208" i="38"/>
  <c r="X207" i="38"/>
  <c r="W207" i="38"/>
  <c r="V207" i="38"/>
  <c r="U207" i="38"/>
  <c r="T207" i="38"/>
  <c r="S207" i="38"/>
  <c r="Q207" i="38"/>
  <c r="O207" i="38"/>
  <c r="M207" i="38"/>
  <c r="K207" i="38"/>
  <c r="X206" i="38"/>
  <c r="W206" i="38"/>
  <c r="V206" i="38"/>
  <c r="U206" i="38"/>
  <c r="T206" i="38"/>
  <c r="S206" i="38"/>
  <c r="Q206" i="38"/>
  <c r="O206" i="38"/>
  <c r="M206" i="38"/>
  <c r="K206" i="38"/>
  <c r="X205" i="38"/>
  <c r="W205" i="38"/>
  <c r="V205" i="38"/>
  <c r="U205" i="38"/>
  <c r="T205" i="38"/>
  <c r="S205" i="38"/>
  <c r="Q205" i="38"/>
  <c r="O205" i="38"/>
  <c r="M205" i="38"/>
  <c r="K205" i="38"/>
  <c r="X204" i="38"/>
  <c r="W204" i="38"/>
  <c r="V204" i="38"/>
  <c r="U204" i="38"/>
  <c r="T204" i="38"/>
  <c r="S204" i="38"/>
  <c r="Q204" i="38"/>
  <c r="O204" i="38"/>
  <c r="M204" i="38"/>
  <c r="K204" i="38"/>
  <c r="X203" i="38"/>
  <c r="W203" i="38"/>
  <c r="V203" i="38"/>
  <c r="U203" i="38"/>
  <c r="T203" i="38"/>
  <c r="S203" i="38"/>
  <c r="Q203" i="38"/>
  <c r="O203" i="38"/>
  <c r="M203" i="38"/>
  <c r="K203" i="38"/>
  <c r="X202" i="38"/>
  <c r="W202" i="38"/>
  <c r="V202" i="38"/>
  <c r="U202" i="38"/>
  <c r="T202" i="38"/>
  <c r="S202" i="38"/>
  <c r="Q202" i="38"/>
  <c r="O202" i="38"/>
  <c r="M202" i="38"/>
  <c r="K202" i="38"/>
  <c r="X201" i="38"/>
  <c r="W201" i="38"/>
  <c r="V201" i="38"/>
  <c r="U201" i="38"/>
  <c r="T201" i="38"/>
  <c r="S201" i="38"/>
  <c r="Q201" i="38"/>
  <c r="O201" i="38"/>
  <c r="M201" i="38"/>
  <c r="K201" i="38"/>
  <c r="X200" i="38"/>
  <c r="W200" i="38"/>
  <c r="V200" i="38"/>
  <c r="U200" i="38"/>
  <c r="T200" i="38"/>
  <c r="S200" i="38"/>
  <c r="Q200" i="38"/>
  <c r="O200" i="38"/>
  <c r="M200" i="38"/>
  <c r="K200" i="38"/>
  <c r="X199" i="38"/>
  <c r="W199" i="38"/>
  <c r="V199" i="38"/>
  <c r="U199" i="38"/>
  <c r="T199" i="38"/>
  <c r="S199" i="38"/>
  <c r="Q199" i="38"/>
  <c r="O199" i="38"/>
  <c r="M199" i="38"/>
  <c r="K199" i="38"/>
  <c r="X198" i="38"/>
  <c r="W198" i="38"/>
  <c r="V198" i="38"/>
  <c r="U198" i="38"/>
  <c r="T198" i="38"/>
  <c r="S198" i="38"/>
  <c r="Q198" i="38"/>
  <c r="O198" i="38"/>
  <c r="M198" i="38"/>
  <c r="K198" i="38"/>
  <c r="X197" i="38"/>
  <c r="W197" i="38"/>
  <c r="V197" i="38"/>
  <c r="U197" i="38"/>
  <c r="T197" i="38"/>
  <c r="S197" i="38"/>
  <c r="Q197" i="38"/>
  <c r="O197" i="38"/>
  <c r="M197" i="38"/>
  <c r="K197" i="38"/>
  <c r="X196" i="38"/>
  <c r="W196" i="38"/>
  <c r="V196" i="38"/>
  <c r="U196" i="38"/>
  <c r="T196" i="38"/>
  <c r="S196" i="38"/>
  <c r="Q196" i="38"/>
  <c r="O196" i="38"/>
  <c r="M196" i="38"/>
  <c r="K196" i="38"/>
  <c r="X195" i="38"/>
  <c r="W195" i="38"/>
  <c r="V195" i="38"/>
  <c r="U195" i="38"/>
  <c r="T195" i="38"/>
  <c r="S195" i="38"/>
  <c r="Q195" i="38"/>
  <c r="O195" i="38"/>
  <c r="M195" i="38"/>
  <c r="K195" i="38"/>
  <c r="X194" i="38"/>
  <c r="W194" i="38"/>
  <c r="V194" i="38"/>
  <c r="U194" i="38"/>
  <c r="T194" i="38"/>
  <c r="S194" i="38"/>
  <c r="Q194" i="38"/>
  <c r="O194" i="38"/>
  <c r="M194" i="38"/>
  <c r="K194" i="38"/>
  <c r="X193" i="38"/>
  <c r="W193" i="38"/>
  <c r="V193" i="38"/>
  <c r="U193" i="38"/>
  <c r="T193" i="38"/>
  <c r="S193" i="38"/>
  <c r="Q193" i="38"/>
  <c r="O193" i="38"/>
  <c r="M193" i="38"/>
  <c r="K193" i="38"/>
  <c r="X192" i="38"/>
  <c r="W192" i="38"/>
  <c r="V192" i="38"/>
  <c r="U192" i="38"/>
  <c r="T192" i="38"/>
  <c r="S192" i="38"/>
  <c r="Q192" i="38"/>
  <c r="O192" i="38"/>
  <c r="M192" i="38"/>
  <c r="K192" i="38"/>
  <c r="X191" i="38"/>
  <c r="W191" i="38"/>
  <c r="V191" i="38"/>
  <c r="U191" i="38"/>
  <c r="T191" i="38"/>
  <c r="S191" i="38"/>
  <c r="Q191" i="38"/>
  <c r="O191" i="38"/>
  <c r="M191" i="38"/>
  <c r="K191" i="38"/>
  <c r="X190" i="38"/>
  <c r="W190" i="38"/>
  <c r="V190" i="38"/>
  <c r="U190" i="38"/>
  <c r="T190" i="38"/>
  <c r="S190" i="38"/>
  <c r="Q190" i="38"/>
  <c r="O190" i="38"/>
  <c r="M190" i="38"/>
  <c r="K190" i="38"/>
  <c r="X189" i="38"/>
  <c r="W189" i="38"/>
  <c r="V189" i="38"/>
  <c r="U189" i="38"/>
  <c r="T189" i="38"/>
  <c r="S189" i="38"/>
  <c r="Q189" i="38"/>
  <c r="O189" i="38"/>
  <c r="M189" i="38"/>
  <c r="K189" i="38"/>
  <c r="X188" i="38"/>
  <c r="W188" i="38"/>
  <c r="V188" i="38"/>
  <c r="U188" i="38"/>
  <c r="T188" i="38"/>
  <c r="S188" i="38"/>
  <c r="Q188" i="38"/>
  <c r="O188" i="38"/>
  <c r="M188" i="38"/>
  <c r="K188" i="38"/>
  <c r="X187" i="38"/>
  <c r="W187" i="38"/>
  <c r="V187" i="38"/>
  <c r="U187" i="38"/>
  <c r="T187" i="38"/>
  <c r="S187" i="38"/>
  <c r="Q187" i="38"/>
  <c r="O187" i="38"/>
  <c r="M187" i="38"/>
  <c r="K187" i="38"/>
  <c r="X186" i="38"/>
  <c r="W186" i="38"/>
  <c r="V186" i="38"/>
  <c r="U186" i="38"/>
  <c r="T186" i="38"/>
  <c r="S186" i="38"/>
  <c r="Q186" i="38"/>
  <c r="O186" i="38"/>
  <c r="M186" i="38"/>
  <c r="K186" i="38"/>
  <c r="X185" i="38"/>
  <c r="W185" i="38"/>
  <c r="V185" i="38"/>
  <c r="U185" i="38"/>
  <c r="T185" i="38"/>
  <c r="S185" i="38"/>
  <c r="Q185" i="38"/>
  <c r="O185" i="38"/>
  <c r="M185" i="38"/>
  <c r="K185" i="38"/>
  <c r="X184" i="38"/>
  <c r="W184" i="38"/>
  <c r="V184" i="38"/>
  <c r="U184" i="38"/>
  <c r="T184" i="38"/>
  <c r="S184" i="38"/>
  <c r="Q184" i="38"/>
  <c r="O184" i="38"/>
  <c r="M184" i="38"/>
  <c r="K184" i="38"/>
  <c r="X183" i="38"/>
  <c r="W183" i="38"/>
  <c r="V183" i="38"/>
  <c r="U183" i="38"/>
  <c r="T183" i="38"/>
  <c r="S183" i="38"/>
  <c r="Q183" i="38"/>
  <c r="O183" i="38"/>
  <c r="M183" i="38"/>
  <c r="K183" i="38"/>
  <c r="X182" i="38"/>
  <c r="W182" i="38"/>
  <c r="V182" i="38"/>
  <c r="U182" i="38"/>
  <c r="T182" i="38"/>
  <c r="S182" i="38"/>
  <c r="Q182" i="38"/>
  <c r="O182" i="38"/>
  <c r="M182" i="38"/>
  <c r="K182" i="38"/>
  <c r="X181" i="38"/>
  <c r="W181" i="38"/>
  <c r="V181" i="38"/>
  <c r="U181" i="38"/>
  <c r="T181" i="38"/>
  <c r="S181" i="38"/>
  <c r="Q181" i="38"/>
  <c r="O181" i="38"/>
  <c r="M181" i="38"/>
  <c r="K181" i="38"/>
  <c r="X180" i="38"/>
  <c r="W180" i="38"/>
  <c r="V180" i="38"/>
  <c r="U180" i="38"/>
  <c r="T180" i="38"/>
  <c r="S180" i="38"/>
  <c r="Q180" i="38"/>
  <c r="O180" i="38"/>
  <c r="M180" i="38"/>
  <c r="K180" i="38"/>
  <c r="X179" i="38"/>
  <c r="W179" i="38"/>
  <c r="V179" i="38"/>
  <c r="U179" i="38"/>
  <c r="T179" i="38"/>
  <c r="S179" i="38"/>
  <c r="Q179" i="38"/>
  <c r="O179" i="38"/>
  <c r="M179" i="38"/>
  <c r="K179" i="38"/>
  <c r="X178" i="38"/>
  <c r="W178" i="38"/>
  <c r="V178" i="38"/>
  <c r="U178" i="38"/>
  <c r="T178" i="38"/>
  <c r="S178" i="38"/>
  <c r="Q178" i="38"/>
  <c r="O178" i="38"/>
  <c r="M178" i="38"/>
  <c r="K178" i="38"/>
  <c r="X177" i="38"/>
  <c r="W177" i="38"/>
  <c r="V177" i="38"/>
  <c r="U177" i="38"/>
  <c r="T177" i="38"/>
  <c r="S177" i="38"/>
  <c r="Q177" i="38"/>
  <c r="O177" i="38"/>
  <c r="M177" i="38"/>
  <c r="K177" i="38"/>
  <c r="X176" i="38"/>
  <c r="W176" i="38"/>
  <c r="V176" i="38"/>
  <c r="U176" i="38"/>
  <c r="T176" i="38"/>
  <c r="S176" i="38"/>
  <c r="Q176" i="38"/>
  <c r="O176" i="38"/>
  <c r="M176" i="38"/>
  <c r="K176" i="38"/>
  <c r="X175" i="38"/>
  <c r="W175" i="38"/>
  <c r="V175" i="38"/>
  <c r="U175" i="38"/>
  <c r="T175" i="38"/>
  <c r="S175" i="38"/>
  <c r="Q175" i="38"/>
  <c r="O175" i="38"/>
  <c r="M175" i="38"/>
  <c r="K175" i="38"/>
  <c r="X174" i="38"/>
  <c r="W174" i="38"/>
  <c r="V174" i="38"/>
  <c r="U174" i="38"/>
  <c r="T174" i="38"/>
  <c r="S174" i="38"/>
  <c r="Q174" i="38"/>
  <c r="O174" i="38"/>
  <c r="M174" i="38"/>
  <c r="K174" i="38"/>
  <c r="X173" i="38"/>
  <c r="W173" i="38"/>
  <c r="V173" i="38"/>
  <c r="U173" i="38"/>
  <c r="T173" i="38"/>
  <c r="S173" i="38"/>
  <c r="Q173" i="38"/>
  <c r="O173" i="38"/>
  <c r="M173" i="38"/>
  <c r="K173" i="38"/>
  <c r="X172" i="38"/>
  <c r="W172" i="38"/>
  <c r="V172" i="38"/>
  <c r="U172" i="38"/>
  <c r="T172" i="38"/>
  <c r="S172" i="38"/>
  <c r="Q172" i="38"/>
  <c r="O172" i="38"/>
  <c r="M172" i="38"/>
  <c r="K172" i="38"/>
  <c r="X171" i="38"/>
  <c r="W171" i="38"/>
  <c r="V171" i="38"/>
  <c r="U171" i="38"/>
  <c r="T171" i="38"/>
  <c r="S171" i="38"/>
  <c r="Q171" i="38"/>
  <c r="O171" i="38"/>
  <c r="M171" i="38"/>
  <c r="K171" i="38"/>
  <c r="X170" i="38"/>
  <c r="W170" i="38"/>
  <c r="V170" i="38"/>
  <c r="U170" i="38"/>
  <c r="T170" i="38"/>
  <c r="S170" i="38"/>
  <c r="Q170" i="38"/>
  <c r="O170" i="38"/>
  <c r="M170" i="38"/>
  <c r="K170" i="38"/>
  <c r="X169" i="38"/>
  <c r="W169" i="38"/>
  <c r="V169" i="38"/>
  <c r="U169" i="38"/>
  <c r="T169" i="38"/>
  <c r="S169" i="38"/>
  <c r="Q169" i="38"/>
  <c r="O169" i="38"/>
  <c r="M169" i="38"/>
  <c r="K169" i="38"/>
  <c r="X168" i="38"/>
  <c r="W168" i="38"/>
  <c r="V168" i="38"/>
  <c r="U168" i="38"/>
  <c r="T168" i="38"/>
  <c r="S168" i="38"/>
  <c r="Q168" i="38"/>
  <c r="O168" i="38"/>
  <c r="M168" i="38"/>
  <c r="K168" i="38"/>
  <c r="X167" i="38"/>
  <c r="W167" i="38"/>
  <c r="V167" i="38"/>
  <c r="U167" i="38"/>
  <c r="T167" i="38"/>
  <c r="S167" i="38"/>
  <c r="Q167" i="38"/>
  <c r="O167" i="38"/>
  <c r="M167" i="38"/>
  <c r="K167" i="38"/>
  <c r="X166" i="38"/>
  <c r="W166" i="38"/>
  <c r="V166" i="38"/>
  <c r="U166" i="38"/>
  <c r="T166" i="38"/>
  <c r="S166" i="38"/>
  <c r="Q166" i="38"/>
  <c r="O166" i="38"/>
  <c r="M166" i="38"/>
  <c r="K166" i="38"/>
  <c r="X165" i="38"/>
  <c r="W165" i="38"/>
  <c r="V165" i="38"/>
  <c r="U165" i="38"/>
  <c r="T165" i="38"/>
  <c r="S165" i="38"/>
  <c r="Q165" i="38"/>
  <c r="O165" i="38"/>
  <c r="M165" i="38"/>
  <c r="K165" i="38"/>
  <c r="X164" i="38"/>
  <c r="W164" i="38"/>
  <c r="V164" i="38"/>
  <c r="U164" i="38"/>
  <c r="T164" i="38"/>
  <c r="S164" i="38"/>
  <c r="Q164" i="38"/>
  <c r="O164" i="38"/>
  <c r="M164" i="38"/>
  <c r="K164" i="38"/>
  <c r="X163" i="38"/>
  <c r="W163" i="38"/>
  <c r="V163" i="38"/>
  <c r="U163" i="38"/>
  <c r="T163" i="38"/>
  <c r="S163" i="38"/>
  <c r="Q163" i="38"/>
  <c r="O163" i="38"/>
  <c r="M163" i="38"/>
  <c r="K163" i="38"/>
  <c r="X162" i="38"/>
  <c r="W162" i="38"/>
  <c r="V162" i="38"/>
  <c r="U162" i="38"/>
  <c r="T162" i="38"/>
  <c r="S162" i="38"/>
  <c r="Q162" i="38"/>
  <c r="O162" i="38"/>
  <c r="M162" i="38"/>
  <c r="K162" i="38"/>
  <c r="X161" i="38"/>
  <c r="W161" i="38"/>
  <c r="V161" i="38"/>
  <c r="U161" i="38"/>
  <c r="T161" i="38"/>
  <c r="S161" i="38"/>
  <c r="Q161" i="38"/>
  <c r="O161" i="38"/>
  <c r="M161" i="38"/>
  <c r="K161" i="38"/>
  <c r="X160" i="38"/>
  <c r="W160" i="38"/>
  <c r="V160" i="38"/>
  <c r="U160" i="38"/>
  <c r="T160" i="38"/>
  <c r="S160" i="38"/>
  <c r="Q160" i="38"/>
  <c r="O160" i="38"/>
  <c r="M160" i="38"/>
  <c r="K160" i="38"/>
  <c r="X159" i="38"/>
  <c r="W159" i="38"/>
  <c r="V159" i="38"/>
  <c r="U159" i="38"/>
  <c r="T159" i="38"/>
  <c r="S159" i="38"/>
  <c r="Q159" i="38"/>
  <c r="O159" i="38"/>
  <c r="M159" i="38"/>
  <c r="K159" i="38"/>
  <c r="X158" i="38"/>
  <c r="W158" i="38"/>
  <c r="V158" i="38"/>
  <c r="U158" i="38"/>
  <c r="T158" i="38"/>
  <c r="S158" i="38"/>
  <c r="Q158" i="38"/>
  <c r="O158" i="38"/>
  <c r="M158" i="38"/>
  <c r="K158" i="38"/>
  <c r="X157" i="38"/>
  <c r="W157" i="38"/>
  <c r="V157" i="38"/>
  <c r="U157" i="38"/>
  <c r="T157" i="38"/>
  <c r="S157" i="38"/>
  <c r="Q157" i="38"/>
  <c r="O157" i="38"/>
  <c r="M157" i="38"/>
  <c r="K157" i="38"/>
  <c r="X156" i="38"/>
  <c r="W156" i="38"/>
  <c r="V156" i="38"/>
  <c r="U156" i="38"/>
  <c r="T156" i="38"/>
  <c r="S156" i="38"/>
  <c r="Q156" i="38"/>
  <c r="O156" i="38"/>
  <c r="M156" i="38"/>
  <c r="K156" i="38"/>
  <c r="X155" i="38"/>
  <c r="W155" i="38"/>
  <c r="V155" i="38"/>
  <c r="U155" i="38"/>
  <c r="T155" i="38"/>
  <c r="S155" i="38"/>
  <c r="Q155" i="38"/>
  <c r="O155" i="38"/>
  <c r="M155" i="38"/>
  <c r="K155" i="38"/>
  <c r="X154" i="38"/>
  <c r="W154" i="38"/>
  <c r="V154" i="38"/>
  <c r="U154" i="38"/>
  <c r="T154" i="38"/>
  <c r="S154" i="38"/>
  <c r="Q154" i="38"/>
  <c r="O154" i="38"/>
  <c r="M154" i="38"/>
  <c r="K154" i="38"/>
  <c r="X153" i="38"/>
  <c r="W153" i="38"/>
  <c r="V153" i="38"/>
  <c r="U153" i="38"/>
  <c r="T153" i="38"/>
  <c r="S153" i="38"/>
  <c r="Q153" i="38"/>
  <c r="O153" i="38"/>
  <c r="M153" i="38"/>
  <c r="K153" i="38"/>
  <c r="X152" i="38"/>
  <c r="W152" i="38"/>
  <c r="V152" i="38"/>
  <c r="U152" i="38"/>
  <c r="T152" i="38"/>
  <c r="S152" i="38"/>
  <c r="Q152" i="38"/>
  <c r="O152" i="38"/>
  <c r="M152" i="38"/>
  <c r="K152" i="38"/>
  <c r="X151" i="38"/>
  <c r="W151" i="38"/>
  <c r="V151" i="38"/>
  <c r="U151" i="38"/>
  <c r="T151" i="38"/>
  <c r="S151" i="38"/>
  <c r="Q151" i="38"/>
  <c r="O151" i="38"/>
  <c r="M151" i="38"/>
  <c r="K151" i="38"/>
  <c r="X150" i="38"/>
  <c r="W150" i="38"/>
  <c r="V150" i="38"/>
  <c r="U150" i="38"/>
  <c r="T150" i="38"/>
  <c r="S150" i="38"/>
  <c r="Q150" i="38"/>
  <c r="O150" i="38"/>
  <c r="M150" i="38"/>
  <c r="K150" i="38"/>
  <c r="X149" i="38"/>
  <c r="W149" i="38"/>
  <c r="V149" i="38"/>
  <c r="U149" i="38"/>
  <c r="T149" i="38"/>
  <c r="S149" i="38"/>
  <c r="Q149" i="38"/>
  <c r="O149" i="38"/>
  <c r="M149" i="38"/>
  <c r="K149" i="38"/>
  <c r="X148" i="38"/>
  <c r="W148" i="38"/>
  <c r="V148" i="38"/>
  <c r="U148" i="38"/>
  <c r="T148" i="38"/>
  <c r="S148" i="38"/>
  <c r="Q148" i="38"/>
  <c r="O148" i="38"/>
  <c r="M148" i="38"/>
  <c r="K148" i="38"/>
  <c r="X147" i="38"/>
  <c r="W147" i="38"/>
  <c r="V147" i="38"/>
  <c r="U147" i="38"/>
  <c r="T147" i="38"/>
  <c r="S147" i="38"/>
  <c r="Q147" i="38"/>
  <c r="O147" i="38"/>
  <c r="M147" i="38"/>
  <c r="K147" i="38"/>
  <c r="X146" i="38"/>
  <c r="W146" i="38"/>
  <c r="V146" i="38"/>
  <c r="U146" i="38"/>
  <c r="T146" i="38"/>
  <c r="S146" i="38"/>
  <c r="Q146" i="38"/>
  <c r="O146" i="38"/>
  <c r="M146" i="38"/>
  <c r="K146" i="38"/>
  <c r="X145" i="38"/>
  <c r="W145" i="38"/>
  <c r="V145" i="38"/>
  <c r="U145" i="38"/>
  <c r="T145" i="38"/>
  <c r="S145" i="38"/>
  <c r="Q145" i="38"/>
  <c r="O145" i="38"/>
  <c r="M145" i="38"/>
  <c r="K145" i="38"/>
  <c r="X144" i="38"/>
  <c r="W144" i="38"/>
  <c r="V144" i="38"/>
  <c r="U144" i="38"/>
  <c r="T144" i="38"/>
  <c r="S144" i="38"/>
  <c r="Q144" i="38"/>
  <c r="O144" i="38"/>
  <c r="M144" i="38"/>
  <c r="K144" i="38"/>
  <c r="X143" i="38"/>
  <c r="W143" i="38"/>
  <c r="V143" i="38"/>
  <c r="U143" i="38"/>
  <c r="T143" i="38"/>
  <c r="S143" i="38"/>
  <c r="Q143" i="38"/>
  <c r="O143" i="38"/>
  <c r="M143" i="38"/>
  <c r="K143" i="38"/>
  <c r="X142" i="38"/>
  <c r="W142" i="38"/>
  <c r="V142" i="38"/>
  <c r="U142" i="38"/>
  <c r="T142" i="38"/>
  <c r="S142" i="38"/>
  <c r="Q142" i="38"/>
  <c r="O142" i="38"/>
  <c r="M142" i="38"/>
  <c r="K142" i="38"/>
  <c r="X141" i="38"/>
  <c r="W141" i="38"/>
  <c r="V141" i="38"/>
  <c r="U141" i="38"/>
  <c r="T141" i="38"/>
  <c r="S141" i="38"/>
  <c r="Q141" i="38"/>
  <c r="O141" i="38"/>
  <c r="M141" i="38"/>
  <c r="K141" i="38"/>
  <c r="X140" i="38"/>
  <c r="W140" i="38"/>
  <c r="V140" i="38"/>
  <c r="U140" i="38"/>
  <c r="T140" i="38"/>
  <c r="S140" i="38"/>
  <c r="Q140" i="38"/>
  <c r="O140" i="38"/>
  <c r="M140" i="38"/>
  <c r="K140" i="38"/>
  <c r="X139" i="38"/>
  <c r="W139" i="38"/>
  <c r="V139" i="38"/>
  <c r="U139" i="38"/>
  <c r="T139" i="38"/>
  <c r="S139" i="38"/>
  <c r="Q139" i="38"/>
  <c r="O139" i="38"/>
  <c r="M139" i="38"/>
  <c r="K139" i="38"/>
  <c r="X138" i="38"/>
  <c r="W138" i="38"/>
  <c r="V138" i="38"/>
  <c r="U138" i="38"/>
  <c r="T138" i="38"/>
  <c r="S138" i="38"/>
  <c r="Q138" i="38"/>
  <c r="O138" i="38"/>
  <c r="M138" i="38"/>
  <c r="K138" i="38"/>
  <c r="X137" i="38"/>
  <c r="W137" i="38"/>
  <c r="V137" i="38"/>
  <c r="U137" i="38"/>
  <c r="T137" i="38"/>
  <c r="S137" i="38"/>
  <c r="Q137" i="38"/>
  <c r="O137" i="38"/>
  <c r="M137" i="38"/>
  <c r="K137" i="38"/>
  <c r="X136" i="38"/>
  <c r="W136" i="38"/>
  <c r="V136" i="38"/>
  <c r="U136" i="38"/>
  <c r="T136" i="38"/>
  <c r="S136" i="38"/>
  <c r="Q136" i="38"/>
  <c r="O136" i="38"/>
  <c r="M136" i="38"/>
  <c r="K136" i="38"/>
  <c r="X135" i="38"/>
  <c r="W135" i="38"/>
  <c r="V135" i="38"/>
  <c r="U135" i="38"/>
  <c r="T135" i="38"/>
  <c r="S135" i="38"/>
  <c r="Q135" i="38"/>
  <c r="O135" i="38"/>
  <c r="M135" i="38"/>
  <c r="K135" i="38"/>
  <c r="X134" i="38"/>
  <c r="W134" i="38"/>
  <c r="V134" i="38"/>
  <c r="U134" i="38"/>
  <c r="T134" i="38"/>
  <c r="S134" i="38"/>
  <c r="Q134" i="38"/>
  <c r="O134" i="38"/>
  <c r="M134" i="38"/>
  <c r="K134" i="38"/>
  <c r="X133" i="38"/>
  <c r="W133" i="38"/>
  <c r="V133" i="38"/>
  <c r="U133" i="38"/>
  <c r="T133" i="38"/>
  <c r="S133" i="38"/>
  <c r="Q133" i="38"/>
  <c r="O133" i="38"/>
  <c r="M133" i="38"/>
  <c r="K133" i="38"/>
  <c r="X132" i="38"/>
  <c r="W132" i="38"/>
  <c r="V132" i="38"/>
  <c r="U132" i="38"/>
  <c r="T132" i="38"/>
  <c r="S132" i="38"/>
  <c r="Q132" i="38"/>
  <c r="O132" i="38"/>
  <c r="M132" i="38"/>
  <c r="K132" i="38"/>
  <c r="X131" i="38"/>
  <c r="W131" i="38"/>
  <c r="V131" i="38"/>
  <c r="U131" i="38"/>
  <c r="T131" i="38"/>
  <c r="S131" i="38"/>
  <c r="Q131" i="38"/>
  <c r="O131" i="38"/>
  <c r="M131" i="38"/>
  <c r="K131" i="38"/>
  <c r="X130" i="38"/>
  <c r="W130" i="38"/>
  <c r="V130" i="38"/>
  <c r="U130" i="38"/>
  <c r="T130" i="38"/>
  <c r="S130" i="38"/>
  <c r="Q130" i="38"/>
  <c r="O130" i="38"/>
  <c r="M130" i="38"/>
  <c r="K130" i="38"/>
  <c r="X129" i="38"/>
  <c r="W129" i="38"/>
  <c r="V129" i="38"/>
  <c r="U129" i="38"/>
  <c r="T129" i="38"/>
  <c r="S129" i="38"/>
  <c r="Q129" i="38"/>
  <c r="O129" i="38"/>
  <c r="M129" i="38"/>
  <c r="K129" i="38"/>
  <c r="X128" i="38"/>
  <c r="W128" i="38"/>
  <c r="V128" i="38"/>
  <c r="U128" i="38"/>
  <c r="T128" i="38"/>
  <c r="S128" i="38"/>
  <c r="Q128" i="38"/>
  <c r="O128" i="38"/>
  <c r="M128" i="38"/>
  <c r="K128" i="38"/>
  <c r="X127" i="38"/>
  <c r="W127" i="38"/>
  <c r="V127" i="38"/>
  <c r="U127" i="38"/>
  <c r="T127" i="38"/>
  <c r="S127" i="38"/>
  <c r="Q127" i="38"/>
  <c r="O127" i="38"/>
  <c r="M127" i="38"/>
  <c r="K127" i="38"/>
  <c r="X126" i="38"/>
  <c r="W126" i="38"/>
  <c r="V126" i="38"/>
  <c r="U126" i="38"/>
  <c r="T126" i="38"/>
  <c r="S126" i="38"/>
  <c r="Q126" i="38"/>
  <c r="O126" i="38"/>
  <c r="M126" i="38"/>
  <c r="K126" i="38"/>
  <c r="X125" i="38"/>
  <c r="W125" i="38"/>
  <c r="V125" i="38"/>
  <c r="U125" i="38"/>
  <c r="T125" i="38"/>
  <c r="S125" i="38"/>
  <c r="Q125" i="38"/>
  <c r="O125" i="38"/>
  <c r="M125" i="38"/>
  <c r="K125" i="38"/>
  <c r="X124" i="38"/>
  <c r="W124" i="38"/>
  <c r="V124" i="38"/>
  <c r="U124" i="38"/>
  <c r="T124" i="38"/>
  <c r="S124" i="38"/>
  <c r="Q124" i="38"/>
  <c r="O124" i="38"/>
  <c r="M124" i="38"/>
  <c r="K124" i="38"/>
  <c r="X123" i="38"/>
  <c r="W123" i="38"/>
  <c r="V123" i="38"/>
  <c r="U123" i="38"/>
  <c r="T123" i="38"/>
  <c r="S123" i="38"/>
  <c r="Q123" i="38"/>
  <c r="O123" i="38"/>
  <c r="M123" i="38"/>
  <c r="K123" i="38"/>
  <c r="X122" i="38"/>
  <c r="W122" i="38"/>
  <c r="V122" i="38"/>
  <c r="U122" i="38"/>
  <c r="T122" i="38"/>
  <c r="S122" i="38"/>
  <c r="Q122" i="38"/>
  <c r="O122" i="38"/>
  <c r="M122" i="38"/>
  <c r="K122" i="38"/>
  <c r="X121" i="38"/>
  <c r="W121" i="38"/>
  <c r="V121" i="38"/>
  <c r="U121" i="38"/>
  <c r="T121" i="38"/>
  <c r="S121" i="38"/>
  <c r="Q121" i="38"/>
  <c r="O121" i="38"/>
  <c r="M121" i="38"/>
  <c r="K121" i="38"/>
  <c r="X120" i="38"/>
  <c r="W120" i="38"/>
  <c r="V120" i="38"/>
  <c r="U120" i="38"/>
  <c r="T120" i="38"/>
  <c r="S120" i="38"/>
  <c r="Q120" i="38"/>
  <c r="O120" i="38"/>
  <c r="M120" i="38"/>
  <c r="K120" i="38"/>
  <c r="X119" i="38"/>
  <c r="W119" i="38"/>
  <c r="V119" i="38"/>
  <c r="U119" i="38"/>
  <c r="T119" i="38"/>
  <c r="S119" i="38"/>
  <c r="Q119" i="38"/>
  <c r="O119" i="38"/>
  <c r="M119" i="38"/>
  <c r="K119" i="38"/>
  <c r="X118" i="38"/>
  <c r="W118" i="38"/>
  <c r="V118" i="38"/>
  <c r="U118" i="38"/>
  <c r="T118" i="38"/>
  <c r="S118" i="38"/>
  <c r="Q118" i="38"/>
  <c r="O118" i="38"/>
  <c r="M118" i="38"/>
  <c r="K118" i="38"/>
  <c r="X117" i="38"/>
  <c r="W117" i="38"/>
  <c r="V117" i="38"/>
  <c r="U117" i="38"/>
  <c r="T117" i="38"/>
  <c r="S117" i="38"/>
  <c r="Q117" i="38"/>
  <c r="O117" i="38"/>
  <c r="M117" i="38"/>
  <c r="K117" i="38"/>
  <c r="X116" i="38"/>
  <c r="W116" i="38"/>
  <c r="V116" i="38"/>
  <c r="U116" i="38"/>
  <c r="T116" i="38"/>
  <c r="S116" i="38"/>
  <c r="Q116" i="38"/>
  <c r="O116" i="38"/>
  <c r="M116" i="38"/>
  <c r="K116" i="38"/>
  <c r="X115" i="38"/>
  <c r="W115" i="38"/>
  <c r="V115" i="38"/>
  <c r="U115" i="38"/>
  <c r="T115" i="38"/>
  <c r="S115" i="38"/>
  <c r="Q115" i="38"/>
  <c r="O115" i="38"/>
  <c r="M115" i="38"/>
  <c r="K115" i="38"/>
  <c r="X114" i="38"/>
  <c r="W114" i="38"/>
  <c r="V114" i="38"/>
  <c r="U114" i="38"/>
  <c r="T114" i="38"/>
  <c r="S114" i="38"/>
  <c r="Q114" i="38"/>
  <c r="O114" i="38"/>
  <c r="M114" i="38"/>
  <c r="K114" i="38"/>
  <c r="X113" i="38"/>
  <c r="W113" i="38"/>
  <c r="V113" i="38"/>
  <c r="U113" i="38"/>
  <c r="T113" i="38"/>
  <c r="S113" i="38"/>
  <c r="Q113" i="38"/>
  <c r="O113" i="38"/>
  <c r="M113" i="38"/>
  <c r="K113" i="38"/>
  <c r="X112" i="38"/>
  <c r="W112" i="38"/>
  <c r="V112" i="38"/>
  <c r="U112" i="38"/>
  <c r="T112" i="38"/>
  <c r="S112" i="38"/>
  <c r="Q112" i="38"/>
  <c r="O112" i="38"/>
  <c r="M112" i="38"/>
  <c r="K112" i="38"/>
  <c r="X111" i="38"/>
  <c r="W111" i="38"/>
  <c r="V111" i="38"/>
  <c r="U111" i="38"/>
  <c r="T111" i="38"/>
  <c r="S111" i="38"/>
  <c r="Q111" i="38"/>
  <c r="O111" i="38"/>
  <c r="M111" i="38"/>
  <c r="K111" i="38"/>
  <c r="X110" i="38"/>
  <c r="W110" i="38"/>
  <c r="V110" i="38"/>
  <c r="U110" i="38"/>
  <c r="T110" i="38"/>
  <c r="S110" i="38"/>
  <c r="Q110" i="38"/>
  <c r="O110" i="38"/>
  <c r="M110" i="38"/>
  <c r="K110" i="38"/>
  <c r="X109" i="38"/>
  <c r="W109" i="38"/>
  <c r="V109" i="38"/>
  <c r="U109" i="38"/>
  <c r="T109" i="38"/>
  <c r="S109" i="38"/>
  <c r="Q109" i="38"/>
  <c r="O109" i="38"/>
  <c r="M109" i="38"/>
  <c r="K109" i="38"/>
  <c r="X108" i="38"/>
  <c r="W108" i="38"/>
  <c r="V108" i="38"/>
  <c r="U108" i="38"/>
  <c r="T108" i="38"/>
  <c r="S108" i="38"/>
  <c r="Q108" i="38"/>
  <c r="O108" i="38"/>
  <c r="M108" i="38"/>
  <c r="K108" i="38"/>
  <c r="X107" i="38"/>
  <c r="W107" i="38"/>
  <c r="V107" i="38"/>
  <c r="U107" i="38"/>
  <c r="T107" i="38"/>
  <c r="S107" i="38"/>
  <c r="Q107" i="38"/>
  <c r="O107" i="38"/>
  <c r="M107" i="38"/>
  <c r="K107" i="38"/>
  <c r="X106" i="38"/>
  <c r="W106" i="38"/>
  <c r="V106" i="38"/>
  <c r="U106" i="38"/>
  <c r="T106" i="38"/>
  <c r="S106" i="38"/>
  <c r="Q106" i="38"/>
  <c r="O106" i="38"/>
  <c r="M106" i="38"/>
  <c r="K106" i="38"/>
  <c r="X105" i="38"/>
  <c r="W105" i="38"/>
  <c r="V105" i="38"/>
  <c r="U105" i="38"/>
  <c r="T105" i="38"/>
  <c r="S105" i="38"/>
  <c r="Q105" i="38"/>
  <c r="O105" i="38"/>
  <c r="M105" i="38"/>
  <c r="K105" i="38"/>
  <c r="X104" i="38"/>
  <c r="W104" i="38"/>
  <c r="V104" i="38"/>
  <c r="U104" i="38"/>
  <c r="T104" i="38"/>
  <c r="S104" i="38"/>
  <c r="Q104" i="38"/>
  <c r="O104" i="38"/>
  <c r="M104" i="38"/>
  <c r="K104" i="38"/>
  <c r="X103" i="38"/>
  <c r="W103" i="38"/>
  <c r="V103" i="38"/>
  <c r="U103" i="38"/>
  <c r="T103" i="38"/>
  <c r="S103" i="38"/>
  <c r="Q103" i="38"/>
  <c r="O103" i="38"/>
  <c r="M103" i="38"/>
  <c r="K103" i="38"/>
  <c r="X102" i="38"/>
  <c r="W102" i="38"/>
  <c r="V102" i="38"/>
  <c r="U102" i="38"/>
  <c r="T102" i="38"/>
  <c r="S102" i="38"/>
  <c r="Q102" i="38"/>
  <c r="O102" i="38"/>
  <c r="M102" i="38"/>
  <c r="K102" i="38"/>
  <c r="X101" i="38"/>
  <c r="W101" i="38"/>
  <c r="V101" i="38"/>
  <c r="U101" i="38"/>
  <c r="T101" i="38"/>
  <c r="S101" i="38"/>
  <c r="Q101" i="38"/>
  <c r="O101" i="38"/>
  <c r="M101" i="38"/>
  <c r="K101" i="38"/>
  <c r="X100" i="38"/>
  <c r="W100" i="38"/>
  <c r="V100" i="38"/>
  <c r="U100" i="38"/>
  <c r="T100" i="38"/>
  <c r="S100" i="38"/>
  <c r="Q100" i="38"/>
  <c r="O100" i="38"/>
  <c r="M100" i="38"/>
  <c r="K100" i="38"/>
  <c r="X99" i="38"/>
  <c r="W99" i="38"/>
  <c r="V99" i="38"/>
  <c r="U99" i="38"/>
  <c r="T99" i="38"/>
  <c r="S99" i="38"/>
  <c r="Q99" i="38"/>
  <c r="O99" i="38"/>
  <c r="M99" i="38"/>
  <c r="K99" i="38"/>
  <c r="X98" i="38"/>
  <c r="W98" i="38"/>
  <c r="V98" i="38"/>
  <c r="U98" i="38"/>
  <c r="T98" i="38"/>
  <c r="S98" i="38"/>
  <c r="Q98" i="38"/>
  <c r="O98" i="38"/>
  <c r="M98" i="38"/>
  <c r="K98" i="38"/>
  <c r="X97" i="38"/>
  <c r="W97" i="38"/>
  <c r="V97" i="38"/>
  <c r="U97" i="38"/>
  <c r="T97" i="38"/>
  <c r="S97" i="38"/>
  <c r="Q97" i="38"/>
  <c r="O97" i="38"/>
  <c r="M97" i="38"/>
  <c r="K97" i="38"/>
  <c r="X96" i="38"/>
  <c r="W96" i="38"/>
  <c r="V96" i="38"/>
  <c r="U96" i="38"/>
  <c r="T96" i="38"/>
  <c r="S96" i="38"/>
  <c r="Q96" i="38"/>
  <c r="O96" i="38"/>
  <c r="M96" i="38"/>
  <c r="K96" i="38"/>
  <c r="X95" i="38"/>
  <c r="W95" i="38"/>
  <c r="V95" i="38"/>
  <c r="U95" i="38"/>
  <c r="T95" i="38"/>
  <c r="S95" i="38"/>
  <c r="Q95" i="38"/>
  <c r="O95" i="38"/>
  <c r="M95" i="38"/>
  <c r="K95" i="38"/>
  <c r="X94" i="38"/>
  <c r="W94" i="38"/>
  <c r="V94" i="38"/>
  <c r="U94" i="38"/>
  <c r="T94" i="38"/>
  <c r="S94" i="38"/>
  <c r="Q94" i="38"/>
  <c r="O94" i="38"/>
  <c r="M94" i="38"/>
  <c r="K94" i="38"/>
  <c r="X93" i="38"/>
  <c r="W93" i="38"/>
  <c r="V93" i="38"/>
  <c r="U93" i="38"/>
  <c r="T93" i="38"/>
  <c r="S93" i="38"/>
  <c r="Q93" i="38"/>
  <c r="O93" i="38"/>
  <c r="M93" i="38"/>
  <c r="K93" i="38"/>
  <c r="X92" i="38"/>
  <c r="W92" i="38"/>
  <c r="V92" i="38"/>
  <c r="U92" i="38"/>
  <c r="T92" i="38"/>
  <c r="S92" i="38"/>
  <c r="Q92" i="38"/>
  <c r="O92" i="38"/>
  <c r="M92" i="38"/>
  <c r="K92" i="38"/>
  <c r="X91" i="38"/>
  <c r="W91" i="38"/>
  <c r="V91" i="38"/>
  <c r="U91" i="38"/>
  <c r="T91" i="38"/>
  <c r="S91" i="38"/>
  <c r="Q91" i="38"/>
  <c r="O91" i="38"/>
  <c r="M91" i="38"/>
  <c r="K91" i="38"/>
  <c r="X90" i="38"/>
  <c r="W90" i="38"/>
  <c r="V90" i="38"/>
  <c r="U90" i="38"/>
  <c r="T90" i="38"/>
  <c r="S90" i="38"/>
  <c r="Q90" i="38"/>
  <c r="O90" i="38"/>
  <c r="M90" i="38"/>
  <c r="K90" i="38"/>
  <c r="X89" i="38"/>
  <c r="W89" i="38"/>
  <c r="V89" i="38"/>
  <c r="U89" i="38"/>
  <c r="T89" i="38"/>
  <c r="S89" i="38"/>
  <c r="Q89" i="38"/>
  <c r="O89" i="38"/>
  <c r="M89" i="38"/>
  <c r="K89" i="38"/>
  <c r="X88" i="38"/>
  <c r="W88" i="38"/>
  <c r="V88" i="38"/>
  <c r="U88" i="38"/>
  <c r="T88" i="38"/>
  <c r="S88" i="38"/>
  <c r="Q88" i="38"/>
  <c r="O88" i="38"/>
  <c r="M88" i="38"/>
  <c r="K88" i="38"/>
  <c r="X87" i="38"/>
  <c r="W87" i="38"/>
  <c r="V87" i="38"/>
  <c r="U87" i="38"/>
  <c r="T87" i="38"/>
  <c r="S87" i="38"/>
  <c r="Q87" i="38"/>
  <c r="O87" i="38"/>
  <c r="M87" i="38"/>
  <c r="K87" i="38"/>
  <c r="X86" i="38"/>
  <c r="W86" i="38"/>
  <c r="V86" i="38"/>
  <c r="U86" i="38"/>
  <c r="T86" i="38"/>
  <c r="S86" i="38"/>
  <c r="Q86" i="38"/>
  <c r="O86" i="38"/>
  <c r="M86" i="38"/>
  <c r="K86" i="38"/>
  <c r="X85" i="38"/>
  <c r="W85" i="38"/>
  <c r="V85" i="38"/>
  <c r="U85" i="38"/>
  <c r="T85" i="38"/>
  <c r="S85" i="38"/>
  <c r="Q85" i="38"/>
  <c r="O85" i="38"/>
  <c r="M85" i="38"/>
  <c r="K85" i="38"/>
  <c r="X84" i="38"/>
  <c r="W84" i="38"/>
  <c r="V84" i="38"/>
  <c r="U84" i="38"/>
  <c r="T84" i="38"/>
  <c r="S84" i="38"/>
  <c r="Q84" i="38"/>
  <c r="O84" i="38"/>
  <c r="M84" i="38"/>
  <c r="K84" i="38"/>
  <c r="X83" i="38"/>
  <c r="W83" i="38"/>
  <c r="V83" i="38"/>
  <c r="U83" i="38"/>
  <c r="T83" i="38"/>
  <c r="S83" i="38"/>
  <c r="Q83" i="38"/>
  <c r="O83" i="38"/>
  <c r="M83" i="38"/>
  <c r="K83" i="38"/>
  <c r="X82" i="38"/>
  <c r="W82" i="38"/>
  <c r="V82" i="38"/>
  <c r="U82" i="38"/>
  <c r="T82" i="38"/>
  <c r="S82" i="38"/>
  <c r="Q82" i="38"/>
  <c r="O82" i="38"/>
  <c r="M82" i="38"/>
  <c r="K82" i="38"/>
  <c r="X81" i="38"/>
  <c r="W81" i="38"/>
  <c r="V81" i="38"/>
  <c r="U81" i="38"/>
  <c r="T81" i="38"/>
  <c r="S81" i="38"/>
  <c r="Q81" i="38"/>
  <c r="O81" i="38"/>
  <c r="M81" i="38"/>
  <c r="K81" i="38"/>
  <c r="X80" i="38"/>
  <c r="W80" i="38"/>
  <c r="V80" i="38"/>
  <c r="U80" i="38"/>
  <c r="T80" i="38"/>
  <c r="S80" i="38"/>
  <c r="Q80" i="38"/>
  <c r="O80" i="38"/>
  <c r="M80" i="38"/>
  <c r="K80" i="38"/>
  <c r="X79" i="38"/>
  <c r="W79" i="38"/>
  <c r="V79" i="38"/>
  <c r="U79" i="38"/>
  <c r="T79" i="38"/>
  <c r="S79" i="38"/>
  <c r="Q79" i="38"/>
  <c r="O79" i="38"/>
  <c r="M79" i="38"/>
  <c r="K79" i="38"/>
  <c r="X78" i="38"/>
  <c r="W78" i="38"/>
  <c r="V78" i="38"/>
  <c r="U78" i="38"/>
  <c r="T78" i="38"/>
  <c r="S78" i="38"/>
  <c r="Q78" i="38"/>
  <c r="O78" i="38"/>
  <c r="M78" i="38"/>
  <c r="K78" i="38"/>
  <c r="X77" i="38"/>
  <c r="W77" i="38"/>
  <c r="V77" i="38"/>
  <c r="U77" i="38"/>
  <c r="T77" i="38"/>
  <c r="S77" i="38"/>
  <c r="Q77" i="38"/>
  <c r="O77" i="38"/>
  <c r="M77" i="38"/>
  <c r="K77" i="38"/>
  <c r="X76" i="38"/>
  <c r="W76" i="38"/>
  <c r="V76" i="38"/>
  <c r="U76" i="38"/>
  <c r="T76" i="38"/>
  <c r="S76" i="38"/>
  <c r="Q76" i="38"/>
  <c r="O76" i="38"/>
  <c r="M76" i="38"/>
  <c r="K76" i="38"/>
  <c r="X75" i="38"/>
  <c r="W75" i="38"/>
  <c r="V75" i="38"/>
  <c r="U75" i="38"/>
  <c r="T75" i="38"/>
  <c r="S75" i="38"/>
  <c r="Q75" i="38"/>
  <c r="O75" i="38"/>
  <c r="M75" i="38"/>
  <c r="K75" i="38"/>
  <c r="X74" i="38"/>
  <c r="W74" i="38"/>
  <c r="V74" i="38"/>
  <c r="U74" i="38"/>
  <c r="T74" i="38"/>
  <c r="S74" i="38"/>
  <c r="Q74" i="38"/>
  <c r="O74" i="38"/>
  <c r="M74" i="38"/>
  <c r="K74" i="38"/>
  <c r="X73" i="38"/>
  <c r="W73" i="38"/>
  <c r="V73" i="38"/>
  <c r="U73" i="38"/>
  <c r="T73" i="38"/>
  <c r="S73" i="38"/>
  <c r="Q73" i="38"/>
  <c r="O73" i="38"/>
  <c r="M73" i="38"/>
  <c r="K73" i="38"/>
  <c r="X72" i="38"/>
  <c r="W72" i="38"/>
  <c r="V72" i="38"/>
  <c r="U72" i="38"/>
  <c r="T72" i="38"/>
  <c r="S72" i="38"/>
  <c r="Q72" i="38"/>
  <c r="O72" i="38"/>
  <c r="M72" i="38"/>
  <c r="K72" i="38"/>
  <c r="X71" i="38"/>
  <c r="W71" i="38"/>
  <c r="V71" i="38"/>
  <c r="U71" i="38"/>
  <c r="T71" i="38"/>
  <c r="S71" i="38"/>
  <c r="Q71" i="38"/>
  <c r="O71" i="38"/>
  <c r="M71" i="38"/>
  <c r="K71" i="38"/>
  <c r="X70" i="38"/>
  <c r="W70" i="38"/>
  <c r="V70" i="38"/>
  <c r="U70" i="38"/>
  <c r="T70" i="38"/>
  <c r="S70" i="38"/>
  <c r="Q70" i="38"/>
  <c r="O70" i="38"/>
  <c r="M70" i="38"/>
  <c r="K70" i="38"/>
  <c r="X69" i="38"/>
  <c r="W69" i="38"/>
  <c r="V69" i="38"/>
  <c r="U69" i="38"/>
  <c r="T69" i="38"/>
  <c r="S69" i="38"/>
  <c r="Q69" i="38"/>
  <c r="O69" i="38"/>
  <c r="M69" i="38"/>
  <c r="K69" i="38"/>
  <c r="X68" i="38"/>
  <c r="W68" i="38"/>
  <c r="V68" i="38"/>
  <c r="U68" i="38"/>
  <c r="T68" i="38"/>
  <c r="S68" i="38"/>
  <c r="Q68" i="38"/>
  <c r="O68" i="38"/>
  <c r="M68" i="38"/>
  <c r="K68" i="38"/>
  <c r="X67" i="38"/>
  <c r="W67" i="38"/>
  <c r="V67" i="38"/>
  <c r="U67" i="38"/>
  <c r="T67" i="38"/>
  <c r="S67" i="38"/>
  <c r="Q67" i="38"/>
  <c r="O67" i="38"/>
  <c r="M67" i="38"/>
  <c r="K67" i="38"/>
  <c r="X66" i="38"/>
  <c r="W66" i="38"/>
  <c r="V66" i="38"/>
  <c r="U66" i="38"/>
  <c r="T66" i="38"/>
  <c r="S66" i="38"/>
  <c r="Q66" i="38"/>
  <c r="O66" i="38"/>
  <c r="M66" i="38"/>
  <c r="K66" i="38"/>
  <c r="X65" i="38"/>
  <c r="W65" i="38"/>
  <c r="V65" i="38"/>
  <c r="U65" i="38"/>
  <c r="T65" i="38"/>
  <c r="S65" i="38"/>
  <c r="Q65" i="38"/>
  <c r="O65" i="38"/>
  <c r="M65" i="38"/>
  <c r="K65" i="38"/>
  <c r="X64" i="38"/>
  <c r="W64" i="38"/>
  <c r="V64" i="38"/>
  <c r="U64" i="38"/>
  <c r="T64" i="38"/>
  <c r="S64" i="38"/>
  <c r="Q64" i="38"/>
  <c r="O64" i="38"/>
  <c r="M64" i="38"/>
  <c r="K64" i="38"/>
  <c r="X63" i="38"/>
  <c r="W63" i="38"/>
  <c r="V63" i="38"/>
  <c r="U63" i="38"/>
  <c r="T63" i="38"/>
  <c r="S63" i="38"/>
  <c r="Q63" i="38"/>
  <c r="O63" i="38"/>
  <c r="M63" i="38"/>
  <c r="K63" i="38"/>
  <c r="X62" i="38"/>
  <c r="W62" i="38"/>
  <c r="V62" i="38"/>
  <c r="U62" i="38"/>
  <c r="T62" i="38"/>
  <c r="S62" i="38"/>
  <c r="Q62" i="38"/>
  <c r="O62" i="38"/>
  <c r="M62" i="38"/>
  <c r="K62" i="38"/>
  <c r="X61" i="38"/>
  <c r="W61" i="38"/>
  <c r="V61" i="38"/>
  <c r="U61" i="38"/>
  <c r="T61" i="38"/>
  <c r="S61" i="38"/>
  <c r="Q61" i="38"/>
  <c r="O61" i="38"/>
  <c r="M61" i="38"/>
  <c r="K61" i="38"/>
  <c r="X60" i="38"/>
  <c r="W60" i="38"/>
  <c r="V60" i="38"/>
  <c r="U60" i="38"/>
  <c r="T60" i="38"/>
  <c r="S60" i="38"/>
  <c r="Q60" i="38"/>
  <c r="O60" i="38"/>
  <c r="M60" i="38"/>
  <c r="K60" i="38"/>
  <c r="X59" i="38"/>
  <c r="W59" i="38"/>
  <c r="V59" i="38"/>
  <c r="U59" i="38"/>
  <c r="T59" i="38"/>
  <c r="S59" i="38"/>
  <c r="Q59" i="38"/>
  <c r="O59" i="38"/>
  <c r="M59" i="38"/>
  <c r="K59" i="38"/>
  <c r="X58" i="38"/>
  <c r="W58" i="38"/>
  <c r="V58" i="38"/>
  <c r="U58" i="38"/>
  <c r="T58" i="38"/>
  <c r="S58" i="38"/>
  <c r="Q58" i="38"/>
  <c r="O58" i="38"/>
  <c r="M58" i="38"/>
  <c r="K58" i="38"/>
  <c r="X57" i="38"/>
  <c r="W57" i="38"/>
  <c r="V57" i="38"/>
  <c r="U57" i="38"/>
  <c r="T57" i="38"/>
  <c r="S57" i="38"/>
  <c r="Q57" i="38"/>
  <c r="O57" i="38"/>
  <c r="M57" i="38"/>
  <c r="K57" i="38"/>
  <c r="X56" i="38"/>
  <c r="W56" i="38"/>
  <c r="V56" i="38"/>
  <c r="U56" i="38"/>
  <c r="T56" i="38"/>
  <c r="S56" i="38"/>
  <c r="Q56" i="38"/>
  <c r="O56" i="38"/>
  <c r="M56" i="38"/>
  <c r="K56" i="38"/>
  <c r="X55" i="38"/>
  <c r="W55" i="38"/>
  <c r="V55" i="38"/>
  <c r="U55" i="38"/>
  <c r="T55" i="38"/>
  <c r="S55" i="38"/>
  <c r="Q55" i="38"/>
  <c r="O55" i="38"/>
  <c r="M55" i="38"/>
  <c r="K55" i="38"/>
  <c r="X54" i="38"/>
  <c r="W54" i="38"/>
  <c r="V54" i="38"/>
  <c r="U54" i="38"/>
  <c r="T54" i="38"/>
  <c r="S54" i="38"/>
  <c r="Q54" i="38"/>
  <c r="O54" i="38"/>
  <c r="M54" i="38"/>
  <c r="K54" i="38"/>
  <c r="X53" i="38"/>
  <c r="W53" i="38"/>
  <c r="V53" i="38"/>
  <c r="U53" i="38"/>
  <c r="T53" i="38"/>
  <c r="S53" i="38"/>
  <c r="Q53" i="38"/>
  <c r="O53" i="38"/>
  <c r="M53" i="38"/>
  <c r="K53" i="38"/>
  <c r="X52" i="38"/>
  <c r="W52" i="38"/>
  <c r="V52" i="38"/>
  <c r="U52" i="38"/>
  <c r="T52" i="38"/>
  <c r="S52" i="38"/>
  <c r="Q52" i="38"/>
  <c r="O52" i="38"/>
  <c r="M52" i="38"/>
  <c r="K52" i="38"/>
  <c r="X51" i="38"/>
  <c r="W51" i="38"/>
  <c r="V51" i="38"/>
  <c r="U51" i="38"/>
  <c r="T51" i="38"/>
  <c r="S51" i="38"/>
  <c r="Q51" i="38"/>
  <c r="O51" i="38"/>
  <c r="M51" i="38"/>
  <c r="K51" i="38"/>
  <c r="X50" i="38"/>
  <c r="W50" i="38"/>
  <c r="V50" i="38"/>
  <c r="U50" i="38"/>
  <c r="T50" i="38"/>
  <c r="S50" i="38"/>
  <c r="Q50" i="38"/>
  <c r="O50" i="38"/>
  <c r="M50" i="38"/>
  <c r="K50" i="38"/>
  <c r="X49" i="38"/>
  <c r="W49" i="38"/>
  <c r="V49" i="38"/>
  <c r="U49" i="38"/>
  <c r="T49" i="38"/>
  <c r="S49" i="38"/>
  <c r="Q49" i="38"/>
  <c r="O49" i="38"/>
  <c r="M49" i="38"/>
  <c r="K49" i="38"/>
  <c r="X48" i="38"/>
  <c r="W48" i="38"/>
  <c r="V48" i="38"/>
  <c r="U48" i="38"/>
  <c r="T48" i="38"/>
  <c r="S48" i="38"/>
  <c r="Q48" i="38"/>
  <c r="O48" i="38"/>
  <c r="M48" i="38"/>
  <c r="K48" i="38"/>
  <c r="X47" i="38"/>
  <c r="W47" i="38"/>
  <c r="V47" i="38"/>
  <c r="U47" i="38"/>
  <c r="T47" i="38"/>
  <c r="S47" i="38"/>
  <c r="Q47" i="38"/>
  <c r="O47" i="38"/>
  <c r="M47" i="38"/>
  <c r="K47" i="38"/>
  <c r="X46" i="38"/>
  <c r="W46" i="38"/>
  <c r="V46" i="38"/>
  <c r="U46" i="38"/>
  <c r="T46" i="38"/>
  <c r="S46" i="38"/>
  <c r="Q46" i="38"/>
  <c r="O46" i="38"/>
  <c r="M46" i="38"/>
  <c r="K46" i="38"/>
  <c r="X45" i="38"/>
  <c r="W45" i="38"/>
  <c r="V45" i="38"/>
  <c r="U45" i="38"/>
  <c r="T45" i="38"/>
  <c r="S45" i="38"/>
  <c r="Q45" i="38"/>
  <c r="O45" i="38"/>
  <c r="M45" i="38"/>
  <c r="K45" i="38"/>
  <c r="X44" i="38"/>
  <c r="W44" i="38"/>
  <c r="V44" i="38"/>
  <c r="U44" i="38"/>
  <c r="T44" i="38"/>
  <c r="S44" i="38"/>
  <c r="Q44" i="38"/>
  <c r="O44" i="38"/>
  <c r="M44" i="38"/>
  <c r="K44" i="38"/>
  <c r="X43" i="38"/>
  <c r="W43" i="38"/>
  <c r="V43" i="38"/>
  <c r="U43" i="38"/>
  <c r="T43" i="38"/>
  <c r="S43" i="38"/>
  <c r="Q43" i="38"/>
  <c r="O43" i="38"/>
  <c r="M43" i="38"/>
  <c r="K43" i="38"/>
  <c r="X42" i="38"/>
  <c r="W42" i="38"/>
  <c r="V42" i="38"/>
  <c r="U42" i="38"/>
  <c r="T42" i="38"/>
  <c r="S42" i="38"/>
  <c r="Q42" i="38"/>
  <c r="O42" i="38"/>
  <c r="M42" i="38"/>
  <c r="K42" i="38"/>
  <c r="X41" i="38"/>
  <c r="W41" i="38"/>
  <c r="V41" i="38"/>
  <c r="U41" i="38"/>
  <c r="T41" i="38"/>
  <c r="S41" i="38"/>
  <c r="Q41" i="38"/>
  <c r="O41" i="38"/>
  <c r="M41" i="38"/>
  <c r="K41" i="38"/>
  <c r="X40" i="38"/>
  <c r="W40" i="38"/>
  <c r="V40" i="38"/>
  <c r="U40" i="38"/>
  <c r="T40" i="38"/>
  <c r="S40" i="38"/>
  <c r="Q40" i="38"/>
  <c r="O40" i="38"/>
  <c r="M40" i="38"/>
  <c r="K40" i="38"/>
  <c r="X39" i="38"/>
  <c r="W39" i="38"/>
  <c r="V39" i="38"/>
  <c r="U39" i="38"/>
  <c r="T39" i="38"/>
  <c r="S39" i="38"/>
  <c r="Q39" i="38"/>
  <c r="O39" i="38"/>
  <c r="M39" i="38"/>
  <c r="K39" i="38"/>
  <c r="X38" i="38"/>
  <c r="W38" i="38"/>
  <c r="V38" i="38"/>
  <c r="U38" i="38"/>
  <c r="T38" i="38"/>
  <c r="S38" i="38"/>
  <c r="Q38" i="38"/>
  <c r="O38" i="38"/>
  <c r="M38" i="38"/>
  <c r="K38" i="38"/>
  <c r="X37" i="38"/>
  <c r="W37" i="38"/>
  <c r="V37" i="38"/>
  <c r="U37" i="38"/>
  <c r="T37" i="38"/>
  <c r="S37" i="38"/>
  <c r="Q37" i="38"/>
  <c r="O37" i="38"/>
  <c r="M37" i="38"/>
  <c r="K37" i="38"/>
  <c r="X36" i="38"/>
  <c r="W36" i="38"/>
  <c r="V36" i="38"/>
  <c r="U36" i="38"/>
  <c r="T36" i="38"/>
  <c r="S36" i="38"/>
  <c r="Q36" i="38"/>
  <c r="O36" i="38"/>
  <c r="M36" i="38"/>
  <c r="K36" i="38"/>
  <c r="X35" i="38"/>
  <c r="W35" i="38"/>
  <c r="V35" i="38"/>
  <c r="U35" i="38"/>
  <c r="T35" i="38"/>
  <c r="S35" i="38"/>
  <c r="Q35" i="38"/>
  <c r="O35" i="38"/>
  <c r="M35" i="38"/>
  <c r="K35" i="38"/>
  <c r="X34" i="38"/>
  <c r="W34" i="38"/>
  <c r="V34" i="38"/>
  <c r="U34" i="38"/>
  <c r="T34" i="38"/>
  <c r="S34" i="38"/>
  <c r="Q34" i="38"/>
  <c r="O34" i="38"/>
  <c r="M34" i="38"/>
  <c r="K34" i="38"/>
  <c r="X33" i="38"/>
  <c r="W33" i="38"/>
  <c r="V33" i="38"/>
  <c r="U33" i="38"/>
  <c r="T33" i="38"/>
  <c r="S33" i="38"/>
  <c r="Q33" i="38"/>
  <c r="O33" i="38"/>
  <c r="M33" i="38"/>
  <c r="K33" i="38"/>
  <c r="X32" i="38"/>
  <c r="W32" i="38"/>
  <c r="V32" i="38"/>
  <c r="U32" i="38"/>
  <c r="T32" i="38"/>
  <c r="S32" i="38"/>
  <c r="Q32" i="38"/>
  <c r="O32" i="38"/>
  <c r="M32" i="38"/>
  <c r="K32" i="38"/>
  <c r="X31" i="38"/>
  <c r="W31" i="38"/>
  <c r="V31" i="38"/>
  <c r="U31" i="38"/>
  <c r="T31" i="38"/>
  <c r="S31" i="38"/>
  <c r="Q31" i="38"/>
  <c r="O31" i="38"/>
  <c r="M31" i="38"/>
  <c r="K31" i="38"/>
  <c r="X30" i="38"/>
  <c r="W30" i="38"/>
  <c r="V30" i="38"/>
  <c r="U30" i="38"/>
  <c r="T30" i="38"/>
  <c r="S30" i="38"/>
  <c r="Q30" i="38"/>
  <c r="O30" i="38"/>
  <c r="M30" i="38"/>
  <c r="K30" i="38"/>
  <c r="X29" i="38"/>
  <c r="W29" i="38"/>
  <c r="V29" i="38"/>
  <c r="U29" i="38"/>
  <c r="T29" i="38"/>
  <c r="S29" i="38"/>
  <c r="Q29" i="38"/>
  <c r="O29" i="38"/>
  <c r="M29" i="38"/>
  <c r="K29" i="38"/>
  <c r="X28" i="38"/>
  <c r="W28" i="38"/>
  <c r="V28" i="38"/>
  <c r="U28" i="38"/>
  <c r="T28" i="38"/>
  <c r="S28" i="38"/>
  <c r="Q28" i="38"/>
  <c r="O28" i="38"/>
  <c r="M28" i="38"/>
  <c r="K28" i="38"/>
  <c r="X27" i="38"/>
  <c r="W27" i="38"/>
  <c r="V27" i="38"/>
  <c r="U27" i="38"/>
  <c r="T27" i="38"/>
  <c r="S27" i="38"/>
  <c r="Q27" i="38"/>
  <c r="O27" i="38"/>
  <c r="M27" i="38"/>
  <c r="K27" i="38"/>
  <c r="X26" i="38"/>
  <c r="W26" i="38"/>
  <c r="V26" i="38"/>
  <c r="U26" i="38"/>
  <c r="T26" i="38"/>
  <c r="S26" i="38"/>
  <c r="Q26" i="38"/>
  <c r="O26" i="38"/>
  <c r="M26" i="38"/>
  <c r="K26" i="38"/>
  <c r="X25" i="38"/>
  <c r="W25" i="38"/>
  <c r="V25" i="38"/>
  <c r="U25" i="38"/>
  <c r="T25" i="38"/>
  <c r="S25" i="38"/>
  <c r="Q25" i="38"/>
  <c r="O25" i="38"/>
  <c r="M25" i="38"/>
  <c r="K25" i="38"/>
  <c r="X24" i="38"/>
  <c r="W24" i="38"/>
  <c r="V24" i="38"/>
  <c r="U24" i="38"/>
  <c r="T24" i="38"/>
  <c r="S24" i="38"/>
  <c r="Q24" i="38"/>
  <c r="O24" i="38"/>
  <c r="M24" i="38"/>
  <c r="K24" i="38"/>
  <c r="X23" i="38"/>
  <c r="W23" i="38"/>
  <c r="V23" i="38"/>
  <c r="U23" i="38"/>
  <c r="T23" i="38"/>
  <c r="S23" i="38"/>
  <c r="Q23" i="38"/>
  <c r="O23" i="38"/>
  <c r="M23" i="38"/>
  <c r="K23" i="38"/>
  <c r="X22" i="38"/>
  <c r="W22" i="38"/>
  <c r="V22" i="38"/>
  <c r="U22" i="38"/>
  <c r="T22" i="38"/>
  <c r="S22" i="38"/>
  <c r="Q22" i="38"/>
  <c r="O22" i="38"/>
  <c r="M22" i="38"/>
  <c r="K22" i="38"/>
  <c r="X21" i="38"/>
  <c r="W21" i="38"/>
  <c r="V21" i="38"/>
  <c r="U21" i="38"/>
  <c r="T21" i="38"/>
  <c r="S21" i="38"/>
  <c r="Q21" i="38"/>
  <c r="O21" i="38"/>
  <c r="M21" i="38"/>
  <c r="K21" i="38"/>
  <c r="X20" i="38"/>
  <c r="W20" i="38"/>
  <c r="V20" i="38"/>
  <c r="U20" i="38"/>
  <c r="T20" i="38"/>
  <c r="S20" i="38"/>
  <c r="Q20" i="38"/>
  <c r="O20" i="38"/>
  <c r="M20" i="38"/>
  <c r="K20" i="38"/>
  <c r="X19" i="38"/>
  <c r="W19" i="38"/>
  <c r="V19" i="38"/>
  <c r="U19" i="38"/>
  <c r="T19" i="38"/>
  <c r="S19" i="38"/>
  <c r="Q19" i="38"/>
  <c r="O19" i="38"/>
  <c r="M19" i="38"/>
  <c r="K19" i="38"/>
  <c r="X18" i="38"/>
  <c r="W18" i="38"/>
  <c r="V18" i="38"/>
  <c r="U18" i="38"/>
  <c r="T18" i="38"/>
  <c r="S18" i="38"/>
  <c r="Q18" i="38"/>
  <c r="O18" i="38"/>
  <c r="M18" i="38"/>
  <c r="K18" i="38"/>
  <c r="X17" i="38"/>
  <c r="W17" i="38"/>
  <c r="V17" i="38"/>
  <c r="U17" i="38"/>
  <c r="T17" i="38"/>
  <c r="S17" i="38"/>
  <c r="Q17" i="38"/>
  <c r="O17" i="38"/>
  <c r="M17" i="38"/>
  <c r="K17" i="38"/>
  <c r="X16" i="38"/>
  <c r="W16" i="38"/>
  <c r="V16" i="38"/>
  <c r="U16" i="38"/>
  <c r="T16" i="38"/>
  <c r="S16" i="38"/>
  <c r="Q16" i="38"/>
  <c r="O16" i="38"/>
  <c r="M16" i="38"/>
  <c r="K16" i="38"/>
  <c r="X15" i="38"/>
  <c r="W15" i="38"/>
  <c r="V15" i="38"/>
  <c r="U15" i="38"/>
  <c r="T15" i="38"/>
  <c r="S15" i="38"/>
  <c r="Q15" i="38"/>
  <c r="O15" i="38"/>
  <c r="M15" i="38"/>
  <c r="K15" i="38"/>
  <c r="X14" i="38"/>
  <c r="W14" i="38"/>
  <c r="V14" i="38"/>
  <c r="U14" i="38"/>
  <c r="T14" i="38"/>
  <c r="S14" i="38"/>
  <c r="Q14" i="38"/>
  <c r="O14" i="38"/>
  <c r="M14" i="38"/>
  <c r="K14" i="38"/>
  <c r="X13" i="38"/>
  <c r="W13" i="38"/>
  <c r="V13" i="38"/>
  <c r="U13" i="38"/>
  <c r="T13" i="38"/>
  <c r="S13" i="38"/>
  <c r="Q13" i="38"/>
  <c r="O13" i="38"/>
  <c r="M13" i="38"/>
  <c r="K13" i="38"/>
  <c r="X12" i="38"/>
  <c r="W12" i="38"/>
  <c r="V12" i="38"/>
  <c r="U12" i="38"/>
  <c r="T12" i="38"/>
  <c r="S12" i="38"/>
  <c r="Q12" i="38"/>
  <c r="O12" i="38"/>
  <c r="M12" i="38"/>
  <c r="K12" i="38"/>
  <c r="X11" i="38"/>
  <c r="W11" i="38"/>
  <c r="V11" i="38"/>
  <c r="U11" i="38"/>
  <c r="T11" i="38"/>
  <c r="S11" i="38"/>
  <c r="Q11" i="38"/>
  <c r="O11" i="38"/>
  <c r="M11" i="38"/>
  <c r="K11" i="38"/>
  <c r="X10" i="38"/>
  <c r="W10" i="38"/>
  <c r="V10" i="38"/>
  <c r="U10" i="38"/>
  <c r="T10" i="38"/>
  <c r="S10" i="38"/>
  <c r="Q10" i="38"/>
  <c r="O10" i="38"/>
  <c r="M10" i="38"/>
  <c r="K10" i="38"/>
  <c r="X9" i="38"/>
  <c r="W9" i="38"/>
  <c r="V9" i="38"/>
  <c r="U9" i="38"/>
  <c r="T9" i="38"/>
  <c r="S9" i="38"/>
  <c r="Q9" i="38"/>
  <c r="O9" i="38"/>
  <c r="M9" i="38"/>
  <c r="K9" i="38"/>
  <c r="X8" i="38"/>
  <c r="W8" i="38"/>
  <c r="V8" i="38"/>
  <c r="U8" i="38"/>
  <c r="T8" i="38"/>
  <c r="S8" i="38"/>
  <c r="Q8" i="38"/>
  <c r="O8" i="38"/>
  <c r="M8" i="38"/>
  <c r="K8" i="38"/>
  <c r="X7" i="38"/>
  <c r="W7" i="38"/>
  <c r="V7" i="38"/>
  <c r="U7" i="38"/>
  <c r="T7" i="38"/>
  <c r="S7" i="38"/>
  <c r="Q7" i="38"/>
  <c r="O7" i="38"/>
  <c r="M7" i="38"/>
  <c r="K7" i="38"/>
  <c r="X352" i="37"/>
  <c r="W352" i="37"/>
  <c r="V352" i="37"/>
  <c r="U352" i="37"/>
  <c r="T352" i="37"/>
  <c r="S352" i="37"/>
  <c r="Q352" i="37"/>
  <c r="O352" i="37"/>
  <c r="M352" i="37"/>
  <c r="K352" i="37"/>
  <c r="X351" i="37"/>
  <c r="W351" i="37"/>
  <c r="V351" i="37"/>
  <c r="U351" i="37"/>
  <c r="T351" i="37"/>
  <c r="S351" i="37"/>
  <c r="Q351" i="37"/>
  <c r="O351" i="37"/>
  <c r="M351" i="37"/>
  <c r="K351" i="37"/>
  <c r="X350" i="37"/>
  <c r="W350" i="37"/>
  <c r="V350" i="37"/>
  <c r="U350" i="37"/>
  <c r="T350" i="37"/>
  <c r="S350" i="37"/>
  <c r="Q350" i="37"/>
  <c r="O350" i="37"/>
  <c r="M350" i="37"/>
  <c r="K350" i="37"/>
  <c r="X349" i="37"/>
  <c r="W349" i="37"/>
  <c r="V349" i="37"/>
  <c r="U349" i="37"/>
  <c r="T349" i="37"/>
  <c r="S349" i="37"/>
  <c r="Q349" i="37"/>
  <c r="O349" i="37"/>
  <c r="M349" i="37"/>
  <c r="K349" i="37"/>
  <c r="X348" i="37"/>
  <c r="W348" i="37"/>
  <c r="V348" i="37"/>
  <c r="U348" i="37"/>
  <c r="T348" i="37"/>
  <c r="S348" i="37"/>
  <c r="Q348" i="37"/>
  <c r="O348" i="37"/>
  <c r="M348" i="37"/>
  <c r="K348" i="37"/>
  <c r="X347" i="37"/>
  <c r="W347" i="37"/>
  <c r="V347" i="37"/>
  <c r="U347" i="37"/>
  <c r="T347" i="37"/>
  <c r="S347" i="37"/>
  <c r="Q347" i="37"/>
  <c r="O347" i="37"/>
  <c r="M347" i="37"/>
  <c r="K347" i="37"/>
  <c r="X346" i="37"/>
  <c r="W346" i="37"/>
  <c r="V346" i="37"/>
  <c r="U346" i="37"/>
  <c r="T346" i="37"/>
  <c r="S346" i="37"/>
  <c r="Q346" i="37"/>
  <c r="O346" i="37"/>
  <c r="M346" i="37"/>
  <c r="K346" i="37"/>
  <c r="X345" i="37"/>
  <c r="W345" i="37"/>
  <c r="V345" i="37"/>
  <c r="U345" i="37"/>
  <c r="T345" i="37"/>
  <c r="S345" i="37"/>
  <c r="Q345" i="37"/>
  <c r="O345" i="37"/>
  <c r="M345" i="37"/>
  <c r="K345" i="37"/>
  <c r="X344" i="37"/>
  <c r="W344" i="37"/>
  <c r="V344" i="37"/>
  <c r="U344" i="37"/>
  <c r="T344" i="37"/>
  <c r="S344" i="37"/>
  <c r="Q344" i="37"/>
  <c r="O344" i="37"/>
  <c r="M344" i="37"/>
  <c r="K344" i="37"/>
  <c r="X343" i="37"/>
  <c r="W343" i="37"/>
  <c r="V343" i="37"/>
  <c r="U343" i="37"/>
  <c r="T343" i="37"/>
  <c r="S343" i="37"/>
  <c r="Q343" i="37"/>
  <c r="O343" i="37"/>
  <c r="M343" i="37"/>
  <c r="K343" i="37"/>
  <c r="X342" i="37"/>
  <c r="W342" i="37"/>
  <c r="V342" i="37"/>
  <c r="U342" i="37"/>
  <c r="T342" i="37"/>
  <c r="S342" i="37"/>
  <c r="Q342" i="37"/>
  <c r="O342" i="37"/>
  <c r="M342" i="37"/>
  <c r="K342" i="37"/>
  <c r="X341" i="37"/>
  <c r="W341" i="37"/>
  <c r="V341" i="37"/>
  <c r="U341" i="37"/>
  <c r="T341" i="37"/>
  <c r="S341" i="37"/>
  <c r="Q341" i="37"/>
  <c r="O341" i="37"/>
  <c r="M341" i="37"/>
  <c r="K341" i="37"/>
  <c r="X340" i="37"/>
  <c r="W340" i="37"/>
  <c r="V340" i="37"/>
  <c r="U340" i="37"/>
  <c r="T340" i="37"/>
  <c r="S340" i="37"/>
  <c r="Q340" i="37"/>
  <c r="O340" i="37"/>
  <c r="M340" i="37"/>
  <c r="K340" i="37"/>
  <c r="X339" i="37"/>
  <c r="W339" i="37"/>
  <c r="V339" i="37"/>
  <c r="U339" i="37"/>
  <c r="T339" i="37"/>
  <c r="S339" i="37"/>
  <c r="Q339" i="37"/>
  <c r="O339" i="37"/>
  <c r="M339" i="37"/>
  <c r="K339" i="37"/>
  <c r="X338" i="37"/>
  <c r="W338" i="37"/>
  <c r="V338" i="37"/>
  <c r="U338" i="37"/>
  <c r="T338" i="37"/>
  <c r="S338" i="37"/>
  <c r="Q338" i="37"/>
  <c r="O338" i="37"/>
  <c r="M338" i="37"/>
  <c r="K338" i="37"/>
  <c r="X337" i="37"/>
  <c r="W337" i="37"/>
  <c r="V337" i="37"/>
  <c r="U337" i="37"/>
  <c r="T337" i="37"/>
  <c r="S337" i="37"/>
  <c r="Q337" i="37"/>
  <c r="O337" i="37"/>
  <c r="M337" i="37"/>
  <c r="K337" i="37"/>
  <c r="X336" i="37"/>
  <c r="W336" i="37"/>
  <c r="V336" i="37"/>
  <c r="U336" i="37"/>
  <c r="T336" i="37"/>
  <c r="S336" i="37"/>
  <c r="Q336" i="37"/>
  <c r="O336" i="37"/>
  <c r="M336" i="37"/>
  <c r="K336" i="37"/>
  <c r="X335" i="37"/>
  <c r="W335" i="37"/>
  <c r="V335" i="37"/>
  <c r="U335" i="37"/>
  <c r="T335" i="37"/>
  <c r="S335" i="37"/>
  <c r="Q335" i="37"/>
  <c r="O335" i="37"/>
  <c r="M335" i="37"/>
  <c r="K335" i="37"/>
  <c r="X334" i="37"/>
  <c r="W334" i="37"/>
  <c r="V334" i="37"/>
  <c r="U334" i="37"/>
  <c r="T334" i="37"/>
  <c r="S334" i="37"/>
  <c r="Q334" i="37"/>
  <c r="O334" i="37"/>
  <c r="M334" i="37"/>
  <c r="K334" i="37"/>
  <c r="X333" i="37"/>
  <c r="W333" i="37"/>
  <c r="V333" i="37"/>
  <c r="U333" i="37"/>
  <c r="T333" i="37"/>
  <c r="S333" i="37"/>
  <c r="Q333" i="37"/>
  <c r="O333" i="37"/>
  <c r="M333" i="37"/>
  <c r="K333" i="37"/>
  <c r="X332" i="37"/>
  <c r="W332" i="37"/>
  <c r="V332" i="37"/>
  <c r="U332" i="37"/>
  <c r="T332" i="37"/>
  <c r="S332" i="37"/>
  <c r="Q332" i="37"/>
  <c r="O332" i="37"/>
  <c r="M332" i="37"/>
  <c r="K332" i="37"/>
  <c r="X331" i="37"/>
  <c r="W331" i="37"/>
  <c r="V331" i="37"/>
  <c r="U331" i="37"/>
  <c r="T331" i="37"/>
  <c r="S331" i="37"/>
  <c r="Q331" i="37"/>
  <c r="O331" i="37"/>
  <c r="M331" i="37"/>
  <c r="K331" i="37"/>
  <c r="X330" i="37"/>
  <c r="W330" i="37"/>
  <c r="V330" i="37"/>
  <c r="U330" i="37"/>
  <c r="T330" i="37"/>
  <c r="S330" i="37"/>
  <c r="Q330" i="37"/>
  <c r="O330" i="37"/>
  <c r="M330" i="37"/>
  <c r="K330" i="37"/>
  <c r="X329" i="37"/>
  <c r="W329" i="37"/>
  <c r="V329" i="37"/>
  <c r="U329" i="37"/>
  <c r="T329" i="37"/>
  <c r="S329" i="37"/>
  <c r="Q329" i="37"/>
  <c r="O329" i="37"/>
  <c r="M329" i="37"/>
  <c r="K329" i="37"/>
  <c r="X328" i="37"/>
  <c r="W328" i="37"/>
  <c r="V328" i="37"/>
  <c r="U328" i="37"/>
  <c r="T328" i="37"/>
  <c r="S328" i="37"/>
  <c r="Q328" i="37"/>
  <c r="O328" i="37"/>
  <c r="M328" i="37"/>
  <c r="K328" i="37"/>
  <c r="X327" i="37"/>
  <c r="W327" i="37"/>
  <c r="V327" i="37"/>
  <c r="U327" i="37"/>
  <c r="T327" i="37"/>
  <c r="S327" i="37"/>
  <c r="Q327" i="37"/>
  <c r="O327" i="37"/>
  <c r="M327" i="37"/>
  <c r="K327" i="37"/>
  <c r="X326" i="37"/>
  <c r="W326" i="37"/>
  <c r="V326" i="37"/>
  <c r="U326" i="37"/>
  <c r="T326" i="37"/>
  <c r="S326" i="37"/>
  <c r="Q326" i="37"/>
  <c r="O326" i="37"/>
  <c r="M326" i="37"/>
  <c r="K326" i="37"/>
  <c r="X325" i="37"/>
  <c r="W325" i="37"/>
  <c r="V325" i="37"/>
  <c r="U325" i="37"/>
  <c r="T325" i="37"/>
  <c r="S325" i="37"/>
  <c r="Q325" i="37"/>
  <c r="O325" i="37"/>
  <c r="M325" i="37"/>
  <c r="K325" i="37"/>
  <c r="X324" i="37"/>
  <c r="W324" i="37"/>
  <c r="V324" i="37"/>
  <c r="U324" i="37"/>
  <c r="T324" i="37"/>
  <c r="S324" i="37"/>
  <c r="Q324" i="37"/>
  <c r="O324" i="37"/>
  <c r="M324" i="37"/>
  <c r="K324" i="37"/>
  <c r="X323" i="37"/>
  <c r="W323" i="37"/>
  <c r="V323" i="37"/>
  <c r="U323" i="37"/>
  <c r="T323" i="37"/>
  <c r="S323" i="37"/>
  <c r="Q323" i="37"/>
  <c r="O323" i="37"/>
  <c r="M323" i="37"/>
  <c r="K323" i="37"/>
  <c r="X322" i="37"/>
  <c r="W322" i="37"/>
  <c r="V322" i="37"/>
  <c r="U322" i="37"/>
  <c r="T322" i="37"/>
  <c r="S322" i="37"/>
  <c r="Q322" i="37"/>
  <c r="O322" i="37"/>
  <c r="M322" i="37"/>
  <c r="K322" i="37"/>
  <c r="X321" i="37"/>
  <c r="W321" i="37"/>
  <c r="V321" i="37"/>
  <c r="U321" i="37"/>
  <c r="T321" i="37"/>
  <c r="S321" i="37"/>
  <c r="Q321" i="37"/>
  <c r="O321" i="37"/>
  <c r="M321" i="37"/>
  <c r="K321" i="37"/>
  <c r="X320" i="37"/>
  <c r="W320" i="37"/>
  <c r="V320" i="37"/>
  <c r="U320" i="37"/>
  <c r="T320" i="37"/>
  <c r="S320" i="37"/>
  <c r="Q320" i="37"/>
  <c r="O320" i="37"/>
  <c r="M320" i="37"/>
  <c r="K320" i="37"/>
  <c r="X319" i="37"/>
  <c r="W319" i="37"/>
  <c r="V319" i="37"/>
  <c r="U319" i="37"/>
  <c r="T319" i="37"/>
  <c r="S319" i="37"/>
  <c r="Q319" i="37"/>
  <c r="O319" i="37"/>
  <c r="M319" i="37"/>
  <c r="K319" i="37"/>
  <c r="X318" i="37"/>
  <c r="W318" i="37"/>
  <c r="V318" i="37"/>
  <c r="U318" i="37"/>
  <c r="T318" i="37"/>
  <c r="S318" i="37"/>
  <c r="Q318" i="37"/>
  <c r="O318" i="37"/>
  <c r="M318" i="37"/>
  <c r="K318" i="37"/>
  <c r="X317" i="37"/>
  <c r="W317" i="37"/>
  <c r="V317" i="37"/>
  <c r="U317" i="37"/>
  <c r="T317" i="37"/>
  <c r="S317" i="37"/>
  <c r="Q317" i="37"/>
  <c r="O317" i="37"/>
  <c r="M317" i="37"/>
  <c r="K317" i="37"/>
  <c r="X316" i="37"/>
  <c r="W316" i="37"/>
  <c r="V316" i="37"/>
  <c r="U316" i="37"/>
  <c r="T316" i="37"/>
  <c r="S316" i="37"/>
  <c r="Q316" i="37"/>
  <c r="O316" i="37"/>
  <c r="M316" i="37"/>
  <c r="K316" i="37"/>
  <c r="X315" i="37"/>
  <c r="W315" i="37"/>
  <c r="V315" i="37"/>
  <c r="U315" i="37"/>
  <c r="T315" i="37"/>
  <c r="S315" i="37"/>
  <c r="Q315" i="37"/>
  <c r="O315" i="37"/>
  <c r="M315" i="37"/>
  <c r="K315" i="37"/>
  <c r="X314" i="37"/>
  <c r="W314" i="37"/>
  <c r="V314" i="37"/>
  <c r="U314" i="37"/>
  <c r="T314" i="37"/>
  <c r="S314" i="37"/>
  <c r="Q314" i="37"/>
  <c r="O314" i="37"/>
  <c r="M314" i="37"/>
  <c r="K314" i="37"/>
  <c r="X313" i="37"/>
  <c r="W313" i="37"/>
  <c r="V313" i="37"/>
  <c r="U313" i="37"/>
  <c r="T313" i="37"/>
  <c r="S313" i="37"/>
  <c r="Q313" i="37"/>
  <c r="O313" i="37"/>
  <c r="M313" i="37"/>
  <c r="K313" i="37"/>
  <c r="X312" i="37"/>
  <c r="W312" i="37"/>
  <c r="V312" i="37"/>
  <c r="U312" i="37"/>
  <c r="T312" i="37"/>
  <c r="S312" i="37"/>
  <c r="Q312" i="37"/>
  <c r="O312" i="37"/>
  <c r="M312" i="37"/>
  <c r="K312" i="37"/>
  <c r="X311" i="37"/>
  <c r="W311" i="37"/>
  <c r="V311" i="37"/>
  <c r="U311" i="37"/>
  <c r="T311" i="37"/>
  <c r="S311" i="37"/>
  <c r="Q311" i="37"/>
  <c r="O311" i="37"/>
  <c r="M311" i="37"/>
  <c r="K311" i="37"/>
  <c r="X310" i="37"/>
  <c r="W310" i="37"/>
  <c r="V310" i="37"/>
  <c r="U310" i="37"/>
  <c r="T310" i="37"/>
  <c r="S310" i="37"/>
  <c r="Q310" i="37"/>
  <c r="O310" i="37"/>
  <c r="M310" i="37"/>
  <c r="K310" i="37"/>
  <c r="X309" i="37"/>
  <c r="W309" i="37"/>
  <c r="V309" i="37"/>
  <c r="U309" i="37"/>
  <c r="T309" i="37"/>
  <c r="S309" i="37"/>
  <c r="Q309" i="37"/>
  <c r="O309" i="37"/>
  <c r="M309" i="37"/>
  <c r="K309" i="37"/>
  <c r="X308" i="37"/>
  <c r="W308" i="37"/>
  <c r="V308" i="37"/>
  <c r="U308" i="37"/>
  <c r="T308" i="37"/>
  <c r="S308" i="37"/>
  <c r="Q308" i="37"/>
  <c r="O308" i="37"/>
  <c r="M308" i="37"/>
  <c r="K308" i="37"/>
  <c r="X307" i="37"/>
  <c r="W307" i="37"/>
  <c r="V307" i="37"/>
  <c r="U307" i="37"/>
  <c r="T307" i="37"/>
  <c r="S307" i="37"/>
  <c r="Q307" i="37"/>
  <c r="O307" i="37"/>
  <c r="M307" i="37"/>
  <c r="K307" i="37"/>
  <c r="X306" i="37"/>
  <c r="W306" i="37"/>
  <c r="V306" i="37"/>
  <c r="U306" i="37"/>
  <c r="T306" i="37"/>
  <c r="S306" i="37"/>
  <c r="Q306" i="37"/>
  <c r="O306" i="37"/>
  <c r="M306" i="37"/>
  <c r="K306" i="37"/>
  <c r="X305" i="37"/>
  <c r="W305" i="37"/>
  <c r="V305" i="37"/>
  <c r="U305" i="37"/>
  <c r="T305" i="37"/>
  <c r="S305" i="37"/>
  <c r="Q305" i="37"/>
  <c r="O305" i="37"/>
  <c r="M305" i="37"/>
  <c r="K305" i="37"/>
  <c r="X304" i="37"/>
  <c r="W304" i="37"/>
  <c r="V304" i="37"/>
  <c r="U304" i="37"/>
  <c r="T304" i="37"/>
  <c r="S304" i="37"/>
  <c r="Q304" i="37"/>
  <c r="O304" i="37"/>
  <c r="M304" i="37"/>
  <c r="K304" i="37"/>
  <c r="X303" i="37"/>
  <c r="W303" i="37"/>
  <c r="V303" i="37"/>
  <c r="U303" i="37"/>
  <c r="T303" i="37"/>
  <c r="S303" i="37"/>
  <c r="Q303" i="37"/>
  <c r="O303" i="37"/>
  <c r="M303" i="37"/>
  <c r="K303" i="37"/>
  <c r="X302" i="37"/>
  <c r="W302" i="37"/>
  <c r="V302" i="37"/>
  <c r="U302" i="37"/>
  <c r="T302" i="37"/>
  <c r="S302" i="37"/>
  <c r="Q302" i="37"/>
  <c r="O302" i="37"/>
  <c r="M302" i="37"/>
  <c r="K302" i="37"/>
  <c r="X301" i="37"/>
  <c r="W301" i="37"/>
  <c r="V301" i="37"/>
  <c r="U301" i="37"/>
  <c r="T301" i="37"/>
  <c r="S301" i="37"/>
  <c r="Q301" i="37"/>
  <c r="O301" i="37"/>
  <c r="M301" i="37"/>
  <c r="K301" i="37"/>
  <c r="X300" i="37"/>
  <c r="W300" i="37"/>
  <c r="V300" i="37"/>
  <c r="U300" i="37"/>
  <c r="T300" i="37"/>
  <c r="S300" i="37"/>
  <c r="Q300" i="37"/>
  <c r="O300" i="37"/>
  <c r="M300" i="37"/>
  <c r="K300" i="37"/>
  <c r="X299" i="37"/>
  <c r="W299" i="37"/>
  <c r="V299" i="37"/>
  <c r="U299" i="37"/>
  <c r="T299" i="37"/>
  <c r="S299" i="37"/>
  <c r="Q299" i="37"/>
  <c r="O299" i="37"/>
  <c r="M299" i="37"/>
  <c r="K299" i="37"/>
  <c r="X298" i="37"/>
  <c r="W298" i="37"/>
  <c r="V298" i="37"/>
  <c r="U298" i="37"/>
  <c r="T298" i="37"/>
  <c r="S298" i="37"/>
  <c r="Q298" i="37"/>
  <c r="O298" i="37"/>
  <c r="M298" i="37"/>
  <c r="K298" i="37"/>
  <c r="X297" i="37"/>
  <c r="W297" i="37"/>
  <c r="V297" i="37"/>
  <c r="U297" i="37"/>
  <c r="T297" i="37"/>
  <c r="S297" i="37"/>
  <c r="Q297" i="37"/>
  <c r="O297" i="37"/>
  <c r="M297" i="37"/>
  <c r="K297" i="37"/>
  <c r="X296" i="37"/>
  <c r="W296" i="37"/>
  <c r="V296" i="37"/>
  <c r="U296" i="37"/>
  <c r="T296" i="37"/>
  <c r="S296" i="37"/>
  <c r="Q296" i="37"/>
  <c r="O296" i="37"/>
  <c r="M296" i="37"/>
  <c r="K296" i="37"/>
  <c r="X295" i="37"/>
  <c r="W295" i="37"/>
  <c r="V295" i="37"/>
  <c r="U295" i="37"/>
  <c r="T295" i="37"/>
  <c r="S295" i="37"/>
  <c r="Q295" i="37"/>
  <c r="O295" i="37"/>
  <c r="M295" i="37"/>
  <c r="K295" i="37"/>
  <c r="X294" i="37"/>
  <c r="W294" i="37"/>
  <c r="V294" i="37"/>
  <c r="U294" i="37"/>
  <c r="T294" i="37"/>
  <c r="S294" i="37"/>
  <c r="Q294" i="37"/>
  <c r="O294" i="37"/>
  <c r="M294" i="37"/>
  <c r="K294" i="37"/>
  <c r="X293" i="37"/>
  <c r="W293" i="37"/>
  <c r="V293" i="37"/>
  <c r="U293" i="37"/>
  <c r="T293" i="37"/>
  <c r="S293" i="37"/>
  <c r="Q293" i="37"/>
  <c r="O293" i="37"/>
  <c r="M293" i="37"/>
  <c r="K293" i="37"/>
  <c r="X292" i="37"/>
  <c r="W292" i="37"/>
  <c r="V292" i="37"/>
  <c r="U292" i="37"/>
  <c r="T292" i="37"/>
  <c r="S292" i="37"/>
  <c r="Q292" i="37"/>
  <c r="O292" i="37"/>
  <c r="M292" i="37"/>
  <c r="K292" i="37"/>
  <c r="X291" i="37"/>
  <c r="W291" i="37"/>
  <c r="V291" i="37"/>
  <c r="U291" i="37"/>
  <c r="T291" i="37"/>
  <c r="S291" i="37"/>
  <c r="Q291" i="37"/>
  <c r="O291" i="37"/>
  <c r="M291" i="37"/>
  <c r="K291" i="37"/>
  <c r="X290" i="37"/>
  <c r="W290" i="37"/>
  <c r="V290" i="37"/>
  <c r="U290" i="37"/>
  <c r="T290" i="37"/>
  <c r="S290" i="37"/>
  <c r="Q290" i="37"/>
  <c r="O290" i="37"/>
  <c r="M290" i="37"/>
  <c r="K290" i="37"/>
  <c r="X289" i="37"/>
  <c r="W289" i="37"/>
  <c r="V289" i="37"/>
  <c r="U289" i="37"/>
  <c r="T289" i="37"/>
  <c r="S289" i="37"/>
  <c r="Q289" i="37"/>
  <c r="O289" i="37"/>
  <c r="M289" i="37"/>
  <c r="K289" i="37"/>
  <c r="X288" i="37"/>
  <c r="W288" i="37"/>
  <c r="V288" i="37"/>
  <c r="U288" i="37"/>
  <c r="T288" i="37"/>
  <c r="S288" i="37"/>
  <c r="Q288" i="37"/>
  <c r="O288" i="37"/>
  <c r="M288" i="37"/>
  <c r="K288" i="37"/>
  <c r="X287" i="37"/>
  <c r="W287" i="37"/>
  <c r="V287" i="37"/>
  <c r="U287" i="37"/>
  <c r="T287" i="37"/>
  <c r="S287" i="37"/>
  <c r="Q287" i="37"/>
  <c r="O287" i="37"/>
  <c r="M287" i="37"/>
  <c r="K287" i="37"/>
  <c r="X286" i="37"/>
  <c r="W286" i="37"/>
  <c r="V286" i="37"/>
  <c r="U286" i="37"/>
  <c r="T286" i="37"/>
  <c r="S286" i="37"/>
  <c r="Q286" i="37"/>
  <c r="O286" i="37"/>
  <c r="M286" i="37"/>
  <c r="K286" i="37"/>
  <c r="X285" i="37"/>
  <c r="W285" i="37"/>
  <c r="V285" i="37"/>
  <c r="U285" i="37"/>
  <c r="T285" i="37"/>
  <c r="S285" i="37"/>
  <c r="Q285" i="37"/>
  <c r="O285" i="37"/>
  <c r="M285" i="37"/>
  <c r="K285" i="37"/>
  <c r="X284" i="37"/>
  <c r="W284" i="37"/>
  <c r="V284" i="37"/>
  <c r="U284" i="37"/>
  <c r="T284" i="37"/>
  <c r="S284" i="37"/>
  <c r="Q284" i="37"/>
  <c r="O284" i="37"/>
  <c r="M284" i="37"/>
  <c r="K284" i="37"/>
  <c r="X283" i="37"/>
  <c r="W283" i="37"/>
  <c r="V283" i="37"/>
  <c r="U283" i="37"/>
  <c r="T283" i="37"/>
  <c r="S283" i="37"/>
  <c r="Q283" i="37"/>
  <c r="O283" i="37"/>
  <c r="M283" i="37"/>
  <c r="K283" i="37"/>
  <c r="X282" i="37"/>
  <c r="W282" i="37"/>
  <c r="V282" i="37"/>
  <c r="U282" i="37"/>
  <c r="T282" i="37"/>
  <c r="S282" i="37"/>
  <c r="Q282" i="37"/>
  <c r="O282" i="37"/>
  <c r="M282" i="37"/>
  <c r="K282" i="37"/>
  <c r="X281" i="37"/>
  <c r="W281" i="37"/>
  <c r="V281" i="37"/>
  <c r="U281" i="37"/>
  <c r="T281" i="37"/>
  <c r="S281" i="37"/>
  <c r="Q281" i="37"/>
  <c r="O281" i="37"/>
  <c r="M281" i="37"/>
  <c r="K281" i="37"/>
  <c r="X280" i="37"/>
  <c r="W280" i="37"/>
  <c r="V280" i="37"/>
  <c r="U280" i="37"/>
  <c r="T280" i="37"/>
  <c r="S280" i="37"/>
  <c r="Q280" i="37"/>
  <c r="O280" i="37"/>
  <c r="M280" i="37"/>
  <c r="K280" i="37"/>
  <c r="X279" i="37"/>
  <c r="W279" i="37"/>
  <c r="V279" i="37"/>
  <c r="U279" i="37"/>
  <c r="T279" i="37"/>
  <c r="S279" i="37"/>
  <c r="Q279" i="37"/>
  <c r="O279" i="37"/>
  <c r="M279" i="37"/>
  <c r="K279" i="37"/>
  <c r="X278" i="37"/>
  <c r="W278" i="37"/>
  <c r="V278" i="37"/>
  <c r="U278" i="37"/>
  <c r="T278" i="37"/>
  <c r="S278" i="37"/>
  <c r="Q278" i="37"/>
  <c r="O278" i="37"/>
  <c r="M278" i="37"/>
  <c r="K278" i="37"/>
  <c r="X277" i="37"/>
  <c r="W277" i="37"/>
  <c r="V277" i="37"/>
  <c r="U277" i="37"/>
  <c r="T277" i="37"/>
  <c r="S277" i="37"/>
  <c r="Q277" i="37"/>
  <c r="O277" i="37"/>
  <c r="M277" i="37"/>
  <c r="K277" i="37"/>
  <c r="X276" i="37"/>
  <c r="W276" i="37"/>
  <c r="V276" i="37"/>
  <c r="U276" i="37"/>
  <c r="T276" i="37"/>
  <c r="S276" i="37"/>
  <c r="Q276" i="37"/>
  <c r="O276" i="37"/>
  <c r="M276" i="37"/>
  <c r="K276" i="37"/>
  <c r="X275" i="37"/>
  <c r="W275" i="37"/>
  <c r="V275" i="37"/>
  <c r="U275" i="37"/>
  <c r="T275" i="37"/>
  <c r="S275" i="37"/>
  <c r="Q275" i="37"/>
  <c r="O275" i="37"/>
  <c r="M275" i="37"/>
  <c r="K275" i="37"/>
  <c r="X274" i="37"/>
  <c r="W274" i="37"/>
  <c r="V274" i="37"/>
  <c r="U274" i="37"/>
  <c r="T274" i="37"/>
  <c r="S274" i="37"/>
  <c r="Q274" i="37"/>
  <c r="O274" i="37"/>
  <c r="M274" i="37"/>
  <c r="K274" i="37"/>
  <c r="X273" i="37"/>
  <c r="W273" i="37"/>
  <c r="V273" i="37"/>
  <c r="U273" i="37"/>
  <c r="T273" i="37"/>
  <c r="S273" i="37"/>
  <c r="Q273" i="37"/>
  <c r="O273" i="37"/>
  <c r="M273" i="37"/>
  <c r="K273" i="37"/>
  <c r="X272" i="37"/>
  <c r="W272" i="37"/>
  <c r="V272" i="37"/>
  <c r="U272" i="37"/>
  <c r="T272" i="37"/>
  <c r="S272" i="37"/>
  <c r="Q272" i="37"/>
  <c r="O272" i="37"/>
  <c r="M272" i="37"/>
  <c r="K272" i="37"/>
  <c r="X271" i="37"/>
  <c r="W271" i="37"/>
  <c r="V271" i="37"/>
  <c r="U271" i="37"/>
  <c r="T271" i="37"/>
  <c r="S271" i="37"/>
  <c r="Q271" i="37"/>
  <c r="O271" i="37"/>
  <c r="M271" i="37"/>
  <c r="K271" i="37"/>
  <c r="X270" i="37"/>
  <c r="W270" i="37"/>
  <c r="V270" i="37"/>
  <c r="U270" i="37"/>
  <c r="T270" i="37"/>
  <c r="S270" i="37"/>
  <c r="Q270" i="37"/>
  <c r="O270" i="37"/>
  <c r="M270" i="37"/>
  <c r="K270" i="37"/>
  <c r="X269" i="37"/>
  <c r="W269" i="37"/>
  <c r="V269" i="37"/>
  <c r="U269" i="37"/>
  <c r="T269" i="37"/>
  <c r="S269" i="37"/>
  <c r="Q269" i="37"/>
  <c r="O269" i="37"/>
  <c r="M269" i="37"/>
  <c r="K269" i="37"/>
  <c r="X268" i="37"/>
  <c r="W268" i="37"/>
  <c r="V268" i="37"/>
  <c r="U268" i="37"/>
  <c r="T268" i="37"/>
  <c r="S268" i="37"/>
  <c r="Q268" i="37"/>
  <c r="O268" i="37"/>
  <c r="M268" i="37"/>
  <c r="K268" i="37"/>
  <c r="X267" i="37"/>
  <c r="W267" i="37"/>
  <c r="V267" i="37"/>
  <c r="U267" i="37"/>
  <c r="T267" i="37"/>
  <c r="S267" i="37"/>
  <c r="Q267" i="37"/>
  <c r="O267" i="37"/>
  <c r="M267" i="37"/>
  <c r="K267" i="37"/>
  <c r="X266" i="37"/>
  <c r="W266" i="37"/>
  <c r="V266" i="37"/>
  <c r="U266" i="37"/>
  <c r="T266" i="37"/>
  <c r="S266" i="37"/>
  <c r="Q266" i="37"/>
  <c r="O266" i="37"/>
  <c r="M266" i="37"/>
  <c r="K266" i="37"/>
  <c r="X265" i="37"/>
  <c r="W265" i="37"/>
  <c r="V265" i="37"/>
  <c r="U265" i="37"/>
  <c r="T265" i="37"/>
  <c r="S265" i="37"/>
  <c r="Q265" i="37"/>
  <c r="O265" i="37"/>
  <c r="M265" i="37"/>
  <c r="K265" i="37"/>
  <c r="X264" i="37"/>
  <c r="W264" i="37"/>
  <c r="V264" i="37"/>
  <c r="U264" i="37"/>
  <c r="T264" i="37"/>
  <c r="S264" i="37"/>
  <c r="Q264" i="37"/>
  <c r="O264" i="37"/>
  <c r="M264" i="37"/>
  <c r="K264" i="37"/>
  <c r="X263" i="37"/>
  <c r="W263" i="37"/>
  <c r="V263" i="37"/>
  <c r="U263" i="37"/>
  <c r="T263" i="37"/>
  <c r="S263" i="37"/>
  <c r="Q263" i="37"/>
  <c r="O263" i="37"/>
  <c r="M263" i="37"/>
  <c r="K263" i="37"/>
  <c r="X262" i="37"/>
  <c r="W262" i="37"/>
  <c r="V262" i="37"/>
  <c r="U262" i="37"/>
  <c r="T262" i="37"/>
  <c r="S262" i="37"/>
  <c r="Q262" i="37"/>
  <c r="O262" i="37"/>
  <c r="M262" i="37"/>
  <c r="K262" i="37"/>
  <c r="X261" i="37"/>
  <c r="W261" i="37"/>
  <c r="V261" i="37"/>
  <c r="U261" i="37"/>
  <c r="T261" i="37"/>
  <c r="S261" i="37"/>
  <c r="Q261" i="37"/>
  <c r="O261" i="37"/>
  <c r="M261" i="37"/>
  <c r="K261" i="37"/>
  <c r="X260" i="37"/>
  <c r="W260" i="37"/>
  <c r="V260" i="37"/>
  <c r="U260" i="37"/>
  <c r="T260" i="37"/>
  <c r="S260" i="37"/>
  <c r="Q260" i="37"/>
  <c r="O260" i="37"/>
  <c r="M260" i="37"/>
  <c r="K260" i="37"/>
  <c r="X259" i="37"/>
  <c r="W259" i="37"/>
  <c r="V259" i="37"/>
  <c r="U259" i="37"/>
  <c r="T259" i="37"/>
  <c r="S259" i="37"/>
  <c r="Q259" i="37"/>
  <c r="O259" i="37"/>
  <c r="M259" i="37"/>
  <c r="K259" i="37"/>
  <c r="X258" i="37"/>
  <c r="W258" i="37"/>
  <c r="V258" i="37"/>
  <c r="U258" i="37"/>
  <c r="T258" i="37"/>
  <c r="S258" i="37"/>
  <c r="Q258" i="37"/>
  <c r="O258" i="37"/>
  <c r="M258" i="37"/>
  <c r="K258" i="37"/>
  <c r="X257" i="37"/>
  <c r="W257" i="37"/>
  <c r="V257" i="37"/>
  <c r="U257" i="37"/>
  <c r="T257" i="37"/>
  <c r="S257" i="37"/>
  <c r="Q257" i="37"/>
  <c r="O257" i="37"/>
  <c r="M257" i="37"/>
  <c r="K257" i="37"/>
  <c r="X256" i="37"/>
  <c r="W256" i="37"/>
  <c r="V256" i="37"/>
  <c r="U256" i="37"/>
  <c r="T256" i="37"/>
  <c r="S256" i="37"/>
  <c r="Q256" i="37"/>
  <c r="O256" i="37"/>
  <c r="M256" i="37"/>
  <c r="K256" i="37"/>
  <c r="X255" i="37"/>
  <c r="W255" i="37"/>
  <c r="V255" i="37"/>
  <c r="U255" i="37"/>
  <c r="T255" i="37"/>
  <c r="S255" i="37"/>
  <c r="Q255" i="37"/>
  <c r="O255" i="37"/>
  <c r="M255" i="37"/>
  <c r="K255" i="37"/>
  <c r="X254" i="37"/>
  <c r="W254" i="37"/>
  <c r="V254" i="37"/>
  <c r="U254" i="37"/>
  <c r="T254" i="37"/>
  <c r="S254" i="37"/>
  <c r="Q254" i="37"/>
  <c r="O254" i="37"/>
  <c r="M254" i="37"/>
  <c r="K254" i="37"/>
  <c r="X253" i="37"/>
  <c r="W253" i="37"/>
  <c r="V253" i="37"/>
  <c r="U253" i="37"/>
  <c r="T253" i="37"/>
  <c r="S253" i="37"/>
  <c r="Q253" i="37"/>
  <c r="O253" i="37"/>
  <c r="M253" i="37"/>
  <c r="K253" i="37"/>
  <c r="X252" i="37"/>
  <c r="W252" i="37"/>
  <c r="V252" i="37"/>
  <c r="U252" i="37"/>
  <c r="T252" i="37"/>
  <c r="S252" i="37"/>
  <c r="Q252" i="37"/>
  <c r="O252" i="37"/>
  <c r="M252" i="37"/>
  <c r="K252" i="37"/>
  <c r="X251" i="37"/>
  <c r="W251" i="37"/>
  <c r="V251" i="37"/>
  <c r="U251" i="37"/>
  <c r="T251" i="37"/>
  <c r="S251" i="37"/>
  <c r="Q251" i="37"/>
  <c r="O251" i="37"/>
  <c r="M251" i="37"/>
  <c r="K251" i="37"/>
  <c r="X250" i="37"/>
  <c r="W250" i="37"/>
  <c r="V250" i="37"/>
  <c r="U250" i="37"/>
  <c r="T250" i="37"/>
  <c r="S250" i="37"/>
  <c r="Q250" i="37"/>
  <c r="O250" i="37"/>
  <c r="M250" i="37"/>
  <c r="K250" i="37"/>
  <c r="X249" i="37"/>
  <c r="W249" i="37"/>
  <c r="V249" i="37"/>
  <c r="U249" i="37"/>
  <c r="T249" i="37"/>
  <c r="S249" i="37"/>
  <c r="Q249" i="37"/>
  <c r="O249" i="37"/>
  <c r="M249" i="37"/>
  <c r="K249" i="37"/>
  <c r="X248" i="37"/>
  <c r="W248" i="37"/>
  <c r="V248" i="37"/>
  <c r="U248" i="37"/>
  <c r="T248" i="37"/>
  <c r="S248" i="37"/>
  <c r="Q248" i="37"/>
  <c r="O248" i="37"/>
  <c r="M248" i="37"/>
  <c r="K248" i="37"/>
  <c r="X247" i="37"/>
  <c r="W247" i="37"/>
  <c r="V247" i="37"/>
  <c r="U247" i="37"/>
  <c r="T247" i="37"/>
  <c r="S247" i="37"/>
  <c r="Q247" i="37"/>
  <c r="O247" i="37"/>
  <c r="M247" i="37"/>
  <c r="K247" i="37"/>
  <c r="X246" i="37"/>
  <c r="W246" i="37"/>
  <c r="V246" i="37"/>
  <c r="U246" i="37"/>
  <c r="T246" i="37"/>
  <c r="S246" i="37"/>
  <c r="Q246" i="37"/>
  <c r="O246" i="37"/>
  <c r="M246" i="37"/>
  <c r="K246" i="37"/>
  <c r="X245" i="37"/>
  <c r="W245" i="37"/>
  <c r="V245" i="37"/>
  <c r="U245" i="37"/>
  <c r="T245" i="37"/>
  <c r="S245" i="37"/>
  <c r="Q245" i="37"/>
  <c r="O245" i="37"/>
  <c r="M245" i="37"/>
  <c r="K245" i="37"/>
  <c r="X244" i="37"/>
  <c r="W244" i="37"/>
  <c r="V244" i="37"/>
  <c r="U244" i="37"/>
  <c r="T244" i="37"/>
  <c r="S244" i="37"/>
  <c r="Q244" i="37"/>
  <c r="O244" i="37"/>
  <c r="M244" i="37"/>
  <c r="K244" i="37"/>
  <c r="X243" i="37"/>
  <c r="W243" i="37"/>
  <c r="V243" i="37"/>
  <c r="U243" i="37"/>
  <c r="T243" i="37"/>
  <c r="S243" i="37"/>
  <c r="Q243" i="37"/>
  <c r="O243" i="37"/>
  <c r="M243" i="37"/>
  <c r="K243" i="37"/>
  <c r="X242" i="37"/>
  <c r="W242" i="37"/>
  <c r="V242" i="37"/>
  <c r="U242" i="37"/>
  <c r="T242" i="37"/>
  <c r="S242" i="37"/>
  <c r="Q242" i="37"/>
  <c r="O242" i="37"/>
  <c r="M242" i="37"/>
  <c r="K242" i="37"/>
  <c r="X241" i="37"/>
  <c r="W241" i="37"/>
  <c r="V241" i="37"/>
  <c r="U241" i="37"/>
  <c r="T241" i="37"/>
  <c r="S241" i="37"/>
  <c r="Q241" i="37"/>
  <c r="O241" i="37"/>
  <c r="M241" i="37"/>
  <c r="K241" i="37"/>
  <c r="X240" i="37"/>
  <c r="W240" i="37"/>
  <c r="V240" i="37"/>
  <c r="U240" i="37"/>
  <c r="T240" i="37"/>
  <c r="S240" i="37"/>
  <c r="Q240" i="37"/>
  <c r="O240" i="37"/>
  <c r="M240" i="37"/>
  <c r="K240" i="37"/>
  <c r="X239" i="37"/>
  <c r="W239" i="37"/>
  <c r="V239" i="37"/>
  <c r="U239" i="37"/>
  <c r="T239" i="37"/>
  <c r="S239" i="37"/>
  <c r="Q239" i="37"/>
  <c r="O239" i="37"/>
  <c r="M239" i="37"/>
  <c r="K239" i="37"/>
  <c r="X238" i="37"/>
  <c r="W238" i="37"/>
  <c r="V238" i="37"/>
  <c r="U238" i="37"/>
  <c r="T238" i="37"/>
  <c r="S238" i="37"/>
  <c r="Q238" i="37"/>
  <c r="O238" i="37"/>
  <c r="M238" i="37"/>
  <c r="K238" i="37"/>
  <c r="X237" i="37"/>
  <c r="W237" i="37"/>
  <c r="V237" i="37"/>
  <c r="U237" i="37"/>
  <c r="T237" i="37"/>
  <c r="S237" i="37"/>
  <c r="Q237" i="37"/>
  <c r="O237" i="37"/>
  <c r="M237" i="37"/>
  <c r="K237" i="37"/>
  <c r="X236" i="37"/>
  <c r="W236" i="37"/>
  <c r="V236" i="37"/>
  <c r="U236" i="37"/>
  <c r="T236" i="37"/>
  <c r="S236" i="37"/>
  <c r="Q236" i="37"/>
  <c r="O236" i="37"/>
  <c r="M236" i="37"/>
  <c r="K236" i="37"/>
  <c r="X235" i="37"/>
  <c r="W235" i="37"/>
  <c r="V235" i="37"/>
  <c r="U235" i="37"/>
  <c r="T235" i="37"/>
  <c r="S235" i="37"/>
  <c r="Q235" i="37"/>
  <c r="O235" i="37"/>
  <c r="M235" i="37"/>
  <c r="K235" i="37"/>
  <c r="X234" i="37"/>
  <c r="W234" i="37"/>
  <c r="V234" i="37"/>
  <c r="U234" i="37"/>
  <c r="T234" i="37"/>
  <c r="S234" i="37"/>
  <c r="Q234" i="37"/>
  <c r="O234" i="37"/>
  <c r="M234" i="37"/>
  <c r="K234" i="37"/>
  <c r="X233" i="37"/>
  <c r="W233" i="37"/>
  <c r="V233" i="37"/>
  <c r="U233" i="37"/>
  <c r="T233" i="37"/>
  <c r="S233" i="37"/>
  <c r="Q233" i="37"/>
  <c r="O233" i="37"/>
  <c r="M233" i="37"/>
  <c r="K233" i="37"/>
  <c r="X232" i="37"/>
  <c r="W232" i="37"/>
  <c r="V232" i="37"/>
  <c r="U232" i="37"/>
  <c r="T232" i="37"/>
  <c r="S232" i="37"/>
  <c r="Q232" i="37"/>
  <c r="O232" i="37"/>
  <c r="M232" i="37"/>
  <c r="K232" i="37"/>
  <c r="X231" i="37"/>
  <c r="W231" i="37"/>
  <c r="V231" i="37"/>
  <c r="U231" i="37"/>
  <c r="T231" i="37"/>
  <c r="S231" i="37"/>
  <c r="Q231" i="37"/>
  <c r="O231" i="37"/>
  <c r="M231" i="37"/>
  <c r="K231" i="37"/>
  <c r="X230" i="37"/>
  <c r="W230" i="37"/>
  <c r="V230" i="37"/>
  <c r="U230" i="37"/>
  <c r="T230" i="37"/>
  <c r="S230" i="37"/>
  <c r="Q230" i="37"/>
  <c r="O230" i="37"/>
  <c r="M230" i="37"/>
  <c r="K230" i="37"/>
  <c r="X229" i="37"/>
  <c r="W229" i="37"/>
  <c r="V229" i="37"/>
  <c r="U229" i="37"/>
  <c r="T229" i="37"/>
  <c r="S229" i="37"/>
  <c r="Q229" i="37"/>
  <c r="O229" i="37"/>
  <c r="M229" i="37"/>
  <c r="K229" i="37"/>
  <c r="X228" i="37"/>
  <c r="W228" i="37"/>
  <c r="V228" i="37"/>
  <c r="U228" i="37"/>
  <c r="T228" i="37"/>
  <c r="S228" i="37"/>
  <c r="Q228" i="37"/>
  <c r="O228" i="37"/>
  <c r="M228" i="37"/>
  <c r="K228" i="37"/>
  <c r="X227" i="37"/>
  <c r="W227" i="37"/>
  <c r="V227" i="37"/>
  <c r="U227" i="37"/>
  <c r="T227" i="37"/>
  <c r="S227" i="37"/>
  <c r="Q227" i="37"/>
  <c r="O227" i="37"/>
  <c r="M227" i="37"/>
  <c r="K227" i="37"/>
  <c r="X226" i="37"/>
  <c r="W226" i="37"/>
  <c r="V226" i="37"/>
  <c r="U226" i="37"/>
  <c r="T226" i="37"/>
  <c r="S226" i="37"/>
  <c r="Q226" i="37"/>
  <c r="O226" i="37"/>
  <c r="M226" i="37"/>
  <c r="K226" i="37"/>
  <c r="X225" i="37"/>
  <c r="W225" i="37"/>
  <c r="V225" i="37"/>
  <c r="U225" i="37"/>
  <c r="T225" i="37"/>
  <c r="S225" i="37"/>
  <c r="Q225" i="37"/>
  <c r="O225" i="37"/>
  <c r="M225" i="37"/>
  <c r="K225" i="37"/>
  <c r="X224" i="37"/>
  <c r="W224" i="37"/>
  <c r="V224" i="37"/>
  <c r="U224" i="37"/>
  <c r="T224" i="37"/>
  <c r="S224" i="37"/>
  <c r="Q224" i="37"/>
  <c r="O224" i="37"/>
  <c r="M224" i="37"/>
  <c r="K224" i="37"/>
  <c r="X223" i="37"/>
  <c r="W223" i="37"/>
  <c r="V223" i="37"/>
  <c r="U223" i="37"/>
  <c r="T223" i="37"/>
  <c r="S223" i="37"/>
  <c r="Q223" i="37"/>
  <c r="O223" i="37"/>
  <c r="M223" i="37"/>
  <c r="K223" i="37"/>
  <c r="X222" i="37"/>
  <c r="W222" i="37"/>
  <c r="V222" i="37"/>
  <c r="U222" i="37"/>
  <c r="T222" i="37"/>
  <c r="S222" i="37"/>
  <c r="Q222" i="37"/>
  <c r="O222" i="37"/>
  <c r="M222" i="37"/>
  <c r="K222" i="37"/>
  <c r="X221" i="37"/>
  <c r="W221" i="37"/>
  <c r="V221" i="37"/>
  <c r="U221" i="37"/>
  <c r="T221" i="37"/>
  <c r="S221" i="37"/>
  <c r="Q221" i="37"/>
  <c r="O221" i="37"/>
  <c r="M221" i="37"/>
  <c r="K221" i="37"/>
  <c r="X220" i="37"/>
  <c r="W220" i="37"/>
  <c r="V220" i="37"/>
  <c r="U220" i="37"/>
  <c r="T220" i="37"/>
  <c r="S220" i="37"/>
  <c r="Q220" i="37"/>
  <c r="O220" i="37"/>
  <c r="M220" i="37"/>
  <c r="K220" i="37"/>
  <c r="X219" i="37"/>
  <c r="W219" i="37"/>
  <c r="V219" i="37"/>
  <c r="U219" i="37"/>
  <c r="T219" i="37"/>
  <c r="S219" i="37"/>
  <c r="Q219" i="37"/>
  <c r="O219" i="37"/>
  <c r="M219" i="37"/>
  <c r="K219" i="37"/>
  <c r="X218" i="37"/>
  <c r="W218" i="37"/>
  <c r="V218" i="37"/>
  <c r="U218" i="37"/>
  <c r="T218" i="37"/>
  <c r="S218" i="37"/>
  <c r="Q218" i="37"/>
  <c r="O218" i="37"/>
  <c r="M218" i="37"/>
  <c r="K218" i="37"/>
  <c r="X217" i="37"/>
  <c r="W217" i="37"/>
  <c r="V217" i="37"/>
  <c r="U217" i="37"/>
  <c r="T217" i="37"/>
  <c r="S217" i="37"/>
  <c r="Q217" i="37"/>
  <c r="O217" i="37"/>
  <c r="M217" i="37"/>
  <c r="K217" i="37"/>
  <c r="X216" i="37"/>
  <c r="W216" i="37"/>
  <c r="V216" i="37"/>
  <c r="U216" i="37"/>
  <c r="T216" i="37"/>
  <c r="S216" i="37"/>
  <c r="Q216" i="37"/>
  <c r="O216" i="37"/>
  <c r="M216" i="37"/>
  <c r="K216" i="37"/>
  <c r="X215" i="37"/>
  <c r="W215" i="37"/>
  <c r="V215" i="37"/>
  <c r="U215" i="37"/>
  <c r="T215" i="37"/>
  <c r="S215" i="37"/>
  <c r="Q215" i="37"/>
  <c r="O215" i="37"/>
  <c r="M215" i="37"/>
  <c r="K215" i="37"/>
  <c r="X214" i="37"/>
  <c r="W214" i="37"/>
  <c r="V214" i="37"/>
  <c r="U214" i="37"/>
  <c r="T214" i="37"/>
  <c r="S214" i="37"/>
  <c r="Q214" i="37"/>
  <c r="O214" i="37"/>
  <c r="M214" i="37"/>
  <c r="K214" i="37"/>
  <c r="X213" i="37"/>
  <c r="W213" i="37"/>
  <c r="V213" i="37"/>
  <c r="U213" i="37"/>
  <c r="T213" i="37"/>
  <c r="S213" i="37"/>
  <c r="Q213" i="37"/>
  <c r="O213" i="37"/>
  <c r="M213" i="37"/>
  <c r="K213" i="37"/>
  <c r="X212" i="37"/>
  <c r="W212" i="37"/>
  <c r="V212" i="37"/>
  <c r="U212" i="37"/>
  <c r="T212" i="37"/>
  <c r="S212" i="37"/>
  <c r="Q212" i="37"/>
  <c r="O212" i="37"/>
  <c r="M212" i="37"/>
  <c r="K212" i="37"/>
  <c r="X211" i="37"/>
  <c r="W211" i="37"/>
  <c r="V211" i="37"/>
  <c r="U211" i="37"/>
  <c r="T211" i="37"/>
  <c r="S211" i="37"/>
  <c r="Q211" i="37"/>
  <c r="O211" i="37"/>
  <c r="M211" i="37"/>
  <c r="K211" i="37"/>
  <c r="X210" i="37"/>
  <c r="W210" i="37"/>
  <c r="V210" i="37"/>
  <c r="U210" i="37"/>
  <c r="T210" i="37"/>
  <c r="S210" i="37"/>
  <c r="Q210" i="37"/>
  <c r="O210" i="37"/>
  <c r="M210" i="37"/>
  <c r="K210" i="37"/>
  <c r="X209" i="37"/>
  <c r="W209" i="37"/>
  <c r="V209" i="37"/>
  <c r="U209" i="37"/>
  <c r="T209" i="37"/>
  <c r="S209" i="37"/>
  <c r="Q209" i="37"/>
  <c r="O209" i="37"/>
  <c r="M209" i="37"/>
  <c r="K209" i="37"/>
  <c r="X208" i="37"/>
  <c r="W208" i="37"/>
  <c r="V208" i="37"/>
  <c r="U208" i="37"/>
  <c r="T208" i="37"/>
  <c r="S208" i="37"/>
  <c r="Q208" i="37"/>
  <c r="O208" i="37"/>
  <c r="M208" i="37"/>
  <c r="K208" i="37"/>
  <c r="X207" i="37"/>
  <c r="W207" i="37"/>
  <c r="V207" i="37"/>
  <c r="U207" i="37"/>
  <c r="T207" i="37"/>
  <c r="S207" i="37"/>
  <c r="Q207" i="37"/>
  <c r="O207" i="37"/>
  <c r="M207" i="37"/>
  <c r="K207" i="37"/>
  <c r="X206" i="37"/>
  <c r="W206" i="37"/>
  <c r="V206" i="37"/>
  <c r="U206" i="37"/>
  <c r="T206" i="37"/>
  <c r="S206" i="37"/>
  <c r="Q206" i="37"/>
  <c r="O206" i="37"/>
  <c r="M206" i="37"/>
  <c r="K206" i="37"/>
  <c r="X205" i="37"/>
  <c r="W205" i="37"/>
  <c r="V205" i="37"/>
  <c r="U205" i="37"/>
  <c r="T205" i="37"/>
  <c r="S205" i="37"/>
  <c r="Q205" i="37"/>
  <c r="O205" i="37"/>
  <c r="M205" i="37"/>
  <c r="K205" i="37"/>
  <c r="X204" i="37"/>
  <c r="W204" i="37"/>
  <c r="V204" i="37"/>
  <c r="U204" i="37"/>
  <c r="T204" i="37"/>
  <c r="S204" i="37"/>
  <c r="Q204" i="37"/>
  <c r="O204" i="37"/>
  <c r="M204" i="37"/>
  <c r="K204" i="37"/>
  <c r="X203" i="37"/>
  <c r="W203" i="37"/>
  <c r="V203" i="37"/>
  <c r="U203" i="37"/>
  <c r="T203" i="37"/>
  <c r="S203" i="37"/>
  <c r="Q203" i="37"/>
  <c r="O203" i="37"/>
  <c r="M203" i="37"/>
  <c r="K203" i="37"/>
  <c r="X202" i="37"/>
  <c r="W202" i="37"/>
  <c r="V202" i="37"/>
  <c r="U202" i="37"/>
  <c r="T202" i="37"/>
  <c r="S202" i="37"/>
  <c r="Q202" i="37"/>
  <c r="O202" i="37"/>
  <c r="M202" i="37"/>
  <c r="K202" i="37"/>
  <c r="X201" i="37"/>
  <c r="W201" i="37"/>
  <c r="V201" i="37"/>
  <c r="U201" i="37"/>
  <c r="T201" i="37"/>
  <c r="S201" i="37"/>
  <c r="Q201" i="37"/>
  <c r="O201" i="37"/>
  <c r="M201" i="37"/>
  <c r="K201" i="37"/>
  <c r="X200" i="37"/>
  <c r="W200" i="37"/>
  <c r="V200" i="37"/>
  <c r="U200" i="37"/>
  <c r="T200" i="37"/>
  <c r="S200" i="37"/>
  <c r="Q200" i="37"/>
  <c r="O200" i="37"/>
  <c r="M200" i="37"/>
  <c r="K200" i="37"/>
  <c r="X199" i="37"/>
  <c r="W199" i="37"/>
  <c r="V199" i="37"/>
  <c r="U199" i="37"/>
  <c r="T199" i="37"/>
  <c r="S199" i="37"/>
  <c r="Q199" i="37"/>
  <c r="O199" i="37"/>
  <c r="M199" i="37"/>
  <c r="K199" i="37"/>
  <c r="X198" i="37"/>
  <c r="W198" i="37"/>
  <c r="V198" i="37"/>
  <c r="U198" i="37"/>
  <c r="T198" i="37"/>
  <c r="S198" i="37"/>
  <c r="Q198" i="37"/>
  <c r="O198" i="37"/>
  <c r="M198" i="37"/>
  <c r="K198" i="37"/>
  <c r="X197" i="37"/>
  <c r="W197" i="37"/>
  <c r="V197" i="37"/>
  <c r="U197" i="37"/>
  <c r="T197" i="37"/>
  <c r="S197" i="37"/>
  <c r="Q197" i="37"/>
  <c r="O197" i="37"/>
  <c r="M197" i="37"/>
  <c r="K197" i="37"/>
  <c r="X196" i="37"/>
  <c r="W196" i="37"/>
  <c r="V196" i="37"/>
  <c r="U196" i="37"/>
  <c r="T196" i="37"/>
  <c r="S196" i="37"/>
  <c r="Q196" i="37"/>
  <c r="O196" i="37"/>
  <c r="M196" i="37"/>
  <c r="K196" i="37"/>
  <c r="X195" i="37"/>
  <c r="W195" i="37"/>
  <c r="V195" i="37"/>
  <c r="U195" i="37"/>
  <c r="T195" i="37"/>
  <c r="S195" i="37"/>
  <c r="Q195" i="37"/>
  <c r="O195" i="37"/>
  <c r="M195" i="37"/>
  <c r="K195" i="37"/>
  <c r="X194" i="37"/>
  <c r="W194" i="37"/>
  <c r="V194" i="37"/>
  <c r="U194" i="37"/>
  <c r="T194" i="37"/>
  <c r="S194" i="37"/>
  <c r="Q194" i="37"/>
  <c r="O194" i="37"/>
  <c r="M194" i="37"/>
  <c r="K194" i="37"/>
  <c r="X193" i="37"/>
  <c r="W193" i="37"/>
  <c r="V193" i="37"/>
  <c r="U193" i="37"/>
  <c r="T193" i="37"/>
  <c r="S193" i="37"/>
  <c r="Q193" i="37"/>
  <c r="O193" i="37"/>
  <c r="M193" i="37"/>
  <c r="K193" i="37"/>
  <c r="X192" i="37"/>
  <c r="W192" i="37"/>
  <c r="V192" i="37"/>
  <c r="U192" i="37"/>
  <c r="T192" i="37"/>
  <c r="S192" i="37"/>
  <c r="Q192" i="37"/>
  <c r="O192" i="37"/>
  <c r="M192" i="37"/>
  <c r="K192" i="37"/>
  <c r="X191" i="37"/>
  <c r="W191" i="37"/>
  <c r="V191" i="37"/>
  <c r="U191" i="37"/>
  <c r="T191" i="37"/>
  <c r="S191" i="37"/>
  <c r="Q191" i="37"/>
  <c r="O191" i="37"/>
  <c r="M191" i="37"/>
  <c r="K191" i="37"/>
  <c r="X190" i="37"/>
  <c r="W190" i="37"/>
  <c r="V190" i="37"/>
  <c r="U190" i="37"/>
  <c r="T190" i="37"/>
  <c r="S190" i="37"/>
  <c r="Q190" i="37"/>
  <c r="O190" i="37"/>
  <c r="M190" i="37"/>
  <c r="K190" i="37"/>
  <c r="X189" i="37"/>
  <c r="W189" i="37"/>
  <c r="V189" i="37"/>
  <c r="U189" i="37"/>
  <c r="T189" i="37"/>
  <c r="S189" i="37"/>
  <c r="Q189" i="37"/>
  <c r="O189" i="37"/>
  <c r="M189" i="37"/>
  <c r="K189" i="37"/>
  <c r="X188" i="37"/>
  <c r="W188" i="37"/>
  <c r="V188" i="37"/>
  <c r="U188" i="37"/>
  <c r="T188" i="37"/>
  <c r="S188" i="37"/>
  <c r="Q188" i="37"/>
  <c r="O188" i="37"/>
  <c r="M188" i="37"/>
  <c r="K188" i="37"/>
  <c r="X187" i="37"/>
  <c r="W187" i="37"/>
  <c r="V187" i="37"/>
  <c r="U187" i="37"/>
  <c r="T187" i="37"/>
  <c r="S187" i="37"/>
  <c r="Q187" i="37"/>
  <c r="O187" i="37"/>
  <c r="M187" i="37"/>
  <c r="K187" i="37"/>
  <c r="X186" i="37"/>
  <c r="W186" i="37"/>
  <c r="V186" i="37"/>
  <c r="U186" i="37"/>
  <c r="T186" i="37"/>
  <c r="S186" i="37"/>
  <c r="Q186" i="37"/>
  <c r="O186" i="37"/>
  <c r="M186" i="37"/>
  <c r="K186" i="37"/>
  <c r="X185" i="37"/>
  <c r="W185" i="37"/>
  <c r="V185" i="37"/>
  <c r="U185" i="37"/>
  <c r="T185" i="37"/>
  <c r="S185" i="37"/>
  <c r="Q185" i="37"/>
  <c r="O185" i="37"/>
  <c r="M185" i="37"/>
  <c r="K185" i="37"/>
  <c r="X184" i="37"/>
  <c r="W184" i="37"/>
  <c r="V184" i="37"/>
  <c r="U184" i="37"/>
  <c r="T184" i="37"/>
  <c r="S184" i="37"/>
  <c r="Q184" i="37"/>
  <c r="O184" i="37"/>
  <c r="M184" i="37"/>
  <c r="K184" i="37"/>
  <c r="X183" i="37"/>
  <c r="W183" i="37"/>
  <c r="V183" i="37"/>
  <c r="U183" i="37"/>
  <c r="T183" i="37"/>
  <c r="S183" i="37"/>
  <c r="Q183" i="37"/>
  <c r="O183" i="37"/>
  <c r="M183" i="37"/>
  <c r="K183" i="37"/>
  <c r="X182" i="37"/>
  <c r="W182" i="37"/>
  <c r="V182" i="37"/>
  <c r="U182" i="37"/>
  <c r="T182" i="37"/>
  <c r="S182" i="37"/>
  <c r="Q182" i="37"/>
  <c r="O182" i="37"/>
  <c r="M182" i="37"/>
  <c r="K182" i="37"/>
  <c r="X181" i="37"/>
  <c r="W181" i="37"/>
  <c r="V181" i="37"/>
  <c r="U181" i="37"/>
  <c r="T181" i="37"/>
  <c r="S181" i="37"/>
  <c r="Q181" i="37"/>
  <c r="O181" i="37"/>
  <c r="M181" i="37"/>
  <c r="K181" i="37"/>
  <c r="X180" i="37"/>
  <c r="W180" i="37"/>
  <c r="V180" i="37"/>
  <c r="U180" i="37"/>
  <c r="T180" i="37"/>
  <c r="S180" i="37"/>
  <c r="Q180" i="37"/>
  <c r="O180" i="37"/>
  <c r="M180" i="37"/>
  <c r="K180" i="37"/>
  <c r="X179" i="37"/>
  <c r="W179" i="37"/>
  <c r="V179" i="37"/>
  <c r="U179" i="37"/>
  <c r="T179" i="37"/>
  <c r="S179" i="37"/>
  <c r="Q179" i="37"/>
  <c r="O179" i="37"/>
  <c r="M179" i="37"/>
  <c r="K179" i="37"/>
  <c r="X178" i="37"/>
  <c r="W178" i="37"/>
  <c r="V178" i="37"/>
  <c r="U178" i="37"/>
  <c r="T178" i="37"/>
  <c r="S178" i="37"/>
  <c r="Q178" i="37"/>
  <c r="O178" i="37"/>
  <c r="M178" i="37"/>
  <c r="K178" i="37"/>
  <c r="X177" i="37"/>
  <c r="W177" i="37"/>
  <c r="V177" i="37"/>
  <c r="U177" i="37"/>
  <c r="T177" i="37"/>
  <c r="S177" i="37"/>
  <c r="Q177" i="37"/>
  <c r="O177" i="37"/>
  <c r="M177" i="37"/>
  <c r="K177" i="37"/>
  <c r="X176" i="37"/>
  <c r="W176" i="37"/>
  <c r="V176" i="37"/>
  <c r="U176" i="37"/>
  <c r="T176" i="37"/>
  <c r="S176" i="37"/>
  <c r="Q176" i="37"/>
  <c r="O176" i="37"/>
  <c r="M176" i="37"/>
  <c r="K176" i="37"/>
  <c r="X175" i="37"/>
  <c r="W175" i="37"/>
  <c r="V175" i="37"/>
  <c r="U175" i="37"/>
  <c r="T175" i="37"/>
  <c r="S175" i="37"/>
  <c r="Q175" i="37"/>
  <c r="O175" i="37"/>
  <c r="M175" i="37"/>
  <c r="K175" i="37"/>
  <c r="X174" i="37"/>
  <c r="W174" i="37"/>
  <c r="V174" i="37"/>
  <c r="U174" i="37"/>
  <c r="T174" i="37"/>
  <c r="S174" i="37"/>
  <c r="Q174" i="37"/>
  <c r="O174" i="37"/>
  <c r="M174" i="37"/>
  <c r="K174" i="37"/>
  <c r="X173" i="37"/>
  <c r="W173" i="37"/>
  <c r="V173" i="37"/>
  <c r="U173" i="37"/>
  <c r="T173" i="37"/>
  <c r="S173" i="37"/>
  <c r="Q173" i="37"/>
  <c r="O173" i="37"/>
  <c r="M173" i="37"/>
  <c r="K173" i="37"/>
  <c r="X172" i="37"/>
  <c r="W172" i="37"/>
  <c r="V172" i="37"/>
  <c r="U172" i="37"/>
  <c r="T172" i="37"/>
  <c r="S172" i="37"/>
  <c r="Q172" i="37"/>
  <c r="O172" i="37"/>
  <c r="M172" i="37"/>
  <c r="K172" i="37"/>
  <c r="X171" i="37"/>
  <c r="W171" i="37"/>
  <c r="V171" i="37"/>
  <c r="U171" i="37"/>
  <c r="T171" i="37"/>
  <c r="S171" i="37"/>
  <c r="Q171" i="37"/>
  <c r="O171" i="37"/>
  <c r="M171" i="37"/>
  <c r="K171" i="37"/>
  <c r="X170" i="37"/>
  <c r="W170" i="37"/>
  <c r="V170" i="37"/>
  <c r="U170" i="37"/>
  <c r="T170" i="37"/>
  <c r="S170" i="37"/>
  <c r="Q170" i="37"/>
  <c r="O170" i="37"/>
  <c r="M170" i="37"/>
  <c r="K170" i="37"/>
  <c r="X169" i="37"/>
  <c r="W169" i="37"/>
  <c r="V169" i="37"/>
  <c r="U169" i="37"/>
  <c r="T169" i="37"/>
  <c r="S169" i="37"/>
  <c r="Q169" i="37"/>
  <c r="O169" i="37"/>
  <c r="M169" i="37"/>
  <c r="K169" i="37"/>
  <c r="X168" i="37"/>
  <c r="W168" i="37"/>
  <c r="V168" i="37"/>
  <c r="U168" i="37"/>
  <c r="T168" i="37"/>
  <c r="S168" i="37"/>
  <c r="Q168" i="37"/>
  <c r="O168" i="37"/>
  <c r="M168" i="37"/>
  <c r="K168" i="37"/>
  <c r="X167" i="37"/>
  <c r="W167" i="37"/>
  <c r="V167" i="37"/>
  <c r="U167" i="37"/>
  <c r="T167" i="37"/>
  <c r="S167" i="37"/>
  <c r="Q167" i="37"/>
  <c r="O167" i="37"/>
  <c r="M167" i="37"/>
  <c r="K167" i="37"/>
  <c r="X166" i="37"/>
  <c r="W166" i="37"/>
  <c r="V166" i="37"/>
  <c r="U166" i="37"/>
  <c r="T166" i="37"/>
  <c r="S166" i="37"/>
  <c r="Q166" i="37"/>
  <c r="O166" i="37"/>
  <c r="M166" i="37"/>
  <c r="K166" i="37"/>
  <c r="X165" i="37"/>
  <c r="W165" i="37"/>
  <c r="V165" i="37"/>
  <c r="U165" i="37"/>
  <c r="T165" i="37"/>
  <c r="S165" i="37"/>
  <c r="Q165" i="37"/>
  <c r="O165" i="37"/>
  <c r="M165" i="37"/>
  <c r="K165" i="37"/>
  <c r="X164" i="37"/>
  <c r="W164" i="37"/>
  <c r="V164" i="37"/>
  <c r="U164" i="37"/>
  <c r="T164" i="37"/>
  <c r="S164" i="37"/>
  <c r="Q164" i="37"/>
  <c r="O164" i="37"/>
  <c r="M164" i="37"/>
  <c r="K164" i="37"/>
  <c r="X163" i="37"/>
  <c r="W163" i="37"/>
  <c r="V163" i="37"/>
  <c r="U163" i="37"/>
  <c r="T163" i="37"/>
  <c r="S163" i="37"/>
  <c r="Q163" i="37"/>
  <c r="O163" i="37"/>
  <c r="M163" i="37"/>
  <c r="K163" i="37"/>
  <c r="X162" i="37"/>
  <c r="W162" i="37"/>
  <c r="V162" i="37"/>
  <c r="U162" i="37"/>
  <c r="T162" i="37"/>
  <c r="S162" i="37"/>
  <c r="Q162" i="37"/>
  <c r="O162" i="37"/>
  <c r="M162" i="37"/>
  <c r="K162" i="37"/>
  <c r="X161" i="37"/>
  <c r="W161" i="37"/>
  <c r="V161" i="37"/>
  <c r="U161" i="37"/>
  <c r="T161" i="37"/>
  <c r="S161" i="37"/>
  <c r="Q161" i="37"/>
  <c r="O161" i="37"/>
  <c r="M161" i="37"/>
  <c r="K161" i="37"/>
  <c r="X160" i="37"/>
  <c r="W160" i="37"/>
  <c r="V160" i="37"/>
  <c r="U160" i="37"/>
  <c r="T160" i="37"/>
  <c r="S160" i="37"/>
  <c r="Q160" i="37"/>
  <c r="O160" i="37"/>
  <c r="M160" i="37"/>
  <c r="K160" i="37"/>
  <c r="X159" i="37"/>
  <c r="W159" i="37"/>
  <c r="V159" i="37"/>
  <c r="U159" i="37"/>
  <c r="T159" i="37"/>
  <c r="S159" i="37"/>
  <c r="Q159" i="37"/>
  <c r="O159" i="37"/>
  <c r="M159" i="37"/>
  <c r="K159" i="37"/>
  <c r="X158" i="37"/>
  <c r="W158" i="37"/>
  <c r="V158" i="37"/>
  <c r="U158" i="37"/>
  <c r="T158" i="37"/>
  <c r="S158" i="37"/>
  <c r="Q158" i="37"/>
  <c r="O158" i="37"/>
  <c r="M158" i="37"/>
  <c r="K158" i="37"/>
  <c r="X157" i="37"/>
  <c r="W157" i="37"/>
  <c r="V157" i="37"/>
  <c r="U157" i="37"/>
  <c r="T157" i="37"/>
  <c r="S157" i="37"/>
  <c r="Q157" i="37"/>
  <c r="O157" i="37"/>
  <c r="M157" i="37"/>
  <c r="K157" i="37"/>
  <c r="X156" i="37"/>
  <c r="W156" i="37"/>
  <c r="V156" i="37"/>
  <c r="U156" i="37"/>
  <c r="T156" i="37"/>
  <c r="S156" i="37"/>
  <c r="Q156" i="37"/>
  <c r="O156" i="37"/>
  <c r="M156" i="37"/>
  <c r="K156" i="37"/>
  <c r="X155" i="37"/>
  <c r="W155" i="37"/>
  <c r="V155" i="37"/>
  <c r="U155" i="37"/>
  <c r="T155" i="37"/>
  <c r="S155" i="37"/>
  <c r="Q155" i="37"/>
  <c r="O155" i="37"/>
  <c r="M155" i="37"/>
  <c r="K155" i="37"/>
  <c r="X154" i="37"/>
  <c r="W154" i="37"/>
  <c r="V154" i="37"/>
  <c r="U154" i="37"/>
  <c r="T154" i="37"/>
  <c r="S154" i="37"/>
  <c r="Q154" i="37"/>
  <c r="O154" i="37"/>
  <c r="M154" i="37"/>
  <c r="K154" i="37"/>
  <c r="X153" i="37"/>
  <c r="W153" i="37"/>
  <c r="V153" i="37"/>
  <c r="U153" i="37"/>
  <c r="T153" i="37"/>
  <c r="S153" i="37"/>
  <c r="Q153" i="37"/>
  <c r="O153" i="37"/>
  <c r="M153" i="37"/>
  <c r="K153" i="37"/>
  <c r="X152" i="37"/>
  <c r="W152" i="37"/>
  <c r="V152" i="37"/>
  <c r="U152" i="37"/>
  <c r="T152" i="37"/>
  <c r="S152" i="37"/>
  <c r="Q152" i="37"/>
  <c r="O152" i="37"/>
  <c r="M152" i="37"/>
  <c r="K152" i="37"/>
  <c r="X151" i="37"/>
  <c r="W151" i="37"/>
  <c r="V151" i="37"/>
  <c r="U151" i="37"/>
  <c r="T151" i="37"/>
  <c r="S151" i="37"/>
  <c r="Q151" i="37"/>
  <c r="O151" i="37"/>
  <c r="M151" i="37"/>
  <c r="K151" i="37"/>
  <c r="X150" i="37"/>
  <c r="W150" i="37"/>
  <c r="V150" i="37"/>
  <c r="U150" i="37"/>
  <c r="T150" i="37"/>
  <c r="S150" i="37"/>
  <c r="Q150" i="37"/>
  <c r="O150" i="37"/>
  <c r="M150" i="37"/>
  <c r="K150" i="37"/>
  <c r="X149" i="37"/>
  <c r="W149" i="37"/>
  <c r="V149" i="37"/>
  <c r="U149" i="37"/>
  <c r="T149" i="37"/>
  <c r="S149" i="37"/>
  <c r="Q149" i="37"/>
  <c r="O149" i="37"/>
  <c r="M149" i="37"/>
  <c r="K149" i="37"/>
  <c r="X148" i="37"/>
  <c r="W148" i="37"/>
  <c r="V148" i="37"/>
  <c r="U148" i="37"/>
  <c r="T148" i="37"/>
  <c r="S148" i="37"/>
  <c r="Q148" i="37"/>
  <c r="O148" i="37"/>
  <c r="M148" i="37"/>
  <c r="K148" i="37"/>
  <c r="X147" i="37"/>
  <c r="W147" i="37"/>
  <c r="V147" i="37"/>
  <c r="U147" i="37"/>
  <c r="T147" i="37"/>
  <c r="S147" i="37"/>
  <c r="Q147" i="37"/>
  <c r="O147" i="37"/>
  <c r="M147" i="37"/>
  <c r="K147" i="37"/>
  <c r="X146" i="37"/>
  <c r="W146" i="37"/>
  <c r="V146" i="37"/>
  <c r="U146" i="37"/>
  <c r="T146" i="37"/>
  <c r="S146" i="37"/>
  <c r="Q146" i="37"/>
  <c r="O146" i="37"/>
  <c r="M146" i="37"/>
  <c r="K146" i="37"/>
  <c r="X145" i="37"/>
  <c r="W145" i="37"/>
  <c r="V145" i="37"/>
  <c r="U145" i="37"/>
  <c r="T145" i="37"/>
  <c r="S145" i="37"/>
  <c r="Q145" i="37"/>
  <c r="O145" i="37"/>
  <c r="M145" i="37"/>
  <c r="K145" i="37"/>
  <c r="X144" i="37"/>
  <c r="W144" i="37"/>
  <c r="V144" i="37"/>
  <c r="U144" i="37"/>
  <c r="T144" i="37"/>
  <c r="S144" i="37"/>
  <c r="Q144" i="37"/>
  <c r="O144" i="37"/>
  <c r="M144" i="37"/>
  <c r="K144" i="37"/>
  <c r="X143" i="37"/>
  <c r="W143" i="37"/>
  <c r="V143" i="37"/>
  <c r="U143" i="37"/>
  <c r="T143" i="37"/>
  <c r="S143" i="37"/>
  <c r="Q143" i="37"/>
  <c r="O143" i="37"/>
  <c r="M143" i="37"/>
  <c r="K143" i="37"/>
  <c r="X142" i="37"/>
  <c r="W142" i="37"/>
  <c r="V142" i="37"/>
  <c r="U142" i="37"/>
  <c r="T142" i="37"/>
  <c r="S142" i="37"/>
  <c r="Q142" i="37"/>
  <c r="O142" i="37"/>
  <c r="M142" i="37"/>
  <c r="K142" i="37"/>
  <c r="X141" i="37"/>
  <c r="W141" i="37"/>
  <c r="V141" i="37"/>
  <c r="U141" i="37"/>
  <c r="T141" i="37"/>
  <c r="S141" i="37"/>
  <c r="Q141" i="37"/>
  <c r="O141" i="37"/>
  <c r="M141" i="37"/>
  <c r="K141" i="37"/>
  <c r="X140" i="37"/>
  <c r="W140" i="37"/>
  <c r="V140" i="37"/>
  <c r="U140" i="37"/>
  <c r="T140" i="37"/>
  <c r="S140" i="37"/>
  <c r="Q140" i="37"/>
  <c r="O140" i="37"/>
  <c r="M140" i="37"/>
  <c r="K140" i="37"/>
  <c r="X139" i="37"/>
  <c r="W139" i="37"/>
  <c r="V139" i="37"/>
  <c r="U139" i="37"/>
  <c r="T139" i="37"/>
  <c r="S139" i="37"/>
  <c r="Q139" i="37"/>
  <c r="O139" i="37"/>
  <c r="M139" i="37"/>
  <c r="K139" i="37"/>
  <c r="X138" i="37"/>
  <c r="W138" i="37"/>
  <c r="V138" i="37"/>
  <c r="U138" i="37"/>
  <c r="T138" i="37"/>
  <c r="S138" i="37"/>
  <c r="Q138" i="37"/>
  <c r="O138" i="37"/>
  <c r="M138" i="37"/>
  <c r="K138" i="37"/>
  <c r="X137" i="37"/>
  <c r="W137" i="37"/>
  <c r="V137" i="37"/>
  <c r="U137" i="37"/>
  <c r="T137" i="37"/>
  <c r="S137" i="37"/>
  <c r="Q137" i="37"/>
  <c r="O137" i="37"/>
  <c r="M137" i="37"/>
  <c r="K137" i="37"/>
  <c r="X136" i="37"/>
  <c r="W136" i="37"/>
  <c r="V136" i="37"/>
  <c r="U136" i="37"/>
  <c r="T136" i="37"/>
  <c r="S136" i="37"/>
  <c r="Q136" i="37"/>
  <c r="O136" i="37"/>
  <c r="M136" i="37"/>
  <c r="K136" i="37"/>
  <c r="X135" i="37"/>
  <c r="W135" i="37"/>
  <c r="V135" i="37"/>
  <c r="U135" i="37"/>
  <c r="T135" i="37"/>
  <c r="S135" i="37"/>
  <c r="Q135" i="37"/>
  <c r="O135" i="37"/>
  <c r="M135" i="37"/>
  <c r="K135" i="37"/>
  <c r="X134" i="37"/>
  <c r="W134" i="37"/>
  <c r="V134" i="37"/>
  <c r="U134" i="37"/>
  <c r="T134" i="37"/>
  <c r="S134" i="37"/>
  <c r="Q134" i="37"/>
  <c r="O134" i="37"/>
  <c r="M134" i="37"/>
  <c r="K134" i="37"/>
  <c r="X133" i="37"/>
  <c r="W133" i="37"/>
  <c r="V133" i="37"/>
  <c r="U133" i="37"/>
  <c r="T133" i="37"/>
  <c r="S133" i="37"/>
  <c r="Q133" i="37"/>
  <c r="O133" i="37"/>
  <c r="M133" i="37"/>
  <c r="K133" i="37"/>
  <c r="X132" i="37"/>
  <c r="W132" i="37"/>
  <c r="V132" i="37"/>
  <c r="U132" i="37"/>
  <c r="T132" i="37"/>
  <c r="S132" i="37"/>
  <c r="Q132" i="37"/>
  <c r="O132" i="37"/>
  <c r="M132" i="37"/>
  <c r="K132" i="37"/>
  <c r="X131" i="37"/>
  <c r="W131" i="37"/>
  <c r="V131" i="37"/>
  <c r="U131" i="37"/>
  <c r="T131" i="37"/>
  <c r="S131" i="37"/>
  <c r="Q131" i="37"/>
  <c r="O131" i="37"/>
  <c r="M131" i="37"/>
  <c r="K131" i="37"/>
  <c r="X130" i="37"/>
  <c r="W130" i="37"/>
  <c r="V130" i="37"/>
  <c r="U130" i="37"/>
  <c r="T130" i="37"/>
  <c r="S130" i="37"/>
  <c r="Q130" i="37"/>
  <c r="O130" i="37"/>
  <c r="M130" i="37"/>
  <c r="K130" i="37"/>
  <c r="X129" i="37"/>
  <c r="W129" i="37"/>
  <c r="V129" i="37"/>
  <c r="U129" i="37"/>
  <c r="T129" i="37"/>
  <c r="S129" i="37"/>
  <c r="Q129" i="37"/>
  <c r="O129" i="37"/>
  <c r="M129" i="37"/>
  <c r="K129" i="37"/>
  <c r="X128" i="37"/>
  <c r="W128" i="37"/>
  <c r="V128" i="37"/>
  <c r="U128" i="37"/>
  <c r="T128" i="37"/>
  <c r="S128" i="37"/>
  <c r="Q128" i="37"/>
  <c r="O128" i="37"/>
  <c r="M128" i="37"/>
  <c r="K128" i="37"/>
  <c r="X127" i="37"/>
  <c r="W127" i="37"/>
  <c r="V127" i="37"/>
  <c r="U127" i="37"/>
  <c r="T127" i="37"/>
  <c r="S127" i="37"/>
  <c r="Q127" i="37"/>
  <c r="O127" i="37"/>
  <c r="M127" i="37"/>
  <c r="K127" i="37"/>
  <c r="X126" i="37"/>
  <c r="W126" i="37"/>
  <c r="V126" i="37"/>
  <c r="U126" i="37"/>
  <c r="T126" i="37"/>
  <c r="S126" i="37"/>
  <c r="Q126" i="37"/>
  <c r="O126" i="37"/>
  <c r="M126" i="37"/>
  <c r="K126" i="37"/>
  <c r="X125" i="37"/>
  <c r="W125" i="37"/>
  <c r="V125" i="37"/>
  <c r="U125" i="37"/>
  <c r="T125" i="37"/>
  <c r="S125" i="37"/>
  <c r="Q125" i="37"/>
  <c r="O125" i="37"/>
  <c r="M125" i="37"/>
  <c r="K125" i="37"/>
  <c r="X124" i="37"/>
  <c r="W124" i="37"/>
  <c r="V124" i="37"/>
  <c r="U124" i="37"/>
  <c r="T124" i="37"/>
  <c r="S124" i="37"/>
  <c r="Q124" i="37"/>
  <c r="O124" i="37"/>
  <c r="M124" i="37"/>
  <c r="K124" i="37"/>
  <c r="X123" i="37"/>
  <c r="W123" i="37"/>
  <c r="V123" i="37"/>
  <c r="U123" i="37"/>
  <c r="T123" i="37"/>
  <c r="S123" i="37"/>
  <c r="Q123" i="37"/>
  <c r="O123" i="37"/>
  <c r="M123" i="37"/>
  <c r="K123" i="37"/>
  <c r="X122" i="37"/>
  <c r="W122" i="37"/>
  <c r="V122" i="37"/>
  <c r="U122" i="37"/>
  <c r="T122" i="37"/>
  <c r="S122" i="37"/>
  <c r="Q122" i="37"/>
  <c r="O122" i="37"/>
  <c r="M122" i="37"/>
  <c r="K122" i="37"/>
  <c r="X121" i="37"/>
  <c r="W121" i="37"/>
  <c r="V121" i="37"/>
  <c r="U121" i="37"/>
  <c r="T121" i="37"/>
  <c r="S121" i="37"/>
  <c r="Q121" i="37"/>
  <c r="O121" i="37"/>
  <c r="M121" i="37"/>
  <c r="K121" i="37"/>
  <c r="X120" i="37"/>
  <c r="W120" i="37"/>
  <c r="V120" i="37"/>
  <c r="U120" i="37"/>
  <c r="T120" i="37"/>
  <c r="S120" i="37"/>
  <c r="Q120" i="37"/>
  <c r="O120" i="37"/>
  <c r="M120" i="37"/>
  <c r="K120" i="37"/>
  <c r="X119" i="37"/>
  <c r="W119" i="37"/>
  <c r="V119" i="37"/>
  <c r="U119" i="37"/>
  <c r="T119" i="37"/>
  <c r="S119" i="37"/>
  <c r="Q119" i="37"/>
  <c r="O119" i="37"/>
  <c r="M119" i="37"/>
  <c r="K119" i="37"/>
  <c r="X118" i="37"/>
  <c r="W118" i="37"/>
  <c r="V118" i="37"/>
  <c r="U118" i="37"/>
  <c r="T118" i="37"/>
  <c r="S118" i="37"/>
  <c r="Q118" i="37"/>
  <c r="O118" i="37"/>
  <c r="M118" i="37"/>
  <c r="K118" i="37"/>
  <c r="X117" i="37"/>
  <c r="W117" i="37"/>
  <c r="V117" i="37"/>
  <c r="U117" i="37"/>
  <c r="T117" i="37"/>
  <c r="S117" i="37"/>
  <c r="Q117" i="37"/>
  <c r="O117" i="37"/>
  <c r="M117" i="37"/>
  <c r="K117" i="37"/>
  <c r="X116" i="37"/>
  <c r="W116" i="37"/>
  <c r="V116" i="37"/>
  <c r="U116" i="37"/>
  <c r="T116" i="37"/>
  <c r="S116" i="37"/>
  <c r="Q116" i="37"/>
  <c r="O116" i="37"/>
  <c r="M116" i="37"/>
  <c r="K116" i="37"/>
  <c r="X115" i="37"/>
  <c r="W115" i="37"/>
  <c r="V115" i="37"/>
  <c r="U115" i="37"/>
  <c r="T115" i="37"/>
  <c r="S115" i="37"/>
  <c r="Q115" i="37"/>
  <c r="O115" i="37"/>
  <c r="M115" i="37"/>
  <c r="K115" i="37"/>
  <c r="X114" i="37"/>
  <c r="W114" i="37"/>
  <c r="V114" i="37"/>
  <c r="U114" i="37"/>
  <c r="T114" i="37"/>
  <c r="S114" i="37"/>
  <c r="Q114" i="37"/>
  <c r="O114" i="37"/>
  <c r="M114" i="37"/>
  <c r="K114" i="37"/>
  <c r="X113" i="37"/>
  <c r="W113" i="37"/>
  <c r="V113" i="37"/>
  <c r="U113" i="37"/>
  <c r="T113" i="37"/>
  <c r="S113" i="37"/>
  <c r="Q113" i="37"/>
  <c r="O113" i="37"/>
  <c r="M113" i="37"/>
  <c r="K113" i="37"/>
  <c r="X112" i="37"/>
  <c r="W112" i="37"/>
  <c r="V112" i="37"/>
  <c r="U112" i="37"/>
  <c r="T112" i="37"/>
  <c r="S112" i="37"/>
  <c r="Q112" i="37"/>
  <c r="O112" i="37"/>
  <c r="M112" i="37"/>
  <c r="K112" i="37"/>
  <c r="X111" i="37"/>
  <c r="W111" i="37"/>
  <c r="V111" i="37"/>
  <c r="U111" i="37"/>
  <c r="T111" i="37"/>
  <c r="S111" i="37"/>
  <c r="Q111" i="37"/>
  <c r="O111" i="37"/>
  <c r="M111" i="37"/>
  <c r="K111" i="37"/>
  <c r="X110" i="37"/>
  <c r="W110" i="37"/>
  <c r="V110" i="37"/>
  <c r="U110" i="37"/>
  <c r="T110" i="37"/>
  <c r="S110" i="37"/>
  <c r="Q110" i="37"/>
  <c r="O110" i="37"/>
  <c r="M110" i="37"/>
  <c r="K110" i="37"/>
  <c r="X109" i="37"/>
  <c r="W109" i="37"/>
  <c r="V109" i="37"/>
  <c r="U109" i="37"/>
  <c r="T109" i="37"/>
  <c r="S109" i="37"/>
  <c r="Q109" i="37"/>
  <c r="O109" i="37"/>
  <c r="M109" i="37"/>
  <c r="K109" i="37"/>
  <c r="X108" i="37"/>
  <c r="W108" i="37"/>
  <c r="V108" i="37"/>
  <c r="U108" i="37"/>
  <c r="T108" i="37"/>
  <c r="S108" i="37"/>
  <c r="Q108" i="37"/>
  <c r="O108" i="37"/>
  <c r="M108" i="37"/>
  <c r="K108" i="37"/>
  <c r="X107" i="37"/>
  <c r="W107" i="37"/>
  <c r="V107" i="37"/>
  <c r="U107" i="37"/>
  <c r="T107" i="37"/>
  <c r="S107" i="37"/>
  <c r="Q107" i="37"/>
  <c r="O107" i="37"/>
  <c r="M107" i="37"/>
  <c r="K107" i="37"/>
  <c r="X106" i="37"/>
  <c r="W106" i="37"/>
  <c r="V106" i="37"/>
  <c r="U106" i="37"/>
  <c r="T106" i="37"/>
  <c r="S106" i="37"/>
  <c r="Q106" i="37"/>
  <c r="O106" i="37"/>
  <c r="M106" i="37"/>
  <c r="K106" i="37"/>
  <c r="X105" i="37"/>
  <c r="W105" i="37"/>
  <c r="V105" i="37"/>
  <c r="U105" i="37"/>
  <c r="T105" i="37"/>
  <c r="S105" i="37"/>
  <c r="Q105" i="37"/>
  <c r="O105" i="37"/>
  <c r="M105" i="37"/>
  <c r="K105" i="37"/>
  <c r="X104" i="37"/>
  <c r="W104" i="37"/>
  <c r="V104" i="37"/>
  <c r="U104" i="37"/>
  <c r="T104" i="37"/>
  <c r="S104" i="37"/>
  <c r="Q104" i="37"/>
  <c r="O104" i="37"/>
  <c r="M104" i="37"/>
  <c r="K104" i="37"/>
  <c r="X103" i="37"/>
  <c r="W103" i="37"/>
  <c r="V103" i="37"/>
  <c r="U103" i="37"/>
  <c r="T103" i="37"/>
  <c r="S103" i="37"/>
  <c r="Q103" i="37"/>
  <c r="O103" i="37"/>
  <c r="M103" i="37"/>
  <c r="K103" i="37"/>
  <c r="X102" i="37"/>
  <c r="W102" i="37"/>
  <c r="V102" i="37"/>
  <c r="U102" i="37"/>
  <c r="T102" i="37"/>
  <c r="S102" i="37"/>
  <c r="Q102" i="37"/>
  <c r="O102" i="37"/>
  <c r="M102" i="37"/>
  <c r="K102" i="37"/>
  <c r="X101" i="37"/>
  <c r="W101" i="37"/>
  <c r="V101" i="37"/>
  <c r="U101" i="37"/>
  <c r="T101" i="37"/>
  <c r="S101" i="37"/>
  <c r="Q101" i="37"/>
  <c r="O101" i="37"/>
  <c r="M101" i="37"/>
  <c r="K101" i="37"/>
  <c r="X100" i="37"/>
  <c r="W100" i="37"/>
  <c r="V100" i="37"/>
  <c r="U100" i="37"/>
  <c r="T100" i="37"/>
  <c r="S100" i="37"/>
  <c r="Q100" i="37"/>
  <c r="O100" i="37"/>
  <c r="M100" i="37"/>
  <c r="K100" i="37"/>
  <c r="X99" i="37"/>
  <c r="W99" i="37"/>
  <c r="V99" i="37"/>
  <c r="U99" i="37"/>
  <c r="T99" i="37"/>
  <c r="S99" i="37"/>
  <c r="Q99" i="37"/>
  <c r="O99" i="37"/>
  <c r="M99" i="37"/>
  <c r="K99" i="37"/>
  <c r="X98" i="37"/>
  <c r="W98" i="37"/>
  <c r="V98" i="37"/>
  <c r="U98" i="37"/>
  <c r="T98" i="37"/>
  <c r="S98" i="37"/>
  <c r="Q98" i="37"/>
  <c r="O98" i="37"/>
  <c r="M98" i="37"/>
  <c r="K98" i="37"/>
  <c r="X97" i="37"/>
  <c r="W97" i="37"/>
  <c r="V97" i="37"/>
  <c r="U97" i="37"/>
  <c r="T97" i="37"/>
  <c r="S97" i="37"/>
  <c r="Q97" i="37"/>
  <c r="O97" i="37"/>
  <c r="M97" i="37"/>
  <c r="K97" i="37"/>
  <c r="X96" i="37"/>
  <c r="W96" i="37"/>
  <c r="V96" i="37"/>
  <c r="U96" i="37"/>
  <c r="T96" i="37"/>
  <c r="S96" i="37"/>
  <c r="Q96" i="37"/>
  <c r="O96" i="37"/>
  <c r="M96" i="37"/>
  <c r="K96" i="37"/>
  <c r="X95" i="37"/>
  <c r="W95" i="37"/>
  <c r="V95" i="37"/>
  <c r="U95" i="37"/>
  <c r="T95" i="37"/>
  <c r="S95" i="37"/>
  <c r="Q95" i="37"/>
  <c r="O95" i="37"/>
  <c r="M95" i="37"/>
  <c r="K95" i="37"/>
  <c r="X94" i="37"/>
  <c r="W94" i="37"/>
  <c r="V94" i="37"/>
  <c r="U94" i="37"/>
  <c r="T94" i="37"/>
  <c r="S94" i="37"/>
  <c r="Q94" i="37"/>
  <c r="O94" i="37"/>
  <c r="M94" i="37"/>
  <c r="K94" i="37"/>
  <c r="X93" i="37"/>
  <c r="W93" i="37"/>
  <c r="V93" i="37"/>
  <c r="U93" i="37"/>
  <c r="T93" i="37"/>
  <c r="S93" i="37"/>
  <c r="Q93" i="37"/>
  <c r="O93" i="37"/>
  <c r="M93" i="37"/>
  <c r="K93" i="37"/>
  <c r="X92" i="37"/>
  <c r="W92" i="37"/>
  <c r="V92" i="37"/>
  <c r="U92" i="37"/>
  <c r="T92" i="37"/>
  <c r="S92" i="37"/>
  <c r="Q92" i="37"/>
  <c r="O92" i="37"/>
  <c r="M92" i="37"/>
  <c r="K92" i="37"/>
  <c r="X91" i="37"/>
  <c r="W91" i="37"/>
  <c r="V91" i="37"/>
  <c r="U91" i="37"/>
  <c r="T91" i="37"/>
  <c r="S91" i="37"/>
  <c r="Q91" i="37"/>
  <c r="O91" i="37"/>
  <c r="M91" i="37"/>
  <c r="K91" i="37"/>
  <c r="X90" i="37"/>
  <c r="W90" i="37"/>
  <c r="V90" i="37"/>
  <c r="U90" i="37"/>
  <c r="T90" i="37"/>
  <c r="S90" i="37"/>
  <c r="Q90" i="37"/>
  <c r="O90" i="37"/>
  <c r="M90" i="37"/>
  <c r="K90" i="37"/>
  <c r="X89" i="37"/>
  <c r="W89" i="37"/>
  <c r="V89" i="37"/>
  <c r="U89" i="37"/>
  <c r="T89" i="37"/>
  <c r="S89" i="37"/>
  <c r="Q89" i="37"/>
  <c r="O89" i="37"/>
  <c r="M89" i="37"/>
  <c r="K89" i="37"/>
  <c r="X88" i="37"/>
  <c r="W88" i="37"/>
  <c r="V88" i="37"/>
  <c r="U88" i="37"/>
  <c r="T88" i="37"/>
  <c r="S88" i="37"/>
  <c r="Q88" i="37"/>
  <c r="O88" i="37"/>
  <c r="M88" i="37"/>
  <c r="K88" i="37"/>
  <c r="X87" i="37"/>
  <c r="W87" i="37"/>
  <c r="V87" i="37"/>
  <c r="U87" i="37"/>
  <c r="T87" i="37"/>
  <c r="S87" i="37"/>
  <c r="Q87" i="37"/>
  <c r="O87" i="37"/>
  <c r="M87" i="37"/>
  <c r="K87" i="37"/>
  <c r="X86" i="37"/>
  <c r="W86" i="37"/>
  <c r="V86" i="37"/>
  <c r="U86" i="37"/>
  <c r="T86" i="37"/>
  <c r="S86" i="37"/>
  <c r="Q86" i="37"/>
  <c r="O86" i="37"/>
  <c r="M86" i="37"/>
  <c r="K86" i="37"/>
  <c r="X85" i="37"/>
  <c r="W85" i="37"/>
  <c r="V85" i="37"/>
  <c r="U85" i="37"/>
  <c r="T85" i="37"/>
  <c r="S85" i="37"/>
  <c r="Q85" i="37"/>
  <c r="O85" i="37"/>
  <c r="M85" i="37"/>
  <c r="K85" i="37"/>
  <c r="X84" i="37"/>
  <c r="W84" i="37"/>
  <c r="V84" i="37"/>
  <c r="U84" i="37"/>
  <c r="T84" i="37"/>
  <c r="S84" i="37"/>
  <c r="Q84" i="37"/>
  <c r="O84" i="37"/>
  <c r="M84" i="37"/>
  <c r="K84" i="37"/>
  <c r="X83" i="37"/>
  <c r="W83" i="37"/>
  <c r="V83" i="37"/>
  <c r="U83" i="37"/>
  <c r="T83" i="37"/>
  <c r="S83" i="37"/>
  <c r="Q83" i="37"/>
  <c r="O83" i="37"/>
  <c r="M83" i="37"/>
  <c r="K83" i="37"/>
  <c r="X82" i="37"/>
  <c r="W82" i="37"/>
  <c r="V82" i="37"/>
  <c r="U82" i="37"/>
  <c r="T82" i="37"/>
  <c r="S82" i="37"/>
  <c r="Q82" i="37"/>
  <c r="O82" i="37"/>
  <c r="M82" i="37"/>
  <c r="K82" i="37"/>
  <c r="X81" i="37"/>
  <c r="W81" i="37"/>
  <c r="V81" i="37"/>
  <c r="U81" i="37"/>
  <c r="T81" i="37"/>
  <c r="S81" i="37"/>
  <c r="Q81" i="37"/>
  <c r="O81" i="37"/>
  <c r="M81" i="37"/>
  <c r="K81" i="37"/>
  <c r="X80" i="37"/>
  <c r="W80" i="37"/>
  <c r="V80" i="37"/>
  <c r="U80" i="37"/>
  <c r="T80" i="37"/>
  <c r="S80" i="37"/>
  <c r="Q80" i="37"/>
  <c r="O80" i="37"/>
  <c r="M80" i="37"/>
  <c r="K80" i="37"/>
  <c r="X79" i="37"/>
  <c r="W79" i="37"/>
  <c r="V79" i="37"/>
  <c r="U79" i="37"/>
  <c r="T79" i="37"/>
  <c r="S79" i="37"/>
  <c r="Q79" i="37"/>
  <c r="O79" i="37"/>
  <c r="M79" i="37"/>
  <c r="K79" i="37"/>
  <c r="X78" i="37"/>
  <c r="W78" i="37"/>
  <c r="V78" i="37"/>
  <c r="U78" i="37"/>
  <c r="T78" i="37"/>
  <c r="S78" i="37"/>
  <c r="Q78" i="37"/>
  <c r="O78" i="37"/>
  <c r="M78" i="37"/>
  <c r="K78" i="37"/>
  <c r="X77" i="37"/>
  <c r="W77" i="37"/>
  <c r="V77" i="37"/>
  <c r="U77" i="37"/>
  <c r="T77" i="37"/>
  <c r="S77" i="37"/>
  <c r="Q77" i="37"/>
  <c r="O77" i="37"/>
  <c r="M77" i="37"/>
  <c r="K77" i="37"/>
  <c r="X76" i="37"/>
  <c r="W76" i="37"/>
  <c r="V76" i="37"/>
  <c r="U76" i="37"/>
  <c r="T76" i="37"/>
  <c r="S76" i="37"/>
  <c r="Q76" i="37"/>
  <c r="O76" i="37"/>
  <c r="M76" i="37"/>
  <c r="K76" i="37"/>
  <c r="X75" i="37"/>
  <c r="W75" i="37"/>
  <c r="V75" i="37"/>
  <c r="U75" i="37"/>
  <c r="T75" i="37"/>
  <c r="S75" i="37"/>
  <c r="Q75" i="37"/>
  <c r="O75" i="37"/>
  <c r="M75" i="37"/>
  <c r="K75" i="37"/>
  <c r="X74" i="37"/>
  <c r="W74" i="37"/>
  <c r="V74" i="37"/>
  <c r="U74" i="37"/>
  <c r="T74" i="37"/>
  <c r="S74" i="37"/>
  <c r="Q74" i="37"/>
  <c r="O74" i="37"/>
  <c r="M74" i="37"/>
  <c r="K74" i="37"/>
  <c r="X73" i="37"/>
  <c r="W73" i="37"/>
  <c r="V73" i="37"/>
  <c r="U73" i="37"/>
  <c r="T73" i="37"/>
  <c r="S73" i="37"/>
  <c r="Q73" i="37"/>
  <c r="O73" i="37"/>
  <c r="M73" i="37"/>
  <c r="K73" i="37"/>
  <c r="X72" i="37"/>
  <c r="W72" i="37"/>
  <c r="V72" i="37"/>
  <c r="U72" i="37"/>
  <c r="T72" i="37"/>
  <c r="S72" i="37"/>
  <c r="Q72" i="37"/>
  <c r="O72" i="37"/>
  <c r="M72" i="37"/>
  <c r="K72" i="37"/>
  <c r="X71" i="37"/>
  <c r="W71" i="37"/>
  <c r="V71" i="37"/>
  <c r="U71" i="37"/>
  <c r="T71" i="37"/>
  <c r="S71" i="37"/>
  <c r="Q71" i="37"/>
  <c r="O71" i="37"/>
  <c r="M71" i="37"/>
  <c r="K71" i="37"/>
  <c r="X70" i="37"/>
  <c r="W70" i="37"/>
  <c r="V70" i="37"/>
  <c r="U70" i="37"/>
  <c r="T70" i="37"/>
  <c r="S70" i="37"/>
  <c r="Q70" i="37"/>
  <c r="O70" i="37"/>
  <c r="M70" i="37"/>
  <c r="K70" i="37"/>
  <c r="X69" i="37"/>
  <c r="W69" i="37"/>
  <c r="V69" i="37"/>
  <c r="U69" i="37"/>
  <c r="T69" i="37"/>
  <c r="S69" i="37"/>
  <c r="Q69" i="37"/>
  <c r="O69" i="37"/>
  <c r="M69" i="37"/>
  <c r="K69" i="37"/>
  <c r="X68" i="37"/>
  <c r="W68" i="37"/>
  <c r="V68" i="37"/>
  <c r="U68" i="37"/>
  <c r="T68" i="37"/>
  <c r="S68" i="37"/>
  <c r="Q68" i="37"/>
  <c r="O68" i="37"/>
  <c r="M68" i="37"/>
  <c r="K68" i="37"/>
  <c r="X67" i="37"/>
  <c r="W67" i="37"/>
  <c r="V67" i="37"/>
  <c r="U67" i="37"/>
  <c r="T67" i="37"/>
  <c r="S67" i="37"/>
  <c r="Q67" i="37"/>
  <c r="O67" i="37"/>
  <c r="M67" i="37"/>
  <c r="K67" i="37"/>
  <c r="X66" i="37"/>
  <c r="W66" i="37"/>
  <c r="V66" i="37"/>
  <c r="U66" i="37"/>
  <c r="T66" i="37"/>
  <c r="S66" i="37"/>
  <c r="Q66" i="37"/>
  <c r="O66" i="37"/>
  <c r="M66" i="37"/>
  <c r="K66" i="37"/>
  <c r="X65" i="37"/>
  <c r="W65" i="37"/>
  <c r="V65" i="37"/>
  <c r="U65" i="37"/>
  <c r="T65" i="37"/>
  <c r="S65" i="37"/>
  <c r="Q65" i="37"/>
  <c r="O65" i="37"/>
  <c r="M65" i="37"/>
  <c r="K65" i="37"/>
  <c r="X64" i="37"/>
  <c r="W64" i="37"/>
  <c r="V64" i="37"/>
  <c r="U64" i="37"/>
  <c r="T64" i="37"/>
  <c r="S64" i="37"/>
  <c r="Q64" i="37"/>
  <c r="O64" i="37"/>
  <c r="M64" i="37"/>
  <c r="K64" i="37"/>
  <c r="X63" i="37"/>
  <c r="W63" i="37"/>
  <c r="V63" i="37"/>
  <c r="U63" i="37"/>
  <c r="T63" i="37"/>
  <c r="S63" i="37"/>
  <c r="Q63" i="37"/>
  <c r="O63" i="37"/>
  <c r="M63" i="37"/>
  <c r="K63" i="37"/>
  <c r="X62" i="37"/>
  <c r="W62" i="37"/>
  <c r="V62" i="37"/>
  <c r="U62" i="37"/>
  <c r="T62" i="37"/>
  <c r="S62" i="37"/>
  <c r="Q62" i="37"/>
  <c r="O62" i="37"/>
  <c r="M62" i="37"/>
  <c r="K62" i="37"/>
  <c r="X61" i="37"/>
  <c r="W61" i="37"/>
  <c r="V61" i="37"/>
  <c r="U61" i="37"/>
  <c r="T61" i="37"/>
  <c r="S61" i="37"/>
  <c r="Q61" i="37"/>
  <c r="O61" i="37"/>
  <c r="M61" i="37"/>
  <c r="K61" i="37"/>
  <c r="X60" i="37"/>
  <c r="W60" i="37"/>
  <c r="V60" i="37"/>
  <c r="U60" i="37"/>
  <c r="T60" i="37"/>
  <c r="S60" i="37"/>
  <c r="Q60" i="37"/>
  <c r="O60" i="37"/>
  <c r="M60" i="37"/>
  <c r="K60" i="37"/>
  <c r="X59" i="37"/>
  <c r="W59" i="37"/>
  <c r="V59" i="37"/>
  <c r="U59" i="37"/>
  <c r="T59" i="37"/>
  <c r="S59" i="37"/>
  <c r="Q59" i="37"/>
  <c r="O59" i="37"/>
  <c r="M59" i="37"/>
  <c r="K59" i="37"/>
  <c r="X58" i="37"/>
  <c r="W58" i="37"/>
  <c r="V58" i="37"/>
  <c r="U58" i="37"/>
  <c r="T58" i="37"/>
  <c r="S58" i="37"/>
  <c r="Q58" i="37"/>
  <c r="O58" i="37"/>
  <c r="M58" i="37"/>
  <c r="K58" i="37"/>
  <c r="X57" i="37"/>
  <c r="W57" i="37"/>
  <c r="V57" i="37"/>
  <c r="U57" i="37"/>
  <c r="T57" i="37"/>
  <c r="S57" i="37"/>
  <c r="Q57" i="37"/>
  <c r="O57" i="37"/>
  <c r="M57" i="37"/>
  <c r="K57" i="37"/>
  <c r="X56" i="37"/>
  <c r="W56" i="37"/>
  <c r="V56" i="37"/>
  <c r="U56" i="37"/>
  <c r="T56" i="37"/>
  <c r="S56" i="37"/>
  <c r="Q56" i="37"/>
  <c r="O56" i="37"/>
  <c r="M56" i="37"/>
  <c r="K56" i="37"/>
  <c r="X55" i="37"/>
  <c r="W55" i="37"/>
  <c r="V55" i="37"/>
  <c r="U55" i="37"/>
  <c r="T55" i="37"/>
  <c r="S55" i="37"/>
  <c r="Q55" i="37"/>
  <c r="O55" i="37"/>
  <c r="M55" i="37"/>
  <c r="K55" i="37"/>
  <c r="X54" i="37"/>
  <c r="W54" i="37"/>
  <c r="V54" i="37"/>
  <c r="U54" i="37"/>
  <c r="T54" i="37"/>
  <c r="S54" i="37"/>
  <c r="Q54" i="37"/>
  <c r="O54" i="37"/>
  <c r="M54" i="37"/>
  <c r="K54" i="37"/>
  <c r="X53" i="37"/>
  <c r="W53" i="37"/>
  <c r="V53" i="37"/>
  <c r="U53" i="37"/>
  <c r="T53" i="37"/>
  <c r="S53" i="37"/>
  <c r="Q53" i="37"/>
  <c r="O53" i="37"/>
  <c r="M53" i="37"/>
  <c r="K53" i="37"/>
  <c r="X52" i="37"/>
  <c r="W52" i="37"/>
  <c r="V52" i="37"/>
  <c r="U52" i="37"/>
  <c r="T52" i="37"/>
  <c r="S52" i="37"/>
  <c r="Q52" i="37"/>
  <c r="O52" i="37"/>
  <c r="M52" i="37"/>
  <c r="K52" i="37"/>
  <c r="X51" i="37"/>
  <c r="W51" i="37"/>
  <c r="V51" i="37"/>
  <c r="U51" i="37"/>
  <c r="T51" i="37"/>
  <c r="S51" i="37"/>
  <c r="Q51" i="37"/>
  <c r="O51" i="37"/>
  <c r="M51" i="37"/>
  <c r="K51" i="37"/>
  <c r="X50" i="37"/>
  <c r="W50" i="37"/>
  <c r="V50" i="37"/>
  <c r="U50" i="37"/>
  <c r="T50" i="37"/>
  <c r="S50" i="37"/>
  <c r="Q50" i="37"/>
  <c r="O50" i="37"/>
  <c r="M50" i="37"/>
  <c r="K50" i="37"/>
  <c r="X49" i="37"/>
  <c r="W49" i="37"/>
  <c r="V49" i="37"/>
  <c r="U49" i="37"/>
  <c r="T49" i="37"/>
  <c r="S49" i="37"/>
  <c r="Q49" i="37"/>
  <c r="O49" i="37"/>
  <c r="M49" i="37"/>
  <c r="K49" i="37"/>
  <c r="X48" i="37"/>
  <c r="W48" i="37"/>
  <c r="V48" i="37"/>
  <c r="U48" i="37"/>
  <c r="T48" i="37"/>
  <c r="S48" i="37"/>
  <c r="Q48" i="37"/>
  <c r="O48" i="37"/>
  <c r="M48" i="37"/>
  <c r="K48" i="37"/>
  <c r="X47" i="37"/>
  <c r="W47" i="37"/>
  <c r="V47" i="37"/>
  <c r="U47" i="37"/>
  <c r="T47" i="37"/>
  <c r="S47" i="37"/>
  <c r="Q47" i="37"/>
  <c r="O47" i="37"/>
  <c r="M47" i="37"/>
  <c r="K47" i="37"/>
  <c r="X46" i="37"/>
  <c r="W46" i="37"/>
  <c r="V46" i="37"/>
  <c r="U46" i="37"/>
  <c r="T46" i="37"/>
  <c r="S46" i="37"/>
  <c r="Q46" i="37"/>
  <c r="O46" i="37"/>
  <c r="M46" i="37"/>
  <c r="K46" i="37"/>
  <c r="X45" i="37"/>
  <c r="W45" i="37"/>
  <c r="V45" i="37"/>
  <c r="U45" i="37"/>
  <c r="T45" i="37"/>
  <c r="S45" i="37"/>
  <c r="Q45" i="37"/>
  <c r="O45" i="37"/>
  <c r="M45" i="37"/>
  <c r="K45" i="37"/>
  <c r="X44" i="37"/>
  <c r="W44" i="37"/>
  <c r="V44" i="37"/>
  <c r="U44" i="37"/>
  <c r="T44" i="37"/>
  <c r="S44" i="37"/>
  <c r="Q44" i="37"/>
  <c r="O44" i="37"/>
  <c r="M44" i="37"/>
  <c r="K44" i="37"/>
  <c r="X43" i="37"/>
  <c r="W43" i="37"/>
  <c r="V43" i="37"/>
  <c r="U43" i="37"/>
  <c r="T43" i="37"/>
  <c r="S43" i="37"/>
  <c r="Q43" i="37"/>
  <c r="O43" i="37"/>
  <c r="M43" i="37"/>
  <c r="K43" i="37"/>
  <c r="X42" i="37"/>
  <c r="W42" i="37"/>
  <c r="V42" i="37"/>
  <c r="U42" i="37"/>
  <c r="T42" i="37"/>
  <c r="S42" i="37"/>
  <c r="Q42" i="37"/>
  <c r="O42" i="37"/>
  <c r="M42" i="37"/>
  <c r="K42" i="37"/>
  <c r="X41" i="37"/>
  <c r="W41" i="37"/>
  <c r="V41" i="37"/>
  <c r="U41" i="37"/>
  <c r="T41" i="37"/>
  <c r="S41" i="37"/>
  <c r="Q41" i="37"/>
  <c r="O41" i="37"/>
  <c r="M41" i="37"/>
  <c r="K41" i="37"/>
  <c r="X40" i="37"/>
  <c r="W40" i="37"/>
  <c r="V40" i="37"/>
  <c r="U40" i="37"/>
  <c r="T40" i="37"/>
  <c r="S40" i="37"/>
  <c r="Q40" i="37"/>
  <c r="O40" i="37"/>
  <c r="M40" i="37"/>
  <c r="K40" i="37"/>
  <c r="X39" i="37"/>
  <c r="W39" i="37"/>
  <c r="V39" i="37"/>
  <c r="U39" i="37"/>
  <c r="T39" i="37"/>
  <c r="S39" i="37"/>
  <c r="Q39" i="37"/>
  <c r="O39" i="37"/>
  <c r="M39" i="37"/>
  <c r="K39" i="37"/>
  <c r="X38" i="37"/>
  <c r="W38" i="37"/>
  <c r="V38" i="37"/>
  <c r="U38" i="37"/>
  <c r="T38" i="37"/>
  <c r="S38" i="37"/>
  <c r="Q38" i="37"/>
  <c r="O38" i="37"/>
  <c r="M38" i="37"/>
  <c r="K38" i="37"/>
  <c r="X37" i="37"/>
  <c r="W37" i="37"/>
  <c r="V37" i="37"/>
  <c r="U37" i="37"/>
  <c r="T37" i="37"/>
  <c r="S37" i="37"/>
  <c r="Q37" i="37"/>
  <c r="O37" i="37"/>
  <c r="M37" i="37"/>
  <c r="K37" i="37"/>
  <c r="X36" i="37"/>
  <c r="W36" i="37"/>
  <c r="V36" i="37"/>
  <c r="U36" i="37"/>
  <c r="T36" i="37"/>
  <c r="S36" i="37"/>
  <c r="Q36" i="37"/>
  <c r="O36" i="37"/>
  <c r="M36" i="37"/>
  <c r="K36" i="37"/>
  <c r="X35" i="37"/>
  <c r="W35" i="37"/>
  <c r="V35" i="37"/>
  <c r="U35" i="37"/>
  <c r="T35" i="37"/>
  <c r="S35" i="37"/>
  <c r="Q35" i="37"/>
  <c r="O35" i="37"/>
  <c r="M35" i="37"/>
  <c r="K35" i="37"/>
  <c r="X34" i="37"/>
  <c r="W34" i="37"/>
  <c r="V34" i="37"/>
  <c r="U34" i="37"/>
  <c r="T34" i="37"/>
  <c r="S34" i="37"/>
  <c r="Q34" i="37"/>
  <c r="O34" i="37"/>
  <c r="M34" i="37"/>
  <c r="K34" i="37"/>
  <c r="X33" i="37"/>
  <c r="W33" i="37"/>
  <c r="V33" i="37"/>
  <c r="U33" i="37"/>
  <c r="T33" i="37"/>
  <c r="S33" i="37"/>
  <c r="Q33" i="37"/>
  <c r="O33" i="37"/>
  <c r="M33" i="37"/>
  <c r="K33" i="37"/>
  <c r="X32" i="37"/>
  <c r="W32" i="37"/>
  <c r="V32" i="37"/>
  <c r="U32" i="37"/>
  <c r="T32" i="37"/>
  <c r="S32" i="37"/>
  <c r="Q32" i="37"/>
  <c r="O32" i="37"/>
  <c r="M32" i="37"/>
  <c r="K32" i="37"/>
  <c r="X31" i="37"/>
  <c r="W31" i="37"/>
  <c r="V31" i="37"/>
  <c r="U31" i="37"/>
  <c r="T31" i="37"/>
  <c r="S31" i="37"/>
  <c r="Q31" i="37"/>
  <c r="O31" i="37"/>
  <c r="M31" i="37"/>
  <c r="K31" i="37"/>
  <c r="X30" i="37"/>
  <c r="W30" i="37"/>
  <c r="V30" i="37"/>
  <c r="U30" i="37"/>
  <c r="T30" i="37"/>
  <c r="S30" i="37"/>
  <c r="Q30" i="37"/>
  <c r="O30" i="37"/>
  <c r="M30" i="37"/>
  <c r="K30" i="37"/>
  <c r="X29" i="37"/>
  <c r="W29" i="37"/>
  <c r="V29" i="37"/>
  <c r="U29" i="37"/>
  <c r="T29" i="37"/>
  <c r="S29" i="37"/>
  <c r="Q29" i="37"/>
  <c r="O29" i="37"/>
  <c r="M29" i="37"/>
  <c r="K29" i="37"/>
  <c r="X28" i="37"/>
  <c r="W28" i="37"/>
  <c r="V28" i="37"/>
  <c r="U28" i="37"/>
  <c r="T28" i="37"/>
  <c r="S28" i="37"/>
  <c r="Q28" i="37"/>
  <c r="O28" i="37"/>
  <c r="M28" i="37"/>
  <c r="K28" i="37"/>
  <c r="X27" i="37"/>
  <c r="W27" i="37"/>
  <c r="V27" i="37"/>
  <c r="U27" i="37"/>
  <c r="T27" i="37"/>
  <c r="S27" i="37"/>
  <c r="Q27" i="37"/>
  <c r="O27" i="37"/>
  <c r="M27" i="37"/>
  <c r="K27" i="37"/>
  <c r="X26" i="37"/>
  <c r="W26" i="37"/>
  <c r="V26" i="37"/>
  <c r="U26" i="37"/>
  <c r="T26" i="37"/>
  <c r="S26" i="37"/>
  <c r="Q26" i="37"/>
  <c r="O26" i="37"/>
  <c r="M26" i="37"/>
  <c r="K26" i="37"/>
  <c r="X25" i="37"/>
  <c r="W25" i="37"/>
  <c r="V25" i="37"/>
  <c r="U25" i="37"/>
  <c r="T25" i="37"/>
  <c r="S25" i="37"/>
  <c r="Q25" i="37"/>
  <c r="O25" i="37"/>
  <c r="M25" i="37"/>
  <c r="K25" i="37"/>
  <c r="X24" i="37"/>
  <c r="W24" i="37"/>
  <c r="V24" i="37"/>
  <c r="U24" i="37"/>
  <c r="T24" i="37"/>
  <c r="S24" i="37"/>
  <c r="Q24" i="37"/>
  <c r="O24" i="37"/>
  <c r="M24" i="37"/>
  <c r="K24" i="37"/>
  <c r="X23" i="37"/>
  <c r="W23" i="37"/>
  <c r="V23" i="37"/>
  <c r="U23" i="37"/>
  <c r="T23" i="37"/>
  <c r="S23" i="37"/>
  <c r="Q23" i="37"/>
  <c r="O23" i="37"/>
  <c r="M23" i="37"/>
  <c r="K23" i="37"/>
  <c r="X22" i="37"/>
  <c r="W22" i="37"/>
  <c r="V22" i="37"/>
  <c r="U22" i="37"/>
  <c r="T22" i="37"/>
  <c r="S22" i="37"/>
  <c r="Q22" i="37"/>
  <c r="O22" i="37"/>
  <c r="M22" i="37"/>
  <c r="K22" i="37"/>
  <c r="X21" i="37"/>
  <c r="W21" i="37"/>
  <c r="V21" i="37"/>
  <c r="U21" i="37"/>
  <c r="T21" i="37"/>
  <c r="S21" i="37"/>
  <c r="Q21" i="37"/>
  <c r="O21" i="37"/>
  <c r="M21" i="37"/>
  <c r="K21" i="37"/>
  <c r="X20" i="37"/>
  <c r="W20" i="37"/>
  <c r="V20" i="37"/>
  <c r="U20" i="37"/>
  <c r="T20" i="37"/>
  <c r="S20" i="37"/>
  <c r="Q20" i="37"/>
  <c r="O20" i="37"/>
  <c r="M20" i="37"/>
  <c r="K20" i="37"/>
  <c r="X19" i="37"/>
  <c r="W19" i="37"/>
  <c r="V19" i="37"/>
  <c r="U19" i="37"/>
  <c r="T19" i="37"/>
  <c r="S19" i="37"/>
  <c r="Q19" i="37"/>
  <c r="O19" i="37"/>
  <c r="M19" i="37"/>
  <c r="K19" i="37"/>
  <c r="X18" i="37"/>
  <c r="W18" i="37"/>
  <c r="V18" i="37"/>
  <c r="U18" i="37"/>
  <c r="T18" i="37"/>
  <c r="S18" i="37"/>
  <c r="Q18" i="37"/>
  <c r="O18" i="37"/>
  <c r="M18" i="37"/>
  <c r="K18" i="37"/>
  <c r="X17" i="37"/>
  <c r="W17" i="37"/>
  <c r="V17" i="37"/>
  <c r="U17" i="37"/>
  <c r="T17" i="37"/>
  <c r="S17" i="37"/>
  <c r="Q17" i="37"/>
  <c r="O17" i="37"/>
  <c r="M17" i="37"/>
  <c r="K17" i="37"/>
  <c r="X16" i="37"/>
  <c r="W16" i="37"/>
  <c r="V16" i="37"/>
  <c r="U16" i="37"/>
  <c r="T16" i="37"/>
  <c r="S16" i="37"/>
  <c r="Q16" i="37"/>
  <c r="O16" i="37"/>
  <c r="M16" i="37"/>
  <c r="K16" i="37"/>
  <c r="X15" i="37"/>
  <c r="W15" i="37"/>
  <c r="V15" i="37"/>
  <c r="U15" i="37"/>
  <c r="T15" i="37"/>
  <c r="S15" i="37"/>
  <c r="Q15" i="37"/>
  <c r="O15" i="37"/>
  <c r="M15" i="37"/>
  <c r="K15" i="37"/>
  <c r="X14" i="37"/>
  <c r="W14" i="37"/>
  <c r="V14" i="37"/>
  <c r="U14" i="37"/>
  <c r="T14" i="37"/>
  <c r="S14" i="37"/>
  <c r="Q14" i="37"/>
  <c r="O14" i="37"/>
  <c r="M14" i="37"/>
  <c r="K14" i="37"/>
  <c r="X13" i="37"/>
  <c r="W13" i="37"/>
  <c r="V13" i="37"/>
  <c r="U13" i="37"/>
  <c r="T13" i="37"/>
  <c r="S13" i="37"/>
  <c r="Q13" i="37"/>
  <c r="O13" i="37"/>
  <c r="M13" i="37"/>
  <c r="K13" i="37"/>
  <c r="X12" i="37"/>
  <c r="W12" i="37"/>
  <c r="V12" i="37"/>
  <c r="U12" i="37"/>
  <c r="T12" i="37"/>
  <c r="S12" i="37"/>
  <c r="Q12" i="37"/>
  <c r="O12" i="37"/>
  <c r="M12" i="37"/>
  <c r="K12" i="37"/>
  <c r="X11" i="37"/>
  <c r="W11" i="37"/>
  <c r="V11" i="37"/>
  <c r="U11" i="37"/>
  <c r="T11" i="37"/>
  <c r="S11" i="37"/>
  <c r="Q11" i="37"/>
  <c r="O11" i="37"/>
  <c r="M11" i="37"/>
  <c r="K11" i="37"/>
  <c r="X10" i="37"/>
  <c r="W10" i="37"/>
  <c r="V10" i="37"/>
  <c r="U10" i="37"/>
  <c r="T10" i="37"/>
  <c r="S10" i="37"/>
  <c r="Q10" i="37"/>
  <c r="O10" i="37"/>
  <c r="M10" i="37"/>
  <c r="K10" i="37"/>
  <c r="X9" i="37"/>
  <c r="W9" i="37"/>
  <c r="V9" i="37"/>
  <c r="U9" i="37"/>
  <c r="T9" i="37"/>
  <c r="S9" i="37"/>
  <c r="Q9" i="37"/>
  <c r="O9" i="37"/>
  <c r="M9" i="37"/>
  <c r="K9" i="37"/>
  <c r="X8" i="37"/>
  <c r="W8" i="37"/>
  <c r="V8" i="37"/>
  <c r="U8" i="37"/>
  <c r="T8" i="37"/>
  <c r="S8" i="37"/>
  <c r="Q8" i="37"/>
  <c r="O8" i="37"/>
  <c r="M8" i="37"/>
  <c r="K8" i="37"/>
  <c r="X7" i="37"/>
  <c r="W7" i="37"/>
  <c r="V7" i="37"/>
  <c r="U7" i="37"/>
  <c r="T7" i="37"/>
  <c r="S7" i="37"/>
  <c r="Q7" i="37"/>
  <c r="O7" i="37"/>
  <c r="M7" i="37"/>
  <c r="K7" i="37"/>
</calcChain>
</file>

<file path=xl/sharedStrings.xml><?xml version="1.0" encoding="utf-8"?>
<sst xmlns="http://schemas.openxmlformats.org/spreadsheetml/2006/main" count="12645" uniqueCount="1144">
  <si>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</si>
  <si>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　T　F　相　場　表</t>
    <rPh sb="6" eb="7">
      <t>ソウ</t>
    </rPh>
    <rPh sb="8" eb="9">
      <t>バ</t>
    </rPh>
    <rPh sb="10" eb="11">
      <t>ヒョウ</t>
    </rPh>
    <phoneticPr fontId="3"/>
  </si>
  <si>
    <t>Exchange-Traded Fund Quotations</t>
    <phoneticPr fontId="3"/>
  </si>
  <si>
    <t>年月</t>
    <phoneticPr fontId="8"/>
  </si>
  <si>
    <t>銘柄コード</t>
    <rPh sb="0" eb="2">
      <t>メイガラ</t>
    </rPh>
    <phoneticPr fontId="3"/>
  </si>
  <si>
    <t>日付</t>
    <rPh sb="0" eb="2">
      <t>ヒヅケ</t>
    </rPh>
    <phoneticPr fontId="3"/>
  </si>
  <si>
    <t>区分</t>
    <phoneticPr fontId="8"/>
  </si>
  <si>
    <t>信用・貸借</t>
    <rPh sb="0" eb="2">
      <t>シンヨウ</t>
    </rPh>
    <rPh sb="3" eb="5">
      <t>タイシャク</t>
    </rPh>
    <phoneticPr fontId="3"/>
  </si>
  <si>
    <t>売買単位</t>
    <rPh sb="0" eb="2">
      <t>バイバイ</t>
    </rPh>
    <rPh sb="2" eb="4">
      <t>タンイ</t>
    </rPh>
    <phoneticPr fontId="3"/>
  </si>
  <si>
    <t>始値</t>
    <rPh sb="0" eb="2">
      <t>ハジメネ</t>
    </rPh>
    <phoneticPr fontId="3"/>
  </si>
  <si>
    <t>高値</t>
    <rPh sb="0" eb="1">
      <t>タカ</t>
    </rPh>
    <rPh sb="1" eb="2">
      <t>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</si>
  <si>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</si>
  <si>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</si>
  <si>
    <t>終値平均</t>
    <rPh sb="0" eb="2">
      <t>オワリネ</t>
    </rPh>
    <rPh sb="2" eb="4">
      <t>ヘイキン</t>
    </rPh>
    <phoneticPr fontId="3"/>
  </si>
  <si>
    <t>売買高</t>
    <rPh sb="0" eb="3">
      <t>バイバイダカ</t>
    </rPh>
    <phoneticPr fontId="3"/>
  </si>
  <si>
    <t>うちToSTNeT売買高</t>
  </si>
  <si>
    <t>売買代金</t>
    <rPh sb="0" eb="2">
      <t>バイバイ</t>
    </rPh>
    <rPh sb="2" eb="4">
      <t>ダイキン</t>
    </rPh>
    <phoneticPr fontId="3"/>
  </si>
  <si>
    <t>うちToSTNeT売買代金</t>
  </si>
  <si>
    <t>値付日数</t>
    <rPh sb="0" eb="2">
      <t>ネツ</t>
    </rPh>
    <rPh sb="2" eb="4">
      <t>ニッスウ</t>
    </rPh>
    <phoneticPr fontId="3"/>
  </si>
  <si>
    <t>Year/Month</t>
    <phoneticPr fontId="8"/>
  </si>
  <si>
    <t>Code</t>
    <phoneticPr fontId="8"/>
  </si>
  <si>
    <t>銘柄名称</t>
    <phoneticPr fontId="8"/>
  </si>
  <si>
    <t>Issues</t>
  </si>
  <si>
    <t>銘柄属性</t>
    <rPh sb="0" eb="2">
      <t>メイガラ</t>
    </rPh>
    <rPh sb="2" eb="4">
      <t>ゾクセイ</t>
    </rPh>
    <phoneticPr fontId="8"/>
  </si>
  <si>
    <t>Attribute</t>
    <phoneticPr fontId="8"/>
  </si>
  <si>
    <t>Date</t>
    <phoneticPr fontId="3"/>
  </si>
  <si>
    <t>Sector</t>
    <phoneticPr fontId="8"/>
  </si>
  <si>
    <t>margin/loan</t>
    <phoneticPr fontId="8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</si>
  <si>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</si>
  <si>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</si>
  <si>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</si>
  <si>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</si>
  <si>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</si>
  <si>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</si>
  <si>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</si>
  <si>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</si>
  <si>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</si>
  <si>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</si>
  <si>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Days Traded</t>
    <phoneticPr fontId="3"/>
  </si>
  <si>
    <t>口(units）</t>
    <phoneticPr fontId="8"/>
  </si>
  <si>
    <t>円(￥)</t>
    <phoneticPr fontId="8"/>
  </si>
  <si>
    <t>口(units）</t>
  </si>
  <si>
    <t>1305</t>
  </si>
  <si>
    <t/>
  </si>
  <si>
    <t>貸借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</si>
  <si>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</si>
  <si>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</si>
  <si>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</si>
  <si>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</si>
  <si>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</si>
  <si>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</si>
  <si>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</si>
  <si>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</si>
  <si>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</si>
  <si>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1311</t>
  </si>
  <si>
    <t>ＮＥＸＴ　ＦＵＮＤＳ　ＴＯＰＩＸ　Ｃｏｒｅ　３０連動型上場投信　受益証券</t>
  </si>
  <si>
    <t>NEXT FUNDS TOPIX Core 30 Exchange Traded Fund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</si>
  <si>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</si>
  <si>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</si>
  <si>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</si>
  <si>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</si>
  <si>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</si>
  <si>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</si>
  <si>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</si>
  <si>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</si>
  <si>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</si>
  <si>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</si>
  <si>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1324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</si>
  <si>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</si>
  <si>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</si>
  <si>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</si>
  <si>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</si>
  <si>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</si>
  <si>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</si>
  <si>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</si>
  <si>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</si>
  <si>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</si>
  <si>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</si>
  <si>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</si>
  <si>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</si>
  <si>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</si>
  <si>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</si>
  <si>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</si>
  <si>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</si>
  <si>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NEXT FUNDS REIT INDEX ETF</t>
  </si>
  <si>
    <t>1345</t>
  </si>
  <si>
    <t>上場インデックスファンドＪリート（東証ＲＥＩＴ指数）隔月分配型　受益証券</t>
  </si>
  <si>
    <t>1346</t>
  </si>
  <si>
    <t>ＭＡＸＩＳ　日経２２５上場投信　受益証券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</si>
  <si>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</si>
  <si>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</si>
  <si>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</si>
  <si>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</si>
  <si>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</si>
  <si>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</si>
  <si>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</si>
  <si>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</si>
  <si>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</si>
  <si>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</si>
  <si>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</si>
  <si>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</si>
  <si>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</si>
  <si>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</si>
  <si>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</si>
  <si>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</si>
  <si>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</si>
  <si>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</si>
  <si>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</si>
  <si>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</si>
  <si>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</si>
  <si>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1366</t>
  </si>
  <si>
    <t>1367</t>
  </si>
  <si>
    <t>1368</t>
  </si>
  <si>
    <t>1369</t>
  </si>
  <si>
    <t>Ｏｎｅ　ＥＴＦ　日経２２５　受益証券</t>
  </si>
  <si>
    <t>One ETF Nikkei225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</si>
  <si>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</si>
  <si>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</si>
  <si>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</si>
  <si>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</si>
  <si>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</si>
  <si>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</si>
  <si>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</si>
  <si>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</si>
  <si>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</si>
  <si>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</si>
  <si>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1457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</si>
  <si>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</si>
  <si>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</si>
  <si>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</si>
  <si>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</si>
  <si>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</si>
  <si>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</si>
  <si>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</si>
  <si>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1465</t>
  </si>
  <si>
    <t>1466</t>
  </si>
  <si>
    <t>1469</t>
  </si>
  <si>
    <t>ＪＰＸ日経４００ベア２倍上場投信（ダブルインバース）　受益証券</t>
  </si>
  <si>
    <t>JPX-Nikkei 400 Bear -2x Double Inverse ETF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</si>
  <si>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</si>
  <si>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</si>
  <si>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</si>
  <si>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</si>
  <si>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</si>
  <si>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</si>
  <si>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</si>
  <si>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</si>
  <si>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</si>
  <si>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</si>
  <si>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</si>
  <si>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</si>
  <si>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</si>
  <si>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</si>
  <si>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</si>
  <si>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</si>
  <si>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</si>
  <si>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</si>
  <si>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</si>
  <si>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</si>
  <si>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</si>
  <si>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</si>
  <si>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</si>
  <si>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</si>
  <si>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</si>
  <si>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</si>
  <si>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</si>
  <si>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</si>
  <si>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</si>
  <si>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</si>
  <si>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</si>
  <si>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</si>
  <si>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</si>
  <si>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</si>
  <si>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</si>
  <si>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</si>
  <si>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</si>
  <si>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</si>
  <si>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</si>
  <si>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</si>
  <si>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</si>
  <si>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</si>
  <si>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</si>
  <si>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</si>
  <si>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</si>
  <si>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</si>
  <si>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</si>
  <si>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</si>
  <si>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</si>
  <si>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</si>
  <si>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</si>
  <si>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</si>
  <si>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</si>
  <si>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</si>
  <si>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</si>
  <si>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</si>
  <si>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</si>
  <si>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</si>
  <si>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</si>
  <si>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</si>
  <si>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</si>
  <si>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</si>
  <si>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</si>
  <si>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</si>
  <si>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</si>
  <si>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</si>
  <si>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</si>
  <si>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</si>
  <si>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</si>
  <si>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</si>
  <si>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</si>
  <si>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</si>
  <si>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</si>
  <si>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</si>
  <si>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</si>
  <si>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</si>
  <si>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</si>
  <si>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</si>
  <si>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</si>
  <si>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</si>
  <si>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</si>
  <si>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</si>
  <si>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</si>
  <si>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</si>
  <si>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</si>
  <si>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</si>
  <si>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</si>
  <si>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</si>
  <si>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</si>
  <si>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</si>
  <si>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1546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</si>
  <si>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</si>
  <si>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</si>
  <si>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</si>
  <si>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</si>
  <si>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</si>
  <si>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</si>
  <si>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</si>
  <si>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1552</t>
  </si>
  <si>
    <t>国際のＥＴＦ　ＶＩＸ短期先物指数　受益証券</t>
  </si>
  <si>
    <t>KOKUSAI S&amp;P500 VIX SHORT-TERM FUTURES INDEX ETF</t>
  </si>
  <si>
    <t>確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</si>
  <si>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</si>
  <si>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</si>
  <si>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</si>
  <si>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</si>
  <si>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</si>
  <si>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</si>
  <si>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</si>
  <si>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</si>
  <si>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</si>
  <si>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</si>
  <si>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</si>
  <si>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</si>
  <si>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</si>
  <si>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</si>
  <si>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</si>
  <si>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</si>
  <si>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</si>
  <si>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</si>
  <si>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</si>
  <si>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</si>
  <si>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</si>
  <si>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</si>
  <si>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</si>
  <si>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</si>
  <si>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</si>
  <si>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</si>
  <si>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</si>
  <si>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</si>
  <si>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</si>
  <si>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</si>
  <si>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</si>
  <si>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</si>
  <si>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</si>
  <si>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</si>
  <si>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</si>
  <si>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</si>
  <si>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1577</t>
  </si>
  <si>
    <t>ＮＥＸＴ　ＦＵＮＤＳ　野村日本株高配当７０連動型上場投信　受益証券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</si>
  <si>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</si>
  <si>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</si>
  <si>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</si>
  <si>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</si>
  <si>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</si>
  <si>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</si>
  <si>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</si>
  <si>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</si>
  <si>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</si>
  <si>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1585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</si>
  <si>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</si>
  <si>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</si>
  <si>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</si>
  <si>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</si>
  <si>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</si>
  <si>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</si>
  <si>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</si>
  <si>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</si>
  <si>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</si>
  <si>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</si>
  <si>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</si>
  <si>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</si>
  <si>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</si>
  <si>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</si>
  <si>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</si>
  <si>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</si>
  <si>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</si>
  <si>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</si>
  <si>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</si>
  <si>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</si>
  <si>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</si>
  <si>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</si>
  <si>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</si>
  <si>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</si>
  <si>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</si>
  <si>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</si>
  <si>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</si>
  <si>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</si>
  <si>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</si>
  <si>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</si>
  <si>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</si>
  <si>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</si>
  <si>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</si>
  <si>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</si>
  <si>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</si>
  <si>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</si>
  <si>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</si>
  <si>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</si>
  <si>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</si>
  <si>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</si>
  <si>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</si>
  <si>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</si>
  <si>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</si>
  <si>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</si>
  <si>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</si>
  <si>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</si>
  <si>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</si>
  <si>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</si>
  <si>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</si>
  <si>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</si>
  <si>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</si>
  <si>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</si>
  <si>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</si>
  <si>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</si>
  <si>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</si>
  <si>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</si>
  <si>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</si>
  <si>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</si>
  <si>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</si>
  <si>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</si>
  <si>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</si>
  <si>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</si>
  <si>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</si>
  <si>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</si>
  <si>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</si>
  <si>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</si>
  <si>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</si>
  <si>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</si>
  <si>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</si>
  <si>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</si>
  <si>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</si>
  <si>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</si>
  <si>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</si>
  <si>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</si>
  <si>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</si>
  <si>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</si>
  <si>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</si>
  <si>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1652</t>
  </si>
  <si>
    <t>1653</t>
  </si>
  <si>
    <t>1654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</si>
  <si>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</si>
  <si>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</si>
  <si>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</si>
  <si>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</si>
  <si>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</si>
  <si>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</si>
  <si>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</si>
  <si>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</si>
  <si>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</si>
  <si>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</si>
  <si>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</si>
  <si>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</si>
  <si>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</si>
  <si>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</si>
  <si>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</si>
  <si>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</si>
  <si>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</si>
  <si>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</si>
  <si>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</si>
  <si>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</si>
  <si>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</si>
  <si>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</si>
  <si>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</si>
  <si>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</si>
  <si>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</si>
  <si>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</si>
  <si>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</si>
  <si>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</si>
  <si>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</si>
  <si>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</si>
  <si>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</si>
  <si>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</si>
  <si>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</si>
  <si>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</si>
  <si>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</si>
  <si>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</si>
  <si>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</si>
  <si>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</si>
  <si>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</si>
  <si>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NEXT FUNDS Nifty 50 Linked Exchange Traded Fund</t>
  </si>
  <si>
    <t>1679</t>
  </si>
  <si>
    <t>Simple-X NY Dow Jones Index ETF</t>
  </si>
  <si>
    <t>1680</t>
  </si>
  <si>
    <t>上場インデックスファンド海外先進国株式（ＭＳＣＩ－ＫＯＫＵＳＡＩ）　受益証券</t>
  </si>
  <si>
    <t>1681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</si>
  <si>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</si>
  <si>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</si>
  <si>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</si>
  <si>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</si>
  <si>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</si>
  <si>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</si>
  <si>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</si>
  <si>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</si>
  <si>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</si>
  <si>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</si>
  <si>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</si>
  <si>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</si>
  <si>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</si>
  <si>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</si>
  <si>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</si>
  <si>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</si>
  <si>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</si>
  <si>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</si>
  <si>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</si>
  <si>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</si>
  <si>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</si>
  <si>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</si>
  <si>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</si>
  <si>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</si>
  <si>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</si>
  <si>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</si>
  <si>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</si>
  <si>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</si>
  <si>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</si>
  <si>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</si>
  <si>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</si>
  <si>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</si>
  <si>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</si>
  <si>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</si>
  <si>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</si>
  <si>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</si>
  <si>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</si>
  <si>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</si>
  <si>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</si>
  <si>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</si>
  <si>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</si>
  <si>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</si>
  <si>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</si>
  <si>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</si>
  <si>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</si>
  <si>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</si>
  <si>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</si>
  <si>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1699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</si>
  <si>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</si>
  <si>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</si>
  <si>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</si>
  <si>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</si>
  <si>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</si>
  <si>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</si>
  <si>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</si>
  <si>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</si>
  <si>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</si>
  <si>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</si>
  <si>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</si>
  <si>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</si>
  <si>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</si>
  <si>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</si>
  <si>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</si>
  <si>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</si>
  <si>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</si>
  <si>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</si>
  <si>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</si>
  <si>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</si>
  <si>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</si>
  <si>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</si>
  <si>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</si>
  <si>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</si>
  <si>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</si>
  <si>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</si>
  <si>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</si>
  <si>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</si>
  <si>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</si>
  <si>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</si>
  <si>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</si>
  <si>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</si>
  <si>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</si>
  <si>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</si>
  <si>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</si>
  <si>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</si>
  <si>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</si>
  <si>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</si>
  <si>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</si>
  <si>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</si>
  <si>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</si>
  <si>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</si>
  <si>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</si>
  <si>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</si>
  <si>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</si>
  <si>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</si>
  <si>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</si>
  <si>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</si>
  <si>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</si>
  <si>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</si>
  <si>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</si>
  <si>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</si>
  <si>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</si>
  <si>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</si>
  <si>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</si>
  <si>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</si>
  <si>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</si>
  <si>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</si>
  <si>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</si>
  <si>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</si>
  <si>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</si>
  <si>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</si>
  <si>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</si>
  <si>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</si>
  <si>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</si>
  <si>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</si>
  <si>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</si>
  <si>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</si>
  <si>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</si>
  <si>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</si>
  <si>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</si>
  <si>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</si>
  <si>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</si>
  <si>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</si>
  <si>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</si>
  <si>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</si>
  <si>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</si>
  <si>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</si>
  <si>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</si>
  <si>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</si>
  <si>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</si>
  <si>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</si>
  <si>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</si>
  <si>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</si>
  <si>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</si>
  <si>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</si>
  <si>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</si>
  <si>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</si>
  <si>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</si>
  <si>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</si>
  <si>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</si>
  <si>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</si>
  <si>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</si>
  <si>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</si>
  <si>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</si>
  <si>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</si>
  <si>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</si>
  <si>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</si>
  <si>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</si>
  <si>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</si>
  <si>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</si>
  <si>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</si>
  <si>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</si>
  <si>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</si>
  <si>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</si>
  <si>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</si>
  <si>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</si>
  <si>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</si>
  <si>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</si>
  <si>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</si>
  <si>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</si>
  <si>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</si>
  <si>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</si>
  <si>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</si>
  <si>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</si>
  <si>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</si>
  <si>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</si>
  <si>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</si>
  <si>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</si>
  <si>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</si>
  <si>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</si>
  <si>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</si>
  <si>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</si>
  <si>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</si>
  <si>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</si>
  <si>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</si>
  <si>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</si>
  <si>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</si>
  <si>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</si>
  <si>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</si>
  <si>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</si>
  <si>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</si>
  <si>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</si>
  <si>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</si>
  <si>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</si>
  <si>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</si>
  <si>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</si>
  <si>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</si>
  <si>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</si>
  <si>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</si>
  <si>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</si>
  <si>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</si>
  <si>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</si>
  <si>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</si>
  <si>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</si>
  <si>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</si>
  <si>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</si>
  <si>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</si>
  <si>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</si>
  <si>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</si>
  <si>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</si>
  <si>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</si>
  <si>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</si>
  <si>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</si>
  <si>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</si>
  <si>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</si>
  <si>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</si>
  <si>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</si>
  <si>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</si>
  <si>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</si>
  <si>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</si>
  <si>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</si>
  <si>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</si>
  <si>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</si>
  <si>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</si>
  <si>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</si>
  <si>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</si>
  <si>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</si>
  <si>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</si>
  <si>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</si>
  <si>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</si>
  <si>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</si>
  <si>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</si>
  <si>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</si>
  <si>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</si>
  <si>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</si>
  <si>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</si>
  <si>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</si>
  <si>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</si>
  <si>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</si>
  <si>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</si>
  <si>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</si>
  <si>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</si>
  <si>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</si>
  <si>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</si>
  <si>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</si>
  <si>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</si>
  <si>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</si>
  <si>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</si>
  <si>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</si>
  <si>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</si>
  <si>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</si>
  <si>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</si>
  <si>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</si>
  <si>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</si>
  <si>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</si>
  <si>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</si>
  <si>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</si>
  <si>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</si>
  <si>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</si>
  <si>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</si>
  <si>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</si>
  <si>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2625</t>
  </si>
  <si>
    <t>ｉＦｒｅｅＥＴＦ　ＴＯＰＩＸ（年４回決算型）　受益証券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</si>
  <si>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</si>
  <si>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</si>
  <si>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</si>
  <si>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</si>
  <si>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</si>
  <si>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</si>
  <si>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 xml:space="preserve">新規上場  </t>
  </si>
  <si>
    <t xml:space="preserve">New Listing  </t>
  </si>
  <si>
    <t>5</t>
  </si>
  <si>
    <t>4</t>
  </si>
  <si>
    <t>26</t>
  </si>
  <si>
    <t>12</t>
  </si>
  <si>
    <t>18</t>
  </si>
  <si>
    <t>25</t>
  </si>
  <si>
    <t>19</t>
  </si>
  <si>
    <t>31</t>
  </si>
  <si>
    <t>17</t>
  </si>
  <si>
    <t>24</t>
  </si>
  <si>
    <t>11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</si>
  <si>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</si>
  <si>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</si>
  <si>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</si>
  <si>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</si>
  <si>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</si>
  <si>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</si>
  <si>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</si>
  <si>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</si>
  <si>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</si>
  <si>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</si>
  <si>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</si>
  <si>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</si>
  <si>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</si>
  <si>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</si>
  <si>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</si>
  <si>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</si>
  <si>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</si>
  <si>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</si>
  <si>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</si>
  <si>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</si>
  <si>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</si>
  <si>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</si>
  <si>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</si>
  <si>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</si>
  <si>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</si>
  <si>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</si>
  <si>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</si>
  <si>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</si>
  <si>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</si>
  <si>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</si>
  <si>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</si>
  <si>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</si>
  <si>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</si>
  <si>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</si>
  <si>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</si>
  <si>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</si>
  <si>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</si>
  <si>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</si>
  <si>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</si>
  <si>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</si>
  <si>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</si>
  <si>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</si>
  <si>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</si>
  <si>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</si>
  <si>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</si>
  <si>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</si>
  <si>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</si>
  <si>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</si>
  <si>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</si>
  <si>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</si>
  <si>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</si>
  <si>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</si>
  <si>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</si>
  <si>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</si>
  <si>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</si>
  <si>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</si>
  <si>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</si>
  <si>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</si>
  <si>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</si>
  <si>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</si>
  <si>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</si>
  <si>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</si>
  <si>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</si>
  <si>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</si>
  <si>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>2836</t>
  </si>
  <si>
    <t>グローバルＸ　フィンテック－日本株式　ＥＴＦ　受益証券</t>
  </si>
  <si>
    <t>Global X Japan Fintech ETF</t>
  </si>
  <si>
    <t>2837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</si>
  <si>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</si>
  <si>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</si>
  <si>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</si>
  <si>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</si>
  <si>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</si>
  <si>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</si>
  <si>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10</t>
  </si>
  <si>
    <t>16</t>
  </si>
  <si>
    <t>整</t>
  </si>
  <si>
    <t>2840</t>
  </si>
  <si>
    <t>ｉＦｒｅｅＥＴＦ　ＮＡＳＤＡＱ１００（為替ヘッジなし）　受益証券</t>
  </si>
  <si>
    <t>iFreeETF NASDAQ100 (NON HEDGED)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</si>
  <si>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</si>
  <si>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</si>
  <si>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</si>
  <si>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</si>
  <si>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</si>
  <si>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</si>
  <si>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</si>
  <si>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</si>
  <si>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</si>
  <si>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>2844</t>
  </si>
  <si>
    <t>上場インデックスファンド豪州国債（為替ヘッジなし）　受益証券</t>
  </si>
  <si>
    <t>Listed Index Fund Australian Government Bond (No Currency Hedge)</t>
  </si>
  <si>
    <t>30</t>
  </si>
  <si>
    <t>23</t>
  </si>
  <si>
    <t>ＮＥＸＴ　ＦＵＮＤＳ　ＮＡＳＤＡＱ－１００（為替ヘッジなし）連動型上場投信　受益証券</t>
  </si>
  <si>
    <t>NEXT FUNDS NASDAQ-100(R) (Unhedged) Exchange Traded Fund</t>
  </si>
  <si>
    <t>ＮＥＸＴ　ＦＵＮＤＳ　ダウ・ジョーンズ工業株３０種平均株価（為替ヘッジなし）連動型上場投信　受益証券</t>
  </si>
  <si>
    <t>NEXT FUNDS DJIA (Unhedged) Exchange Traded Fund</t>
  </si>
  <si>
    <t>2073</t>
  </si>
  <si>
    <t>スマートＥＳＧ３０低カーボンリスク（ネットリターン）ＥＴＮ　受益証券</t>
  </si>
  <si>
    <t>Smart ESG 30 Low Carbon Risk Net Return ETN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</si>
  <si>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</si>
  <si>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</si>
  <si>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</si>
  <si>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</si>
  <si>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</si>
  <si>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</si>
  <si>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</si>
  <si>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</si>
  <si>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</si>
  <si>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</si>
  <si>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</si>
  <si>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</si>
  <si>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</si>
  <si>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</si>
  <si>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</si>
  <si>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</si>
  <si>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</si>
  <si>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</si>
  <si>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>2852</t>
  </si>
  <si>
    <t>ｉシェアーズ　グリーンＪリート　ＥＴＦ　受益証券</t>
  </si>
  <si>
    <t>iShares Japan Green REIT ETF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</si>
  <si>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</si>
  <si>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</si>
  <si>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</si>
  <si>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ＮＥＸＴ　ＦＵＮＤＳ　ロシア株式指数連動型上場投信　受益証券</t>
  </si>
  <si>
    <t>NEXT FUNDS Russian Equity Index Exchange Traded Fund</t>
  </si>
  <si>
    <t>2851</t>
  </si>
  <si>
    <t>ｉシェアーズ　ＭＳＣＩ　ジャパンＳＲＩ　ＥＴＦ　受益証券</t>
  </si>
  <si>
    <t>iShares MSCI Japan SRI ETF</t>
  </si>
  <si>
    <t>2854</t>
  </si>
  <si>
    <t>グローバルＸ　テック・トップ２０－日本株式　ＥＴＦ　受益証券</t>
  </si>
  <si>
    <t>Global X Japan Tech Top 20 ETF</t>
  </si>
  <si>
    <t>2855</t>
  </si>
  <si>
    <t>グローバルＸ　グリーン・Ｊ－ＲＥＩＴ　ＥＴＦ　受益証券</t>
  </si>
  <si>
    <t>Global X Green J-REIT ETF</t>
  </si>
  <si>
    <t>2856</t>
  </si>
  <si>
    <t>ｉシェアーズ　米国債３－７年　ＥＴＦ（為替ヘッジあり）　受益証券</t>
  </si>
  <si>
    <t>iShares 3-7 Year US Treasury Bond JPY Hedged ETF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</si>
  <si>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</si>
  <si>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</si>
  <si>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</si>
  <si>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</si>
  <si>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</si>
  <si>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</si>
  <si>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>2861</t>
  </si>
  <si>
    <t>上場インデックスファンドフランス国債（為替ヘッジなし）　受益証券</t>
  </si>
  <si>
    <t>Listed Index Fund France Government Bond (No Currency Hedge)</t>
  </si>
  <si>
    <t>2862</t>
  </si>
  <si>
    <t>上場インデックスファンドフランス国債（為替ヘッジあり）　受益証券</t>
  </si>
  <si>
    <t>Listed Index Fund France Government Bond (Currency Hedge)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</si>
  <si>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</si>
  <si>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</si>
  <si>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</si>
  <si>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</si>
  <si>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</si>
  <si>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</si>
  <si>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</si>
  <si>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</si>
  <si>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</si>
  <si>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>2864</t>
  </si>
  <si>
    <t>グローバルＸ　ロジスティクス・ＲＥＩＴ　ＥＴＦ　受益証券</t>
  </si>
  <si>
    <t>Global X Logistics REIT ETF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</si>
  <si>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</si>
  <si>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</si>
  <si>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</si>
  <si>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</si>
  <si>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</si>
  <si>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</si>
  <si>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東証スタンダードＴＯＰ２０ＥＴＦ　受益証券</t>
  </si>
  <si>
    <t>TSE Standard Top 20 ETF</t>
  </si>
  <si>
    <t>東証グロース・コアＥＴＦ　受益証券</t>
  </si>
  <si>
    <t>TSE Growth Core ETF</t>
  </si>
  <si>
    <t>2867</t>
  </si>
  <si>
    <t>グローバルＸ　自動運転＆ＥＶ　ＥＴＦ　受益証券</t>
  </si>
  <si>
    <t>Global X Autonomous &amp; EV ETF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</si>
  <si>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</si>
  <si>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</si>
  <si>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</si>
  <si>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</si>
  <si>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</si>
  <si>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2870</t>
  </si>
  <si>
    <t>ｉＦｒｅｅＥＴＦ　ＮＡＳＤＡＱ１００ダブルインバース　受益証券</t>
  </si>
  <si>
    <t>2235</t>
  </si>
  <si>
    <t>上場インデックスファンド米国株式（ダウ平均）為替ヘッジなし　受益証券</t>
  </si>
  <si>
    <t>Listed Index Fund US Equity (Dow Average) No Currency Hedge</t>
  </si>
  <si>
    <t>2236</t>
  </si>
  <si>
    <t>グローバルＸ　Ｓ＆Ｐ５００配当貴族ＥＴＦ　受益証券</t>
  </si>
  <si>
    <t>Global X S&amp;P 500 Dividend Aristocrats ETF</t>
  </si>
  <si>
    <t>22</t>
  </si>
  <si>
    <t>15</t>
  </si>
  <si>
    <t>9</t>
  </si>
  <si>
    <t>2237</t>
  </si>
  <si>
    <t>ｉＦｒｅｅＥＴＦ　Ｓ＆Ｐ５００レバレッジ　受益証券</t>
  </si>
  <si>
    <t>iFreeETF S&amp;P500 Leveraged (2x)</t>
  </si>
  <si>
    <t>2238</t>
  </si>
  <si>
    <t>ｉＦｒｅｅＥＴＦ　Ｓ＆Ｐ５００インバース　受益証券</t>
  </si>
  <si>
    <t>iFreeETF S&amp;P500 Inverse</t>
  </si>
  <si>
    <t>29</t>
  </si>
  <si>
    <t>2239</t>
  </si>
  <si>
    <t>上場インデックスファンドＳ＆Ｐ５００先物レバレッジ２倍　受益証券</t>
  </si>
  <si>
    <t>Listed Index Fund S&amp;P500 Futures Leveraged Two Times</t>
  </si>
  <si>
    <t>2240</t>
  </si>
  <si>
    <t>上場インデックスファンドＳ＆Ｐ５００先物インバース　受益証券</t>
  </si>
  <si>
    <t>Listed Index Fund S&amp;P500 Futures Inverse</t>
  </si>
  <si>
    <t>2241</t>
  </si>
  <si>
    <t>ＭＡＸＩＳ　ＮＹダウ上場投信　受益証券</t>
  </si>
  <si>
    <t>MAXIS NY Dow Industrial Average ETF</t>
  </si>
  <si>
    <t>2242</t>
  </si>
  <si>
    <t>ＭＡＸＩＳ　ＮＹダウ上場投信（為替ヘッジあり）　受益証券</t>
  </si>
  <si>
    <t>MAXIS NY Dow Industrial Average ETF (JPY Hedged)</t>
  </si>
  <si>
    <t>ｉＦｒｅｅＥＴＦ　ＴＯＰＩＸ（年１回決算型）　受益証券</t>
  </si>
  <si>
    <t>iFreeETF TOPIX (Yearly Dividend Type)</t>
  </si>
  <si>
    <t>ｉＦｒｅｅＥＴＦ　日経２２５（年１回決算型）　受益証券</t>
  </si>
  <si>
    <t>iFreeETF Nikkei225 (Yearly Dividend Type)</t>
  </si>
  <si>
    <t>ｉＦｒｅｅＥＴＦ　日経平均レバレッジ・インデックス　受益証券</t>
  </si>
  <si>
    <t>iFreeETF Nikkei225 Leveraged Index</t>
  </si>
  <si>
    <t>ｉＦｒｅｅＥＴＦ　日経平均ダブルインバース・インデックス　受益証券</t>
  </si>
  <si>
    <t>iFreeETF Nikkei225 Double Inverse Index</t>
  </si>
  <si>
    <t>ｉＦｒｅｅＥＴＦ　ＴＯＰＩＸレバレッジ（２倍）指数　受益証券</t>
  </si>
  <si>
    <t>iFreeETF TOPIX Leveraged (2x) Index</t>
  </si>
  <si>
    <t>ｉＦｒｅｅＥＴＦ　ＴＯＰＩＸダブルインバース（－２倍）指数　受益証券</t>
  </si>
  <si>
    <t>iFreeETF TOPIX Double Inverse (-2x) Index</t>
  </si>
  <si>
    <t>ｉＦｒｅｅＥＴＦ　日経平均インバース・インデックス　受益証券</t>
  </si>
  <si>
    <t>iFreeETF Nikkei225 Inverse Index</t>
  </si>
  <si>
    <t>ｉＦｒｅｅＥＴＦ　ＴＯＰＩＸインバース（－１倍）指数　受益証券</t>
  </si>
  <si>
    <t>iFreeETF TOPIX Inverse (-1x) Index</t>
  </si>
  <si>
    <t>ｉＦｒｅｅＥＴＦ　ＪＰＸ日経４００レバレッジ・インデックス　受益証券</t>
  </si>
  <si>
    <t>iFreeETF JPX-Nikkei400 Leveraged (2x) Index</t>
  </si>
  <si>
    <t>ｉＦｒｅｅＥＴＦ　ＪＰＸ日経４００インバース・インデックス　受益証券</t>
  </si>
  <si>
    <t>iFreeETF JPX-Nikkei400 Inverse (-1x) Index</t>
  </si>
  <si>
    <t>ｉＦｒｅｅＥＴＦ　ＪＰＸ日経４００ダブルインバース・インデックス　受益証券</t>
  </si>
  <si>
    <t>iFreeETF JPX-Nikkei400 Double Inverse (-2x) Index</t>
  </si>
  <si>
    <t>ｉＦｒｅｅＥＴＦ　ＭＳＣＩ日本株人材設備投資指数　受益証券</t>
  </si>
  <si>
    <t>iFreeETF MSCI Japan Human and Physical Investment Index</t>
  </si>
  <si>
    <t>ｉＦｒｅｅＥＴＦ　東証ＲＥＩＴ指数　受益証券</t>
  </si>
  <si>
    <t>iFreeETF Tokyo Stock Exchange REIT Index</t>
  </si>
  <si>
    <t>ｉＦｒｅｅＥＴＦ　ＴＯＰＩＸ　Ｅｘ－Ｆｉｎａｎｃｉａｌｓ　受益証券</t>
  </si>
  <si>
    <t>iFreeETF TOPIX Ex-Financials</t>
  </si>
  <si>
    <t>ｉＦｒｅｅＥＴＦ　ＪＰＸ日経４００　受益証券</t>
  </si>
  <si>
    <t>iFreeETF JPX-Nikkei400</t>
  </si>
  <si>
    <t>ｉＦｒｅｅＥＴＦ　ＴＯＰＩＸ高配当４０指数　受益証券</t>
  </si>
  <si>
    <t>iFreeETF TOPIX High Dividend Yield 40 Index</t>
  </si>
  <si>
    <t>ｉＦｒｅｅＥＴＦ　ＭＳＣＩ日本株女性活躍指数（ＷＩＮ）　受益証券</t>
  </si>
  <si>
    <t>iFreeETF MSCI Japan Empowering Women Index (WIN)</t>
  </si>
  <si>
    <t>ｉＦｒｅｅＥＴＦ　ＭＳＣＩジャパンＥＳＧセレクト・リーダーズ指数　受益証券</t>
  </si>
  <si>
    <t>iFreeETF MSCI Japan ESG Select Leaders Index</t>
  </si>
  <si>
    <t>ｉＦｒｅｅＥＴＦ　ＦＴＳＥ　Ｂｌｏｓｓｏｍ　Ｊａｐａｎ　Ｉｎｄｅｘ　受益証券</t>
  </si>
  <si>
    <t>iFreeETF FTSE Blossom Japan Index</t>
  </si>
  <si>
    <t>2243</t>
  </si>
  <si>
    <t>グローバルＸ　半導体　ＥＴＦ　受益証券</t>
  </si>
  <si>
    <t>Global X Semiconductor ETF</t>
  </si>
  <si>
    <t>2244</t>
  </si>
  <si>
    <t>グローバルＸ　ＵＳ　テック・トップ２０　ＥＴＦ　受益証券</t>
  </si>
  <si>
    <t>Global X US Tech Top 20 ETF</t>
  </si>
  <si>
    <t>2245</t>
  </si>
  <si>
    <t>ＮＥＸＴ　ＦＵＮＤＳ　ブルームバーグ・ドイツ国債（７－１０年）インデックス（為替ヘッジあり）連動型上場投信　受益証券</t>
  </si>
  <si>
    <t>NEXT FUNDS Bloomberg Germany Treasury Bond (7-10 year) Index (Yen-Hedged) Exchange Traded Fund</t>
  </si>
  <si>
    <t>2246</t>
  </si>
  <si>
    <t>ＮＥＸＴ　ＦＵＮＤＳ　ブルームバーグ・フランス国債（７－１０年）インデックス（為替ヘッジあり）連動型上場投信　受益証券</t>
  </si>
  <si>
    <t>NEXT FUNDS Bloomberg France Treasury Bond (7-10 year) Index (Yen-Hedged) Exchange Traded Fund</t>
  </si>
  <si>
    <t>ｉＦｒｅｅＥＴＦ　東証ＲＥＩＴ　Ｃｏｒｅ指数　受益証券</t>
  </si>
  <si>
    <t>iFreeETF Tokyo Stock Exchange REIT Core Index</t>
  </si>
  <si>
    <t>iFreeETF Nikkei225 (Quarterly Dividend Type)</t>
  </si>
  <si>
    <t>iFreeETF TOPIX (Quarterly Dividend Type)</t>
  </si>
  <si>
    <t>iFreeETF NASDAQ100 Leveraged (2x)</t>
  </si>
  <si>
    <t>iFreeETF NASDAQ100 Double Inverse (-2x)</t>
  </si>
  <si>
    <t>2247</t>
  </si>
  <si>
    <t>ｉＦｒｅｅＥＴＦ　Ｓ＆Ｐ５００（為替ヘッジなし）　受益証券</t>
  </si>
  <si>
    <t>iFreeETF S&amp;P500 (NON HEDGED)</t>
  </si>
  <si>
    <t>2248</t>
  </si>
  <si>
    <t>ｉＦｒｅｅＥＴＦ　Ｓ＆Ｐ５００（為替ヘッジあり）　受益証券</t>
  </si>
  <si>
    <t>iFreeETF S&amp;P500 (JPY HEDGED)</t>
  </si>
  <si>
    <t>2249</t>
  </si>
  <si>
    <t>ｉＦｒｅｅＥＴＦ　Ｓ＆Ｐ５００ダブルインバース　受益証券</t>
  </si>
  <si>
    <t>iFreeETF S&amp;P500 Double Inverse (-2x)</t>
  </si>
  <si>
    <t>2250</t>
  </si>
  <si>
    <t>ｉシェアーズ　ＭＳＣＩ　ジャパン気候変動アクション　ＥＴＦ　受益証券</t>
  </si>
  <si>
    <t>iShares MSCI Japan Climate Action ETF</t>
  </si>
  <si>
    <t>2251</t>
  </si>
  <si>
    <t>ＮＥＸＴ　ＦＵＮＤＳ　ＪＰＸ国債先物ダブルインバース指数連動型上場投信　受益証券</t>
  </si>
  <si>
    <t>NEXT FUNDS JPX JGB Futures Double Inverse Index Exchange Traded Fund</t>
  </si>
  <si>
    <t>ＮＥＸＴ　ＦＵＮＤＳ　東証ＲＥＩＴ　指数連動型上場投信　受益証券</t>
  </si>
  <si>
    <t>Listed Index Fund J-REIT (Tokyo Stock Exchange REIT Index)Bi-Monthly Dividend Payment Type</t>
  </si>
  <si>
    <t>MAXIS NIKKEI 225 ETF</t>
  </si>
  <si>
    <t>NEXT FUNDS Nikkei 225 Double Inverse Index Exchange Traded Fund</t>
  </si>
  <si>
    <t>上場インデックスファンド豪州リート（Ｓ＆Ｐ／ＡＳＸ２００　Ａ－ＲＥＩＴ）　受益証券</t>
  </si>
  <si>
    <t>NEXT FUNDS Nomura Japan Equity High Dividend 70 Exchange Traded Fund</t>
  </si>
  <si>
    <t>ｉシェアーズ・コア　ＭＳＣＩ　先進国株（除く日本）ＥＴＦ　受益証券</t>
  </si>
  <si>
    <t>ＮＥＸＴ　ＦＵＮＤＳ　インド株式指数・Ｎｉｆｔｙ　５０　連動型上場投信　受益証券</t>
  </si>
  <si>
    <t>Ｓｉｍｐｌｅ－Ｘ　ＮＹ　ダウ・ジョーンズ・インデックス上場投信　受益証券</t>
  </si>
  <si>
    <t>Listed Index Fund International Developed Countries Equity (MSCI-KOKUSAI)</t>
  </si>
  <si>
    <t>上場インデックスファンド海外新興国株式（ＭＳＣＩ　エマージング）　受益証券</t>
  </si>
  <si>
    <t>Listed Index Fund International Emerging Countries Equity (MSCI EMERGING)</t>
  </si>
  <si>
    <t>Listed Index Fund Japan High Dividend (TSE Dividend Focus 100)</t>
  </si>
  <si>
    <t>ＮＥＸＴ　ＦＵＮＤＳ　ＮＯＭＵＲＡ　原油インデックス連動型上場投信　受益証券</t>
  </si>
  <si>
    <t>NEXT FUNDS NOMURA Crude Oil Long Index Linked Exchange Traded Fund</t>
  </si>
  <si>
    <t>2252</t>
  </si>
  <si>
    <t>グローバルＸ　Ｍｏｒｎｉｎｇｓｔａｒ　米国中小型　Ｍｏａｔ　ＥＴＦ　受益証券</t>
  </si>
  <si>
    <t>Global X Morningstar US Small Mid Moat ETF</t>
  </si>
  <si>
    <t>2253</t>
  </si>
  <si>
    <t>グローバルＸ　スーパーディビィデンド－ＵＳ　ＥＴＦ　受益証券</t>
  </si>
  <si>
    <t>Global X SuperDividend U.S. ETF</t>
  </si>
  <si>
    <t>2254</t>
  </si>
  <si>
    <t>グローバルＸ　チャイナＥＶ＆バッテリー　ＥＴＦ　受益証券</t>
  </si>
  <si>
    <t>Global X China Electric Vehicle and Battery ETF</t>
  </si>
  <si>
    <t>2080</t>
  </si>
  <si>
    <t>ＰＢＲ１倍割れ解消推進ＥＴＦ　受益証券</t>
  </si>
  <si>
    <t>PBR Improvement over 1x ETF</t>
  </si>
  <si>
    <t>2081</t>
  </si>
  <si>
    <t>政策保有解消推進ＥＴＦ　受益証券</t>
  </si>
  <si>
    <t>Strategic Shareholding Disposal Promotion ETF</t>
  </si>
  <si>
    <t>2082</t>
  </si>
  <si>
    <t>投資家経営者一心同体ＥＴＦ　受益証券</t>
  </si>
  <si>
    <t>Investor-Management Unite as One ETF</t>
  </si>
  <si>
    <t>2083</t>
  </si>
  <si>
    <t>ＮＥＸＴ　ＦＵＮＤＳ　日本成長株アクティブ上場投信　受益証券</t>
  </si>
  <si>
    <t>NEXT FUNDS Japan Growth Equity Active Exchange Traded Fund</t>
  </si>
  <si>
    <t>2084</t>
  </si>
  <si>
    <t>ＮＥＸＴ　ＦＵＮＤＳ　日本高配当株アクティブ上場投信　受益証券</t>
  </si>
  <si>
    <t>NEXT FUNDS Japan High Dividend Equity Active Exchange Traded Fund</t>
  </si>
  <si>
    <t>2085</t>
  </si>
  <si>
    <t>ＭＡＸＩＳ高配当日本株アクティブ上場投信　受益証券</t>
  </si>
  <si>
    <t>MAXIS High Dividend Japan Equity Actively Managed ETF</t>
  </si>
  <si>
    <t>2086</t>
  </si>
  <si>
    <t>ＮＺＡＭ　上場投信　Ｓ＆Ｐ５００（為替ヘッジあり）　受益証券</t>
  </si>
  <si>
    <t>NZAM ETF S&amp;P500 (JPY Hedged)</t>
  </si>
  <si>
    <t>2087</t>
  </si>
  <si>
    <t>ＮＺＡＭ　上場投信　ＮＡＳＤＡＱ１００（為替ヘッジあり）　受益証券</t>
  </si>
  <si>
    <t>NZAM ETF NASDAQ100 (JPY Hedged)</t>
  </si>
  <si>
    <t>2088</t>
  </si>
  <si>
    <t>ＮＺＡＭ　上場投信　ＮＹダウ３０（為替ヘッジあり）　受益証券</t>
  </si>
  <si>
    <t>NZAM ETF NY Dow30 (JPY Hedged)</t>
  </si>
  <si>
    <t>2089</t>
  </si>
  <si>
    <t>ＮＺＡＭ　上場投信　ＤＡＸ（為替ヘッジあり）　受益証券</t>
  </si>
  <si>
    <t>NZAM ETF DAX (JPY Hedged)</t>
  </si>
  <si>
    <t>2090</t>
  </si>
  <si>
    <t>ＮＺＡＭ　上場投信　米国国債７－１０年（為替ヘッジあり）　受益証券</t>
  </si>
  <si>
    <t>NZAM ETF US Treasury 7-10Y (JPY Hedged)</t>
  </si>
  <si>
    <t>2091</t>
  </si>
  <si>
    <t>ＮＺＡＭ　上場投信　ドイツ国債７－１０年（為替ヘッジあり）　受益証券</t>
  </si>
  <si>
    <t>NZAM ETF German Government Bond 7-10Y (JPY Hedged)</t>
  </si>
  <si>
    <t>2092</t>
  </si>
  <si>
    <t>ＮＺＡＭ　上場投信　フランス国債７－１０年（為替ヘッジあり）　受益証券</t>
  </si>
  <si>
    <t>NZAM ETF France Government Bond 7-10Y (JPY Hedged)</t>
  </si>
  <si>
    <t>Global X Japan Mid &amp; Small Cap Leaders ETF</t>
  </si>
  <si>
    <t>グローバルＸ　中小型リーダーズ－日本株式　ＥＴＦ　受益証券</t>
  </si>
  <si>
    <t>Global X Japan Global Leaders ETF</t>
  </si>
  <si>
    <t>グローバルＸ　グローバルリーダーズ－日本株式　ＥＴＦ　受益証券</t>
  </si>
  <si>
    <t>Global X CleanTech Japan ETF</t>
  </si>
  <si>
    <t>グローバルＸ　クリーンテック－日本株式　ＥＴＦ　受益証券</t>
  </si>
  <si>
    <t>Global X Hotel &amp; Retail J-REIT ETF</t>
  </si>
  <si>
    <t>グローバルＸ　ホテル＆リテール・Ｊ－ＲＥＩＴ　ＥＴＦ　受益証券</t>
  </si>
  <si>
    <t>2098</t>
  </si>
  <si>
    <t>Global X Residential J-REIT ETF</t>
  </si>
  <si>
    <t>グローバルＸ　レジデンシャル・Ｊ－ＲＥＩＴ　ＥＴＦ　受益証券</t>
  </si>
  <si>
    <t>2097</t>
  </si>
  <si>
    <t>Global X Office J-REIT ETF</t>
  </si>
  <si>
    <t>グローバルＸ　オフィス・Ｊ－ＲＥＩＴ　ＥＴＦ　受益証券</t>
  </si>
  <si>
    <t>2096</t>
  </si>
  <si>
    <t>Global X S&amp;P 500 Dividend Aristocrats ETF (JPY Hedged)</t>
  </si>
  <si>
    <t>グローバルＸ　Ｓ＆Ｐ５００配当貴族　ＥＴＦ（為替ヘッジあり）　受益証券</t>
  </si>
  <si>
    <t>2095</t>
  </si>
  <si>
    <t>TSE REIT Inverse ETF</t>
  </si>
  <si>
    <t>東証ＲＥＩＴインバースＥＴＦ　受益証券</t>
  </si>
  <si>
    <t>2094</t>
  </si>
  <si>
    <t>Listed Tracers US Government Bond 0-2years Ladder (No Currency Hedge)</t>
  </si>
  <si>
    <t>上場Ｔｒａｃｅｒｓ　米国債０－２年ラダー（為替ヘッジなし）　受益証券</t>
  </si>
  <si>
    <t>2093</t>
  </si>
  <si>
    <t>2011</t>
  </si>
  <si>
    <t>ＳＭＤＡＭ　Ａｃｔｉｖｅ　ＥＴＦ　日本高配当株式　受益証券</t>
  </si>
  <si>
    <t>SMDAM Active ETF Japan High Dividend Equity</t>
  </si>
  <si>
    <t>ＮＥＸＴ　ＮＯＴＥＳ　東証グロース市場２５０　ＥＴＮ　受益証券</t>
  </si>
  <si>
    <t>NEXT NOTES Tokyo Stock Exchange Growth Market 250 Index ETN</t>
  </si>
  <si>
    <t>2255</t>
  </si>
  <si>
    <t>ｉシェアーズ　米国債２０年超　ＥＴＦ　受益証券</t>
  </si>
  <si>
    <t>iShares 20+ Year US Treasury Bond ETF</t>
  </si>
  <si>
    <t>2256</t>
  </si>
  <si>
    <t>ｉシェアーズ　米国総合債券　ＥＴＦ　受益証券</t>
  </si>
  <si>
    <t>iShares US Aggregate Bond ETF</t>
  </si>
  <si>
    <t>2257</t>
  </si>
  <si>
    <t>ｉシェアーズ　米ドル建て投資適格社債　ＥＴＦ　受益証券</t>
  </si>
  <si>
    <t>iShares USD Investment Grade Corporate Bond ETF</t>
  </si>
  <si>
    <t>2258</t>
  </si>
  <si>
    <t>ｉシェアーズ　米ドル建てハイイールド社債　ＥＴＦ　受益証券</t>
  </si>
  <si>
    <t>iShares USD High Yield Corporate Bond ETF</t>
  </si>
  <si>
    <t>2259</t>
  </si>
  <si>
    <t>ｉシェアーズ　フランス国債７－１０年　ＥＴＦ（為替ヘッジあり）　受益証券</t>
  </si>
  <si>
    <t>iShares 7-10 Year France Government Bond JPY Hedged ETF</t>
  </si>
  <si>
    <t>東証グロース２５０ＥＴＦ　受益証券</t>
  </si>
  <si>
    <t>TSE Growth 250 ETF</t>
  </si>
  <si>
    <t xml:space="preserve">新株落ち  </t>
  </si>
  <si>
    <t xml:space="preserve">ex-subscription right  </t>
  </si>
  <si>
    <t>2024/01</t>
  </si>
  <si>
    <t>133A</t>
  </si>
  <si>
    <t>グローバルＸ　超短期米国債　ＥＴＦ　受益証券</t>
  </si>
  <si>
    <t>Global X Ultra Short-Term T-Bill ETF</t>
  </si>
  <si>
    <t xml:space="preserve">2024/01/31  </t>
  </si>
  <si>
    <t>2012</t>
  </si>
  <si>
    <t>ｉシェアーズ　米国債０－３ヶ月　ＥＴＦ　受益証券</t>
  </si>
  <si>
    <t>iShares 0-3 Month US Treasury Bond ETF</t>
  </si>
  <si>
    <t xml:space="preserve">2024/01/18  </t>
  </si>
  <si>
    <t>2013</t>
  </si>
  <si>
    <t>ｉシェアーズ　米国高配当株　ＥＴＦ　受益証券</t>
  </si>
  <si>
    <t>iShares US High Dividend ETF</t>
  </si>
  <si>
    <t>2014</t>
  </si>
  <si>
    <t>ｉシェアーズ　米国連続増配株　ＥＴＦ　受益証券</t>
  </si>
  <si>
    <t>iShares US Dividend Growth ETF</t>
  </si>
  <si>
    <t>2015</t>
  </si>
  <si>
    <t>ｉＦｒｅｅＥＴＦ　米国国債７－１０年（為替ヘッジなし）　受益証券</t>
  </si>
  <si>
    <t>iFreeETF US Treasury Bond 7-10 Year (NON HEDGED)</t>
  </si>
  <si>
    <t>2016</t>
  </si>
  <si>
    <t>ｉＦｒｅｅＥＴＦ　米国国債７－１０年（為替ヘッジあり）　受益証券</t>
  </si>
  <si>
    <t>iFreeETF US Treasury Bond 7-10 Year (JPY HEDGED)</t>
  </si>
  <si>
    <t>2017</t>
  </si>
  <si>
    <t>ｉＦｒｅｅＥＴＦ　ＪＰＸプライム１５０　受益証券</t>
  </si>
  <si>
    <t>iFreeETF JPX Prime 150</t>
  </si>
  <si>
    <t xml:space="preserve">2024/01/24  </t>
  </si>
  <si>
    <t>2018</t>
  </si>
  <si>
    <t>グローバルＸ　ＵＳ　ＲＥＩＴ・トップ２０　ＥＴＦ　受益証券</t>
  </si>
  <si>
    <t>Global X US REIT Top 20 ETF</t>
  </si>
  <si>
    <t>2019</t>
  </si>
  <si>
    <t>グローバルＸ　米国優先証券　ＥＴＦ（隔月分配型）　受益証券</t>
  </si>
  <si>
    <t>Global X U.S. Preferred Security ETF (Bi-monthly dividend type)</t>
  </si>
  <si>
    <t>2024/02</t>
  </si>
  <si>
    <t>1</t>
  </si>
  <si>
    <t>27</t>
  </si>
  <si>
    <t>21</t>
  </si>
  <si>
    <t>8</t>
  </si>
  <si>
    <t>28</t>
  </si>
  <si>
    <t>7</t>
  </si>
  <si>
    <t>2</t>
  </si>
  <si>
    <t>14</t>
  </si>
  <si>
    <t>20</t>
  </si>
  <si>
    <t>140A</t>
  </si>
  <si>
    <t>ｉＦｒｅｅＥＴＦ　米国１０年国債先物インバース　受益証券</t>
  </si>
  <si>
    <t>iFreeETF 10-Year U.S. Treasury Note Futures Inverse</t>
  </si>
  <si>
    <t xml:space="preserve">2024/02/28  </t>
  </si>
  <si>
    <t>13</t>
  </si>
  <si>
    <t>6</t>
  </si>
  <si>
    <t xml:space="preserve">上場廃止  </t>
  </si>
  <si>
    <t xml:space="preserve">Removal  </t>
  </si>
  <si>
    <t xml:space="preserve">2024/02/12  </t>
  </si>
  <si>
    <t>2024/03</t>
  </si>
  <si>
    <t xml:space="preserve">2024/03/25  </t>
  </si>
  <si>
    <t>SMT ETF Japan Equity Income Strategy Active</t>
  </si>
  <si>
    <t>ＳＭＴ　ＥＴＦ日本好配当株アクティブ　受益証券</t>
  </si>
  <si>
    <t>170A</t>
  </si>
  <si>
    <t xml:space="preserve">2024/03/22  </t>
  </si>
  <si>
    <t>Semiconductor Focus Japan Equity Net Return ETN</t>
  </si>
  <si>
    <t>半導体フォーカス　日本株（ネットリターン）ＥＴＮ　受益証券</t>
  </si>
  <si>
    <t>163A</t>
  </si>
  <si>
    <t>AI Select Megatrend Japan Equity Net Return ETN</t>
  </si>
  <si>
    <t>ＡＩセレクトメガトレンド　日本株（ネットリターン）ＥＴＮ　受益証券</t>
  </si>
  <si>
    <t>162A</t>
  </si>
  <si>
    <t xml:space="preserve">2024/03/18  </t>
  </si>
  <si>
    <t>NEXT FUNDS JPX Prime 150 Index Exchange Traded Fund</t>
  </si>
  <si>
    <t>ＮＥＸＴ　ＦＵＮＤＳ　ＪＰＸプライム１５０指数連動型上場投信　受益証券</t>
  </si>
  <si>
    <t>159A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</si>
</sst>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4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/>
    </xf>
    <xf numFmtId="49" fontId="11" fillId="0" borderId="20" xfId="2" applyNumberFormat="1" applyFont="1" applyBorder="1" applyAlignment="1">
      <alignment horizontal="right"/>
    </xf>
    <xf numFmtId="49" fontId="11" fillId="0" borderId="19" xfId="2" applyNumberFormat="1" applyFont="1" applyBorder="1" applyAlignment="1">
      <alignment horizontal="right"/>
    </xf>
    <xf numFmtId="49" fontId="7" fillId="0" borderId="21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3" xfId="1" applyNumberFormat="1" applyFont="1" applyBorder="1" applyAlignment="1">
      <alignment horizontal="left" vertical="center"/>
    </xf>
    <xf numFmtId="49" fontId="7" fillId="0" borderId="24" xfId="1" applyNumberFormat="1" applyFont="1" applyBorder="1" applyAlignment="1">
      <alignment horizontal="left" vertical="center"/>
    </xf>
    <xf numFmtId="49" fontId="7" fillId="0" borderId="21" xfId="2" applyNumberFormat="1" applyFont="1" applyBorder="1" applyAlignment="1">
      <alignment horizontal="left"/>
    </xf>
    <xf numFmtId="3" fontId="7" fillId="0" borderId="21" xfId="2" applyNumberFormat="1" applyFont="1" applyBorder="1" applyAlignment="1">
      <alignment horizontal="right"/>
    </xf>
    <xf numFmtId="4" fontId="7" fillId="0" borderId="25" xfId="2" applyNumberFormat="1" applyFont="1" applyBorder="1" applyAlignment="1">
      <alignment horizontal="right"/>
    </xf>
    <xf numFmtId="49" fontId="7" fillId="0" borderId="24" xfId="2" applyNumberFormat="1" applyFont="1" applyBorder="1" applyAlignment="1">
      <alignment horizontal="right"/>
    </xf>
    <xf numFmtId="4" fontId="7" fillId="0" borderId="21" xfId="2" applyNumberFormat="1" applyFont="1" applyBorder="1" applyAlignment="1">
      <alignment horizontal="right"/>
    </xf>
    <xf numFmtId="176" fontId="7" fillId="0" borderId="21" xfId="2" applyNumberFormat="1" applyFont="1" applyBorder="1" applyAlignment="1">
      <alignment horizontal="right"/>
    </xf>
    <xf numFmtId="0" fontId="7" fillId="0" borderId="0" xfId="1" applyFont="1">
      <alignment vertical="center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3">
    <cellStyle name="標準" xfId="0" builtinId="0"/>
    <cellStyle name="標準 10 3" xfId="2" xr:uid="{52A9C9D1-04B4-4DEE-97C9-9E5BC12EDF58}"/>
    <cellStyle name="標準 132" xfId="1" xr:uid="{4B2E7684-C327-4DE2-8DB8-B03F9E102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F41F-5CBF-4D67-B697-E43951333EE5}">
  <sheetPr>
    <pageSetUpPr fitToPage="1"/>
  </sheetPr>
  <dimension ref="A1:X355"/>
  <sheetViews>
    <sheetView showGridLines="0" tabSelected="1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1128</v>
      </c>
      <c r="B7" s="25" t="s">
        <v>42</v>
      </c>
      <c r="C7" s="25" t="s">
        <v>896</v>
      </c>
      <c r="D7" s="25" t="s">
        <v>897</v>
      </c>
      <c r="E7" s="26" t="s">
        <v>43</v>
      </c>
      <c r="F7" s="27" t="s">
        <v>43</v>
      </c>
      <c r="G7" s="28" t="s">
        <v>43</v>
      </c>
      <c r="H7" s="29"/>
      <c r="I7" s="29" t="s">
        <v>44</v>
      </c>
      <c r="J7" s="30">
        <v>10</v>
      </c>
      <c r="K7" s="31">
        <f>2832</f>
        <v>2832</v>
      </c>
      <c r="L7" s="32" t="s">
        <v>1110</v>
      </c>
      <c r="M7" s="31">
        <f>2983</f>
        <v>2983</v>
      </c>
      <c r="N7" s="32" t="s">
        <v>874</v>
      </c>
      <c r="O7" s="31">
        <f>2769.5</f>
        <v>2769.5</v>
      </c>
      <c r="P7" s="32" t="s">
        <v>677</v>
      </c>
      <c r="Q7" s="31">
        <f>2961</f>
        <v>2961</v>
      </c>
      <c r="R7" s="32" t="s">
        <v>883</v>
      </c>
      <c r="S7" s="33">
        <f>2890.45</f>
        <v>2890.45</v>
      </c>
      <c r="T7" s="30">
        <f>11886540</f>
        <v>11886540</v>
      </c>
      <c r="U7" s="30">
        <f>8308680</f>
        <v>8308680</v>
      </c>
      <c r="V7" s="30">
        <f>34586918865</f>
        <v>34586918865</v>
      </c>
      <c r="W7" s="30">
        <f>24267739995</f>
        <v>24267739995</v>
      </c>
      <c r="X7" s="34">
        <f>20</f>
        <v>20</v>
      </c>
    </row>
    <row r="8" spans="1:24" x14ac:dyDescent="0.15">
      <c r="A8" s="25" t="s">
        <v>1128</v>
      </c>
      <c r="B8" s="25" t="s">
        <v>45</v>
      </c>
      <c r="C8" s="25" t="s">
        <v>46</v>
      </c>
      <c r="D8" s="25" t="s">
        <v>47</v>
      </c>
      <c r="E8" s="26" t="s">
        <v>43</v>
      </c>
      <c r="F8" s="27" t="s">
        <v>43</v>
      </c>
      <c r="G8" s="28" t="s">
        <v>43</v>
      </c>
      <c r="H8" s="29"/>
      <c r="I8" s="29" t="s">
        <v>44</v>
      </c>
      <c r="J8" s="30">
        <v>10</v>
      </c>
      <c r="K8" s="31">
        <f>2802</f>
        <v>2802</v>
      </c>
      <c r="L8" s="32" t="s">
        <v>1110</v>
      </c>
      <c r="M8" s="31">
        <f>2953.5</f>
        <v>2953.5</v>
      </c>
      <c r="N8" s="32" t="s">
        <v>874</v>
      </c>
      <c r="O8" s="31">
        <f>2739.5</f>
        <v>2739.5</v>
      </c>
      <c r="P8" s="32" t="s">
        <v>677</v>
      </c>
      <c r="Q8" s="31">
        <f>2925.5</f>
        <v>2925.5</v>
      </c>
      <c r="R8" s="32" t="s">
        <v>883</v>
      </c>
      <c r="S8" s="33">
        <f>2859.38</f>
        <v>2859.38</v>
      </c>
      <c r="T8" s="30">
        <f>57257330</f>
        <v>57257330</v>
      </c>
      <c r="U8" s="30">
        <f>15413930</f>
        <v>15413930</v>
      </c>
      <c r="V8" s="30">
        <f>163778167402</f>
        <v>163778167402</v>
      </c>
      <c r="W8" s="30">
        <f>44297492157</f>
        <v>44297492157</v>
      </c>
      <c r="X8" s="34">
        <f>20</f>
        <v>20</v>
      </c>
    </row>
    <row r="9" spans="1:24" x14ac:dyDescent="0.15">
      <c r="A9" s="25" t="s">
        <v>1128</v>
      </c>
      <c r="B9" s="25" t="s">
        <v>48</v>
      </c>
      <c r="C9" s="25" t="s">
        <v>49</v>
      </c>
      <c r="D9" s="25" t="s">
        <v>50</v>
      </c>
      <c r="E9" s="26" t="s">
        <v>43</v>
      </c>
      <c r="F9" s="27" t="s">
        <v>43</v>
      </c>
      <c r="G9" s="28" t="s">
        <v>43</v>
      </c>
      <c r="H9" s="29"/>
      <c r="I9" s="29" t="s">
        <v>44</v>
      </c>
      <c r="J9" s="30">
        <v>1</v>
      </c>
      <c r="K9" s="31">
        <f>2767</f>
        <v>2767</v>
      </c>
      <c r="L9" s="32" t="s">
        <v>1110</v>
      </c>
      <c r="M9" s="31">
        <f>2918</f>
        <v>2918</v>
      </c>
      <c r="N9" s="32" t="s">
        <v>874</v>
      </c>
      <c r="O9" s="31">
        <f>2707</f>
        <v>2707</v>
      </c>
      <c r="P9" s="32" t="s">
        <v>677</v>
      </c>
      <c r="Q9" s="31">
        <f>2892</f>
        <v>2892</v>
      </c>
      <c r="R9" s="32" t="s">
        <v>883</v>
      </c>
      <c r="S9" s="33">
        <f>2826.15</f>
        <v>2826.15</v>
      </c>
      <c r="T9" s="30">
        <f>26103903</f>
        <v>26103903</v>
      </c>
      <c r="U9" s="30">
        <f>12703439</f>
        <v>12703439</v>
      </c>
      <c r="V9" s="30">
        <f>74083228759</f>
        <v>74083228759</v>
      </c>
      <c r="W9" s="30">
        <f>36163349840</f>
        <v>36163349840</v>
      </c>
      <c r="X9" s="34">
        <f>20</f>
        <v>20</v>
      </c>
    </row>
    <row r="10" spans="1:24" x14ac:dyDescent="0.15">
      <c r="A10" s="25" t="s">
        <v>1128</v>
      </c>
      <c r="B10" s="25" t="s">
        <v>51</v>
      </c>
      <c r="C10" s="25" t="s">
        <v>52</v>
      </c>
      <c r="D10" s="25" t="s">
        <v>53</v>
      </c>
      <c r="E10" s="26" t="s">
        <v>43</v>
      </c>
      <c r="F10" s="27" t="s">
        <v>43</v>
      </c>
      <c r="G10" s="28" t="s">
        <v>43</v>
      </c>
      <c r="H10" s="29"/>
      <c r="I10" s="29" t="s">
        <v>44</v>
      </c>
      <c r="J10" s="30">
        <v>1</v>
      </c>
      <c r="K10" s="31">
        <f>38500</f>
        <v>38500</v>
      </c>
      <c r="L10" s="32" t="s">
        <v>1110</v>
      </c>
      <c r="M10" s="31">
        <f>39620</f>
        <v>39620</v>
      </c>
      <c r="N10" s="32" t="s">
        <v>1112</v>
      </c>
      <c r="O10" s="31">
        <f>38000</f>
        <v>38000</v>
      </c>
      <c r="P10" s="32" t="s">
        <v>684</v>
      </c>
      <c r="Q10" s="31">
        <f>39080</f>
        <v>39080</v>
      </c>
      <c r="R10" s="32" t="s">
        <v>883</v>
      </c>
      <c r="S10" s="33">
        <f>38906</f>
        <v>38906</v>
      </c>
      <c r="T10" s="30">
        <f>3221</f>
        <v>3221</v>
      </c>
      <c r="U10" s="30" t="str">
        <f>"－"</f>
        <v>－</v>
      </c>
      <c r="V10" s="30">
        <f>125326830</f>
        <v>125326830</v>
      </c>
      <c r="W10" s="30" t="str">
        <f>"－"</f>
        <v>－</v>
      </c>
      <c r="X10" s="34">
        <f>20</f>
        <v>20</v>
      </c>
    </row>
    <row r="11" spans="1:24" x14ac:dyDescent="0.15">
      <c r="A11" s="25" t="s">
        <v>1128</v>
      </c>
      <c r="B11" s="25" t="s">
        <v>54</v>
      </c>
      <c r="C11" s="25" t="s">
        <v>55</v>
      </c>
      <c r="D11" s="25" t="s">
        <v>56</v>
      </c>
      <c r="E11" s="26" t="s">
        <v>43</v>
      </c>
      <c r="F11" s="27" t="s">
        <v>43</v>
      </c>
      <c r="G11" s="28" t="s">
        <v>43</v>
      </c>
      <c r="H11" s="29"/>
      <c r="I11" s="29" t="s">
        <v>44</v>
      </c>
      <c r="J11" s="30">
        <v>10</v>
      </c>
      <c r="K11" s="31">
        <f>1417</f>
        <v>1417</v>
      </c>
      <c r="L11" s="32" t="s">
        <v>1110</v>
      </c>
      <c r="M11" s="31">
        <f>1494</f>
        <v>1494</v>
      </c>
      <c r="N11" s="32" t="s">
        <v>679</v>
      </c>
      <c r="O11" s="31">
        <f>1371</f>
        <v>1371</v>
      </c>
      <c r="P11" s="32" t="s">
        <v>875</v>
      </c>
      <c r="Q11" s="31">
        <f>1467</f>
        <v>1467</v>
      </c>
      <c r="R11" s="32" t="s">
        <v>883</v>
      </c>
      <c r="S11" s="33">
        <f>1440.63</f>
        <v>1440.63</v>
      </c>
      <c r="T11" s="30">
        <f>598350</f>
        <v>598350</v>
      </c>
      <c r="U11" s="30" t="str">
        <f>"－"</f>
        <v>－</v>
      </c>
      <c r="V11" s="30">
        <f>864027825</f>
        <v>864027825</v>
      </c>
      <c r="W11" s="30" t="str">
        <f>"－"</f>
        <v>－</v>
      </c>
      <c r="X11" s="34">
        <f>20</f>
        <v>20</v>
      </c>
    </row>
    <row r="12" spans="1:24" x14ac:dyDescent="0.15">
      <c r="A12" s="25" t="s">
        <v>1128</v>
      </c>
      <c r="B12" s="25" t="s">
        <v>57</v>
      </c>
      <c r="C12" s="25" t="s">
        <v>58</v>
      </c>
      <c r="D12" s="25" t="s">
        <v>59</v>
      </c>
      <c r="E12" s="26" t="s">
        <v>43</v>
      </c>
      <c r="F12" s="27" t="s">
        <v>43</v>
      </c>
      <c r="G12" s="28" t="s">
        <v>43</v>
      </c>
      <c r="H12" s="29"/>
      <c r="I12" s="29" t="s">
        <v>44</v>
      </c>
      <c r="J12" s="30">
        <v>1000</v>
      </c>
      <c r="K12" s="31">
        <f>489</f>
        <v>489</v>
      </c>
      <c r="L12" s="32" t="s">
        <v>1110</v>
      </c>
      <c r="M12" s="31">
        <f>517.9</f>
        <v>517.9</v>
      </c>
      <c r="N12" s="32" t="s">
        <v>675</v>
      </c>
      <c r="O12" s="31">
        <f>469.2</f>
        <v>469.2</v>
      </c>
      <c r="P12" s="32" t="s">
        <v>677</v>
      </c>
      <c r="Q12" s="31">
        <f>495</f>
        <v>495</v>
      </c>
      <c r="R12" s="32" t="s">
        <v>1114</v>
      </c>
      <c r="S12" s="33">
        <f>495.04</f>
        <v>495.04</v>
      </c>
      <c r="T12" s="30">
        <f>123000</f>
        <v>123000</v>
      </c>
      <c r="U12" s="30">
        <f>1000</f>
        <v>1000</v>
      </c>
      <c r="V12" s="30">
        <f>61123500</f>
        <v>61123500</v>
      </c>
      <c r="W12" s="30">
        <f>484000</f>
        <v>484000</v>
      </c>
      <c r="X12" s="34">
        <f>19</f>
        <v>19</v>
      </c>
    </row>
    <row r="13" spans="1:24" x14ac:dyDescent="0.15">
      <c r="A13" s="25" t="s">
        <v>1128</v>
      </c>
      <c r="B13" s="25" t="s">
        <v>60</v>
      </c>
      <c r="C13" s="25" t="s">
        <v>898</v>
      </c>
      <c r="D13" s="25" t="s">
        <v>899</v>
      </c>
      <c r="E13" s="26" t="s">
        <v>43</v>
      </c>
      <c r="F13" s="27" t="s">
        <v>43</v>
      </c>
      <c r="G13" s="28" t="s">
        <v>43</v>
      </c>
      <c r="H13" s="29"/>
      <c r="I13" s="29" t="s">
        <v>44</v>
      </c>
      <c r="J13" s="30">
        <v>1</v>
      </c>
      <c r="K13" s="31">
        <f>40650</f>
        <v>40650</v>
      </c>
      <c r="L13" s="32" t="s">
        <v>1110</v>
      </c>
      <c r="M13" s="31">
        <f>42490</f>
        <v>42490</v>
      </c>
      <c r="N13" s="32" t="s">
        <v>874</v>
      </c>
      <c r="O13" s="31">
        <f>39590</f>
        <v>39590</v>
      </c>
      <c r="P13" s="32" t="s">
        <v>677</v>
      </c>
      <c r="Q13" s="31">
        <f>42080</f>
        <v>42080</v>
      </c>
      <c r="R13" s="32" t="s">
        <v>883</v>
      </c>
      <c r="S13" s="33">
        <f>41231</f>
        <v>41231</v>
      </c>
      <c r="T13" s="30">
        <f>1837861</f>
        <v>1837861</v>
      </c>
      <c r="U13" s="30">
        <f>1048896</f>
        <v>1048896</v>
      </c>
      <c r="V13" s="30">
        <f>75946731054</f>
        <v>75946731054</v>
      </c>
      <c r="W13" s="30">
        <f>43534244684</f>
        <v>43534244684</v>
      </c>
      <c r="X13" s="34">
        <f>20</f>
        <v>20</v>
      </c>
    </row>
    <row r="14" spans="1:24" x14ac:dyDescent="0.15">
      <c r="A14" s="25" t="s">
        <v>1128</v>
      </c>
      <c r="B14" s="25" t="s">
        <v>61</v>
      </c>
      <c r="C14" s="25" t="s">
        <v>62</v>
      </c>
      <c r="D14" s="25" t="s">
        <v>63</v>
      </c>
      <c r="E14" s="26" t="s">
        <v>43</v>
      </c>
      <c r="F14" s="27" t="s">
        <v>43</v>
      </c>
      <c r="G14" s="28" t="s">
        <v>43</v>
      </c>
      <c r="H14" s="29"/>
      <c r="I14" s="29" t="s">
        <v>44</v>
      </c>
      <c r="J14" s="30">
        <v>1</v>
      </c>
      <c r="K14" s="31">
        <f>40810</f>
        <v>40810</v>
      </c>
      <c r="L14" s="32" t="s">
        <v>1110</v>
      </c>
      <c r="M14" s="31">
        <f>42640</f>
        <v>42640</v>
      </c>
      <c r="N14" s="32" t="s">
        <v>874</v>
      </c>
      <c r="O14" s="31">
        <f>39730</f>
        <v>39730</v>
      </c>
      <c r="P14" s="32" t="s">
        <v>677</v>
      </c>
      <c r="Q14" s="31">
        <f>42260</f>
        <v>42260</v>
      </c>
      <c r="R14" s="32" t="s">
        <v>883</v>
      </c>
      <c r="S14" s="33">
        <f>41380</f>
        <v>41380</v>
      </c>
      <c r="T14" s="30">
        <f>8810950</f>
        <v>8810950</v>
      </c>
      <c r="U14" s="30">
        <f>1166018</f>
        <v>1166018</v>
      </c>
      <c r="V14" s="30">
        <f>364232093762</f>
        <v>364232093762</v>
      </c>
      <c r="W14" s="30">
        <f>48576311692</f>
        <v>48576311692</v>
      </c>
      <c r="X14" s="34">
        <f>20</f>
        <v>20</v>
      </c>
    </row>
    <row r="15" spans="1:24" x14ac:dyDescent="0.15">
      <c r="A15" s="25" t="s">
        <v>1128</v>
      </c>
      <c r="B15" s="25" t="s">
        <v>64</v>
      </c>
      <c r="C15" s="25" t="s">
        <v>65</v>
      </c>
      <c r="D15" s="25" t="s">
        <v>66</v>
      </c>
      <c r="E15" s="26" t="s">
        <v>43</v>
      </c>
      <c r="F15" s="27" t="s">
        <v>43</v>
      </c>
      <c r="G15" s="28" t="s">
        <v>43</v>
      </c>
      <c r="H15" s="29"/>
      <c r="I15" s="29" t="s">
        <v>44</v>
      </c>
      <c r="J15" s="30">
        <v>10</v>
      </c>
      <c r="K15" s="31">
        <f>7373</f>
        <v>7373</v>
      </c>
      <c r="L15" s="32" t="s">
        <v>1110</v>
      </c>
      <c r="M15" s="31">
        <f>7689</f>
        <v>7689</v>
      </c>
      <c r="N15" s="32" t="s">
        <v>874</v>
      </c>
      <c r="O15" s="31">
        <f>7158</f>
        <v>7158</v>
      </c>
      <c r="P15" s="32" t="s">
        <v>1113</v>
      </c>
      <c r="Q15" s="31">
        <f>7555</f>
        <v>7555</v>
      </c>
      <c r="R15" s="32" t="s">
        <v>883</v>
      </c>
      <c r="S15" s="33">
        <f>7492.4</f>
        <v>7492.4</v>
      </c>
      <c r="T15" s="30">
        <f>22820</f>
        <v>22820</v>
      </c>
      <c r="U15" s="30" t="str">
        <f>"－"</f>
        <v>－</v>
      </c>
      <c r="V15" s="30">
        <f>170373390</f>
        <v>170373390</v>
      </c>
      <c r="W15" s="30" t="str">
        <f>"－"</f>
        <v>－</v>
      </c>
      <c r="X15" s="34">
        <f>20</f>
        <v>20</v>
      </c>
    </row>
    <row r="16" spans="1:24" x14ac:dyDescent="0.15">
      <c r="A16" s="25" t="s">
        <v>1128</v>
      </c>
      <c r="B16" s="25" t="s">
        <v>67</v>
      </c>
      <c r="C16" s="25" t="s">
        <v>810</v>
      </c>
      <c r="D16" s="25" t="s">
        <v>811</v>
      </c>
      <c r="E16" s="26" t="s">
        <v>43</v>
      </c>
      <c r="F16" s="27" t="s">
        <v>43</v>
      </c>
      <c r="G16" s="28" t="s">
        <v>43</v>
      </c>
      <c r="H16" s="29"/>
      <c r="I16" s="29" t="s">
        <v>44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x14ac:dyDescent="0.15">
      <c r="A17" s="25" t="s">
        <v>1128</v>
      </c>
      <c r="B17" s="25" t="s">
        <v>68</v>
      </c>
      <c r="C17" s="25" t="s">
        <v>69</v>
      </c>
      <c r="D17" s="25" t="s">
        <v>70</v>
      </c>
      <c r="E17" s="26" t="s">
        <v>43</v>
      </c>
      <c r="F17" s="27" t="s">
        <v>43</v>
      </c>
      <c r="G17" s="28" t="s">
        <v>43</v>
      </c>
      <c r="H17" s="29"/>
      <c r="I17" s="29" t="s">
        <v>44</v>
      </c>
      <c r="J17" s="30">
        <v>100</v>
      </c>
      <c r="K17" s="31">
        <f>251</f>
        <v>251</v>
      </c>
      <c r="L17" s="32" t="s">
        <v>1110</v>
      </c>
      <c r="M17" s="31">
        <f>251</f>
        <v>251</v>
      </c>
      <c r="N17" s="32" t="s">
        <v>1110</v>
      </c>
      <c r="O17" s="31">
        <f>238.6</f>
        <v>238.6</v>
      </c>
      <c r="P17" s="32" t="s">
        <v>678</v>
      </c>
      <c r="Q17" s="31">
        <f>244.9</f>
        <v>244.9</v>
      </c>
      <c r="R17" s="32" t="s">
        <v>883</v>
      </c>
      <c r="S17" s="33">
        <f>244.59</f>
        <v>244.59</v>
      </c>
      <c r="T17" s="30">
        <f>860400</f>
        <v>860400</v>
      </c>
      <c r="U17" s="30" t="str">
        <f>"－"</f>
        <v>－</v>
      </c>
      <c r="V17" s="30">
        <f>210162080</f>
        <v>210162080</v>
      </c>
      <c r="W17" s="30" t="str">
        <f>"－"</f>
        <v>－</v>
      </c>
      <c r="X17" s="34">
        <f>20</f>
        <v>20</v>
      </c>
    </row>
    <row r="18" spans="1:24" x14ac:dyDescent="0.15">
      <c r="A18" s="25" t="s">
        <v>1128</v>
      </c>
      <c r="B18" s="25" t="s">
        <v>71</v>
      </c>
      <c r="C18" s="25" t="s">
        <v>72</v>
      </c>
      <c r="D18" s="25" t="s">
        <v>73</v>
      </c>
      <c r="E18" s="26" t="s">
        <v>43</v>
      </c>
      <c r="F18" s="27" t="s">
        <v>43</v>
      </c>
      <c r="G18" s="28" t="s">
        <v>43</v>
      </c>
      <c r="H18" s="29"/>
      <c r="I18" s="29" t="s">
        <v>44</v>
      </c>
      <c r="J18" s="30">
        <v>1</v>
      </c>
      <c r="K18" s="31">
        <f>28440</f>
        <v>28440</v>
      </c>
      <c r="L18" s="32" t="s">
        <v>1110</v>
      </c>
      <c r="M18" s="31">
        <f>32260</f>
        <v>32260</v>
      </c>
      <c r="N18" s="32" t="s">
        <v>883</v>
      </c>
      <c r="O18" s="31">
        <f>28405</f>
        <v>28405</v>
      </c>
      <c r="P18" s="32" t="s">
        <v>1110</v>
      </c>
      <c r="Q18" s="31">
        <f>31840</f>
        <v>31840</v>
      </c>
      <c r="R18" s="32" t="s">
        <v>883</v>
      </c>
      <c r="S18" s="33">
        <f>29965.5</f>
        <v>29965.5</v>
      </c>
      <c r="T18" s="30">
        <f>131533</f>
        <v>131533</v>
      </c>
      <c r="U18" s="30" t="str">
        <f>"－"</f>
        <v>－</v>
      </c>
      <c r="V18" s="30">
        <f>3945021225</f>
        <v>3945021225</v>
      </c>
      <c r="W18" s="30" t="str">
        <f>"－"</f>
        <v>－</v>
      </c>
      <c r="X18" s="34">
        <f>20</f>
        <v>20</v>
      </c>
    </row>
    <row r="19" spans="1:24" x14ac:dyDescent="0.15">
      <c r="A19" s="25" t="s">
        <v>1128</v>
      </c>
      <c r="B19" s="25" t="s">
        <v>74</v>
      </c>
      <c r="C19" s="25" t="s">
        <v>75</v>
      </c>
      <c r="D19" s="25" t="s">
        <v>76</v>
      </c>
      <c r="E19" s="26" t="s">
        <v>43</v>
      </c>
      <c r="F19" s="27" t="s">
        <v>43</v>
      </c>
      <c r="G19" s="28" t="s">
        <v>43</v>
      </c>
      <c r="H19" s="29"/>
      <c r="I19" s="29" t="s">
        <v>44</v>
      </c>
      <c r="J19" s="30">
        <v>10</v>
      </c>
      <c r="K19" s="31">
        <f>7537</f>
        <v>7537</v>
      </c>
      <c r="L19" s="32" t="s">
        <v>1110</v>
      </c>
      <c r="M19" s="31">
        <f>8447</f>
        <v>8447</v>
      </c>
      <c r="N19" s="32" t="s">
        <v>883</v>
      </c>
      <c r="O19" s="31">
        <f>7531</f>
        <v>7531</v>
      </c>
      <c r="P19" s="32" t="s">
        <v>1110</v>
      </c>
      <c r="Q19" s="31">
        <f>8361</f>
        <v>8361</v>
      </c>
      <c r="R19" s="32" t="s">
        <v>883</v>
      </c>
      <c r="S19" s="33">
        <f>7944.3</f>
        <v>7944.3</v>
      </c>
      <c r="T19" s="30">
        <f>297970</f>
        <v>297970</v>
      </c>
      <c r="U19" s="30">
        <f>370</f>
        <v>370</v>
      </c>
      <c r="V19" s="30">
        <f>2373576300</f>
        <v>2373576300</v>
      </c>
      <c r="W19" s="30">
        <f>2832950</f>
        <v>2832950</v>
      </c>
      <c r="X19" s="34">
        <f>20</f>
        <v>20</v>
      </c>
    </row>
    <row r="20" spans="1:24" x14ac:dyDescent="0.15">
      <c r="A20" s="25" t="s">
        <v>1128</v>
      </c>
      <c r="B20" s="25" t="s">
        <v>77</v>
      </c>
      <c r="C20" s="25" t="s">
        <v>78</v>
      </c>
      <c r="D20" s="25" t="s">
        <v>79</v>
      </c>
      <c r="E20" s="26" t="s">
        <v>43</v>
      </c>
      <c r="F20" s="27" t="s">
        <v>43</v>
      </c>
      <c r="G20" s="28" t="s">
        <v>43</v>
      </c>
      <c r="H20" s="29"/>
      <c r="I20" s="29" t="s">
        <v>44</v>
      </c>
      <c r="J20" s="30">
        <v>1</v>
      </c>
      <c r="K20" s="31">
        <f>40720</f>
        <v>40720</v>
      </c>
      <c r="L20" s="32" t="s">
        <v>1110</v>
      </c>
      <c r="M20" s="31">
        <f>42540</f>
        <v>42540</v>
      </c>
      <c r="N20" s="32" t="s">
        <v>874</v>
      </c>
      <c r="O20" s="31">
        <f>39620</f>
        <v>39620</v>
      </c>
      <c r="P20" s="32" t="s">
        <v>677</v>
      </c>
      <c r="Q20" s="31">
        <f>42140</f>
        <v>42140</v>
      </c>
      <c r="R20" s="32" t="s">
        <v>883</v>
      </c>
      <c r="S20" s="33">
        <f>41277</f>
        <v>41277</v>
      </c>
      <c r="T20" s="30">
        <f>1493654</f>
        <v>1493654</v>
      </c>
      <c r="U20" s="30">
        <f>589233</f>
        <v>589233</v>
      </c>
      <c r="V20" s="30">
        <f>61684221553</f>
        <v>61684221553</v>
      </c>
      <c r="W20" s="30">
        <f>24501410153</f>
        <v>24501410153</v>
      </c>
      <c r="X20" s="34">
        <f>20</f>
        <v>20</v>
      </c>
    </row>
    <row r="21" spans="1:24" x14ac:dyDescent="0.15">
      <c r="A21" s="25" t="s">
        <v>1128</v>
      </c>
      <c r="B21" s="25" t="s">
        <v>80</v>
      </c>
      <c r="C21" s="25" t="s">
        <v>81</v>
      </c>
      <c r="D21" s="25" t="s">
        <v>82</v>
      </c>
      <c r="E21" s="26" t="s">
        <v>43</v>
      </c>
      <c r="F21" s="27" t="s">
        <v>43</v>
      </c>
      <c r="G21" s="28" t="s">
        <v>43</v>
      </c>
      <c r="H21" s="29"/>
      <c r="I21" s="29" t="s">
        <v>44</v>
      </c>
      <c r="J21" s="30">
        <v>1</v>
      </c>
      <c r="K21" s="31">
        <f>40880</f>
        <v>40880</v>
      </c>
      <c r="L21" s="32" t="s">
        <v>1110</v>
      </c>
      <c r="M21" s="31">
        <f>42690</f>
        <v>42690</v>
      </c>
      <c r="N21" s="32" t="s">
        <v>874</v>
      </c>
      <c r="O21" s="31">
        <f>39780</f>
        <v>39780</v>
      </c>
      <c r="P21" s="32" t="s">
        <v>677</v>
      </c>
      <c r="Q21" s="31">
        <f>42310</f>
        <v>42310</v>
      </c>
      <c r="R21" s="32" t="s">
        <v>883</v>
      </c>
      <c r="S21" s="33">
        <f>41447.5</f>
        <v>41447.5</v>
      </c>
      <c r="T21" s="30">
        <f>1657917</f>
        <v>1657917</v>
      </c>
      <c r="U21" s="30">
        <f>1042100</f>
        <v>1042100</v>
      </c>
      <c r="V21" s="30">
        <f>68851088905</f>
        <v>68851088905</v>
      </c>
      <c r="W21" s="30">
        <f>43441805155</f>
        <v>43441805155</v>
      </c>
      <c r="X21" s="34">
        <f>20</f>
        <v>20</v>
      </c>
    </row>
    <row r="22" spans="1:24" x14ac:dyDescent="0.15">
      <c r="A22" s="25" t="s">
        <v>1128</v>
      </c>
      <c r="B22" s="25" t="s">
        <v>1079</v>
      </c>
      <c r="C22" s="25" t="s">
        <v>1080</v>
      </c>
      <c r="D22" s="25" t="s">
        <v>1081</v>
      </c>
      <c r="E22" s="26" t="s">
        <v>43</v>
      </c>
      <c r="F22" s="27" t="s">
        <v>43</v>
      </c>
      <c r="G22" s="28" t="s">
        <v>43</v>
      </c>
      <c r="H22" s="29"/>
      <c r="I22" s="29" t="s">
        <v>44</v>
      </c>
      <c r="J22" s="30">
        <v>1</v>
      </c>
      <c r="K22" s="31">
        <f>1023</f>
        <v>1023</v>
      </c>
      <c r="L22" s="32" t="s">
        <v>1110</v>
      </c>
      <c r="M22" s="31">
        <f>1040</f>
        <v>1040</v>
      </c>
      <c r="N22" s="32" t="s">
        <v>1112</v>
      </c>
      <c r="O22" s="31">
        <f>1000</f>
        <v>1000</v>
      </c>
      <c r="P22" s="32" t="s">
        <v>684</v>
      </c>
      <c r="Q22" s="31">
        <f>1032</f>
        <v>1032</v>
      </c>
      <c r="R22" s="32" t="s">
        <v>883</v>
      </c>
      <c r="S22" s="33">
        <f>1021.35</f>
        <v>1021.35</v>
      </c>
      <c r="T22" s="30">
        <f>3181067</f>
        <v>3181067</v>
      </c>
      <c r="U22" s="30">
        <f>2845000</f>
        <v>2845000</v>
      </c>
      <c r="V22" s="30">
        <f>3254734900</f>
        <v>3254734900</v>
      </c>
      <c r="W22" s="30">
        <f>2910493322</f>
        <v>2910493322</v>
      </c>
      <c r="X22" s="34">
        <f>20</f>
        <v>20</v>
      </c>
    </row>
    <row r="23" spans="1:24" x14ac:dyDescent="0.15">
      <c r="A23" s="25" t="s">
        <v>1128</v>
      </c>
      <c r="B23" s="25" t="s">
        <v>83</v>
      </c>
      <c r="C23" s="25" t="s">
        <v>967</v>
      </c>
      <c r="D23" s="25" t="s">
        <v>84</v>
      </c>
      <c r="E23" s="26" t="s">
        <v>43</v>
      </c>
      <c r="F23" s="27" t="s">
        <v>43</v>
      </c>
      <c r="G23" s="28" t="s">
        <v>43</v>
      </c>
      <c r="H23" s="29"/>
      <c r="I23" s="29" t="s">
        <v>44</v>
      </c>
      <c r="J23" s="30">
        <v>10</v>
      </c>
      <c r="K23" s="31">
        <f>1844</f>
        <v>1844</v>
      </c>
      <c r="L23" s="32" t="s">
        <v>1110</v>
      </c>
      <c r="M23" s="31">
        <f>1971.5</f>
        <v>1971.5</v>
      </c>
      <c r="N23" s="32" t="s">
        <v>679</v>
      </c>
      <c r="O23" s="31">
        <f>1789.5</f>
        <v>1789.5</v>
      </c>
      <c r="P23" s="32" t="s">
        <v>1123</v>
      </c>
      <c r="Q23" s="31">
        <f>1943</f>
        <v>1943</v>
      </c>
      <c r="R23" s="32" t="s">
        <v>883</v>
      </c>
      <c r="S23" s="33">
        <f>1877.33</f>
        <v>1877.33</v>
      </c>
      <c r="T23" s="30">
        <f>40560430</f>
        <v>40560430</v>
      </c>
      <c r="U23" s="30">
        <f>14550870</f>
        <v>14550870</v>
      </c>
      <c r="V23" s="30">
        <f>76480213193</f>
        <v>76480213193</v>
      </c>
      <c r="W23" s="30">
        <f>27446857088</f>
        <v>27446857088</v>
      </c>
      <c r="X23" s="34">
        <f>20</f>
        <v>20</v>
      </c>
    </row>
    <row r="24" spans="1:24" x14ac:dyDescent="0.15">
      <c r="A24" s="25" t="s">
        <v>1128</v>
      </c>
      <c r="B24" s="25" t="s">
        <v>85</v>
      </c>
      <c r="C24" s="25" t="s">
        <v>86</v>
      </c>
      <c r="D24" s="25" t="s">
        <v>968</v>
      </c>
      <c r="E24" s="26" t="s">
        <v>43</v>
      </c>
      <c r="F24" s="27" t="s">
        <v>43</v>
      </c>
      <c r="G24" s="28" t="s">
        <v>43</v>
      </c>
      <c r="H24" s="29"/>
      <c r="I24" s="29" t="s">
        <v>44</v>
      </c>
      <c r="J24" s="30">
        <v>100</v>
      </c>
      <c r="K24" s="31">
        <f>1750</f>
        <v>1750</v>
      </c>
      <c r="L24" s="32" t="s">
        <v>1110</v>
      </c>
      <c r="M24" s="31">
        <f>1847.5</f>
        <v>1847.5</v>
      </c>
      <c r="N24" s="32" t="s">
        <v>679</v>
      </c>
      <c r="O24" s="31">
        <f>1677</f>
        <v>1677</v>
      </c>
      <c r="P24" s="32" t="s">
        <v>1123</v>
      </c>
      <c r="Q24" s="31">
        <f>1819</f>
        <v>1819</v>
      </c>
      <c r="R24" s="32" t="s">
        <v>883</v>
      </c>
      <c r="S24" s="33">
        <f>1761.1</f>
        <v>1761.1</v>
      </c>
      <c r="T24" s="30">
        <f>4023200</f>
        <v>4023200</v>
      </c>
      <c r="U24" s="30">
        <f>909700</f>
        <v>909700</v>
      </c>
      <c r="V24" s="30">
        <f>7123819397</f>
        <v>7123819397</v>
      </c>
      <c r="W24" s="30">
        <f>1649241847</f>
        <v>1649241847</v>
      </c>
      <c r="X24" s="34">
        <f>20</f>
        <v>20</v>
      </c>
    </row>
    <row r="25" spans="1:24" x14ac:dyDescent="0.15">
      <c r="A25" s="25" t="s">
        <v>1128</v>
      </c>
      <c r="B25" s="25" t="s">
        <v>87</v>
      </c>
      <c r="C25" s="25" t="s">
        <v>88</v>
      </c>
      <c r="D25" s="25" t="s">
        <v>969</v>
      </c>
      <c r="E25" s="26" t="s">
        <v>43</v>
      </c>
      <c r="F25" s="27" t="s">
        <v>43</v>
      </c>
      <c r="G25" s="28" t="s">
        <v>43</v>
      </c>
      <c r="H25" s="29"/>
      <c r="I25" s="29" t="s">
        <v>44</v>
      </c>
      <c r="J25" s="30">
        <v>1</v>
      </c>
      <c r="K25" s="31">
        <f>40600</f>
        <v>40600</v>
      </c>
      <c r="L25" s="32" t="s">
        <v>1110</v>
      </c>
      <c r="M25" s="31">
        <f>42420</f>
        <v>42420</v>
      </c>
      <c r="N25" s="32" t="s">
        <v>874</v>
      </c>
      <c r="O25" s="31">
        <f>39540</f>
        <v>39540</v>
      </c>
      <c r="P25" s="32" t="s">
        <v>677</v>
      </c>
      <c r="Q25" s="31">
        <f>42020</f>
        <v>42020</v>
      </c>
      <c r="R25" s="32" t="s">
        <v>883</v>
      </c>
      <c r="S25" s="33">
        <f>41164.5</f>
        <v>41164.5</v>
      </c>
      <c r="T25" s="30">
        <f>994362</f>
        <v>994362</v>
      </c>
      <c r="U25" s="30">
        <f>518598</f>
        <v>518598</v>
      </c>
      <c r="V25" s="30">
        <f>41057058850</f>
        <v>41057058850</v>
      </c>
      <c r="W25" s="30">
        <f>21475343350</f>
        <v>21475343350</v>
      </c>
      <c r="X25" s="34">
        <f>20</f>
        <v>20</v>
      </c>
    </row>
    <row r="26" spans="1:24" x14ac:dyDescent="0.15">
      <c r="A26" s="25" t="s">
        <v>1128</v>
      </c>
      <c r="B26" s="25" t="s">
        <v>89</v>
      </c>
      <c r="C26" s="25" t="s">
        <v>90</v>
      </c>
      <c r="D26" s="25" t="s">
        <v>91</v>
      </c>
      <c r="E26" s="26" t="s">
        <v>43</v>
      </c>
      <c r="F26" s="27" t="s">
        <v>43</v>
      </c>
      <c r="G26" s="28" t="s">
        <v>43</v>
      </c>
      <c r="H26" s="29"/>
      <c r="I26" s="29" t="s">
        <v>44</v>
      </c>
      <c r="J26" s="30">
        <v>10</v>
      </c>
      <c r="K26" s="31">
        <f>2770.5</f>
        <v>2770.5</v>
      </c>
      <c r="L26" s="32" t="s">
        <v>1110</v>
      </c>
      <c r="M26" s="31">
        <f>2919</f>
        <v>2919</v>
      </c>
      <c r="N26" s="32" t="s">
        <v>874</v>
      </c>
      <c r="O26" s="31">
        <f>2709</f>
        <v>2709</v>
      </c>
      <c r="P26" s="32" t="s">
        <v>677</v>
      </c>
      <c r="Q26" s="31">
        <f>2894.5</f>
        <v>2894.5</v>
      </c>
      <c r="R26" s="32" t="s">
        <v>883</v>
      </c>
      <c r="S26" s="33">
        <f>2826.73</f>
        <v>2826.73</v>
      </c>
      <c r="T26" s="30">
        <f>8718930</f>
        <v>8718930</v>
      </c>
      <c r="U26" s="30">
        <f>5489360</f>
        <v>5489360</v>
      </c>
      <c r="V26" s="30">
        <f>24722376806</f>
        <v>24722376806</v>
      </c>
      <c r="W26" s="30">
        <f>15595807276</f>
        <v>15595807276</v>
      </c>
      <c r="X26" s="34">
        <f>20</f>
        <v>20</v>
      </c>
    </row>
    <row r="27" spans="1:24" x14ac:dyDescent="0.15">
      <c r="A27" s="25" t="s">
        <v>1128</v>
      </c>
      <c r="B27" s="25" t="s">
        <v>92</v>
      </c>
      <c r="C27" s="25" t="s">
        <v>93</v>
      </c>
      <c r="D27" s="25" t="s">
        <v>94</v>
      </c>
      <c r="E27" s="26" t="s">
        <v>43</v>
      </c>
      <c r="F27" s="27" t="s">
        <v>43</v>
      </c>
      <c r="G27" s="28" t="s">
        <v>43</v>
      </c>
      <c r="H27" s="29"/>
      <c r="I27" s="29" t="s">
        <v>44</v>
      </c>
      <c r="J27" s="30">
        <v>1</v>
      </c>
      <c r="K27" s="31">
        <f>15980</f>
        <v>15980</v>
      </c>
      <c r="L27" s="32" t="s">
        <v>1110</v>
      </c>
      <c r="M27" s="31">
        <f>16175</f>
        <v>16175</v>
      </c>
      <c r="N27" s="32" t="s">
        <v>874</v>
      </c>
      <c r="O27" s="31">
        <f>15715</f>
        <v>15715</v>
      </c>
      <c r="P27" s="32" t="s">
        <v>875</v>
      </c>
      <c r="Q27" s="31">
        <f>16055</f>
        <v>16055</v>
      </c>
      <c r="R27" s="32" t="s">
        <v>883</v>
      </c>
      <c r="S27" s="33">
        <f>15968.95</f>
        <v>15968.95</v>
      </c>
      <c r="T27" s="30">
        <f>410</f>
        <v>410</v>
      </c>
      <c r="U27" s="30" t="str">
        <f>"－"</f>
        <v>－</v>
      </c>
      <c r="V27" s="30">
        <f>6515865</f>
        <v>6515865</v>
      </c>
      <c r="W27" s="30" t="str">
        <f>"－"</f>
        <v>－</v>
      </c>
      <c r="X27" s="34">
        <f>19</f>
        <v>19</v>
      </c>
    </row>
    <row r="28" spans="1:24" x14ac:dyDescent="0.15">
      <c r="A28" s="25" t="s">
        <v>1128</v>
      </c>
      <c r="B28" s="25" t="s">
        <v>95</v>
      </c>
      <c r="C28" s="25" t="s">
        <v>96</v>
      </c>
      <c r="D28" s="25" t="s">
        <v>97</v>
      </c>
      <c r="E28" s="26" t="s">
        <v>43</v>
      </c>
      <c r="F28" s="27" t="s">
        <v>43</v>
      </c>
      <c r="G28" s="28" t="s">
        <v>43</v>
      </c>
      <c r="H28" s="29"/>
      <c r="I28" s="29" t="s">
        <v>44</v>
      </c>
      <c r="J28" s="30">
        <v>10</v>
      </c>
      <c r="K28" s="31">
        <f>417</f>
        <v>417</v>
      </c>
      <c r="L28" s="32" t="s">
        <v>1110</v>
      </c>
      <c r="M28" s="31">
        <f>434.8</f>
        <v>434.8</v>
      </c>
      <c r="N28" s="32" t="s">
        <v>677</v>
      </c>
      <c r="O28" s="31">
        <f>372.8</f>
        <v>372.8</v>
      </c>
      <c r="P28" s="32" t="s">
        <v>874</v>
      </c>
      <c r="Q28" s="31">
        <f>378.8</f>
        <v>378.8</v>
      </c>
      <c r="R28" s="32" t="s">
        <v>883</v>
      </c>
      <c r="S28" s="33">
        <f>399.43</f>
        <v>399.43</v>
      </c>
      <c r="T28" s="30">
        <f>32337510</f>
        <v>32337510</v>
      </c>
      <c r="U28" s="30" t="str">
        <f>"－"</f>
        <v>－</v>
      </c>
      <c r="V28" s="30">
        <f>12884778819</f>
        <v>12884778819</v>
      </c>
      <c r="W28" s="30" t="str">
        <f>"－"</f>
        <v>－</v>
      </c>
      <c r="X28" s="34">
        <f>20</f>
        <v>20</v>
      </c>
    </row>
    <row r="29" spans="1:24" x14ac:dyDescent="0.15">
      <c r="A29" s="25" t="s">
        <v>1128</v>
      </c>
      <c r="B29" s="25" t="s">
        <v>98</v>
      </c>
      <c r="C29" s="25" t="s">
        <v>99</v>
      </c>
      <c r="D29" s="25" t="s">
        <v>970</v>
      </c>
      <c r="E29" s="26" t="s">
        <v>43</v>
      </c>
      <c r="F29" s="27" t="s">
        <v>43</v>
      </c>
      <c r="G29" s="28" t="s">
        <v>43</v>
      </c>
      <c r="H29" s="29"/>
      <c r="I29" s="29" t="s">
        <v>44</v>
      </c>
      <c r="J29" s="30">
        <v>1</v>
      </c>
      <c r="K29" s="31">
        <f>148</f>
        <v>148</v>
      </c>
      <c r="L29" s="32" t="s">
        <v>1110</v>
      </c>
      <c r="M29" s="31">
        <f>156</f>
        <v>156</v>
      </c>
      <c r="N29" s="32" t="s">
        <v>677</v>
      </c>
      <c r="O29" s="31">
        <f>134</f>
        <v>134</v>
      </c>
      <c r="P29" s="32" t="s">
        <v>874</v>
      </c>
      <c r="Q29" s="31">
        <f>136</f>
        <v>136</v>
      </c>
      <c r="R29" s="32" t="s">
        <v>883</v>
      </c>
      <c r="S29" s="33">
        <f>143.05</f>
        <v>143.05000000000001</v>
      </c>
      <c r="T29" s="30">
        <f>1337364293</f>
        <v>1337364293</v>
      </c>
      <c r="U29" s="30">
        <f>5182357</f>
        <v>5182357</v>
      </c>
      <c r="V29" s="30">
        <f>193211784049</f>
        <v>193211784049</v>
      </c>
      <c r="W29" s="30">
        <f>726496227</f>
        <v>726496227</v>
      </c>
      <c r="X29" s="34">
        <f>20</f>
        <v>20</v>
      </c>
    </row>
    <row r="30" spans="1:24" x14ac:dyDescent="0.15">
      <c r="A30" s="25" t="s">
        <v>1128</v>
      </c>
      <c r="B30" s="25" t="s">
        <v>100</v>
      </c>
      <c r="C30" s="25" t="s">
        <v>101</v>
      </c>
      <c r="D30" s="25" t="s">
        <v>102</v>
      </c>
      <c r="E30" s="26" t="s">
        <v>43</v>
      </c>
      <c r="F30" s="27" t="s">
        <v>43</v>
      </c>
      <c r="G30" s="28" t="s">
        <v>43</v>
      </c>
      <c r="H30" s="29"/>
      <c r="I30" s="29" t="s">
        <v>44</v>
      </c>
      <c r="J30" s="30">
        <v>1</v>
      </c>
      <c r="K30" s="31">
        <f>53840</f>
        <v>53840</v>
      </c>
      <c r="L30" s="32" t="s">
        <v>1110</v>
      </c>
      <c r="M30" s="31">
        <f>58680</f>
        <v>58680</v>
      </c>
      <c r="N30" s="32" t="s">
        <v>874</v>
      </c>
      <c r="O30" s="31">
        <f>50970</f>
        <v>50970</v>
      </c>
      <c r="P30" s="32" t="s">
        <v>677</v>
      </c>
      <c r="Q30" s="31">
        <f>57530</f>
        <v>57530</v>
      </c>
      <c r="R30" s="32" t="s">
        <v>883</v>
      </c>
      <c r="S30" s="33">
        <f>55309</f>
        <v>55309</v>
      </c>
      <c r="T30" s="30">
        <f>462887</f>
        <v>462887</v>
      </c>
      <c r="U30" s="30" t="str">
        <f>"－"</f>
        <v>－</v>
      </c>
      <c r="V30" s="30">
        <f>25512541530</f>
        <v>25512541530</v>
      </c>
      <c r="W30" s="30" t="str">
        <f>"－"</f>
        <v>－</v>
      </c>
      <c r="X30" s="34">
        <f>20</f>
        <v>20</v>
      </c>
    </row>
    <row r="31" spans="1:24" x14ac:dyDescent="0.15">
      <c r="A31" s="25" t="s">
        <v>1128</v>
      </c>
      <c r="B31" s="25" t="s">
        <v>103</v>
      </c>
      <c r="C31" s="25" t="s">
        <v>104</v>
      </c>
      <c r="D31" s="25" t="s">
        <v>105</v>
      </c>
      <c r="E31" s="26" t="s">
        <v>43</v>
      </c>
      <c r="F31" s="27" t="s">
        <v>43</v>
      </c>
      <c r="G31" s="28" t="s">
        <v>43</v>
      </c>
      <c r="H31" s="29"/>
      <c r="I31" s="29" t="s">
        <v>44</v>
      </c>
      <c r="J31" s="30">
        <v>10</v>
      </c>
      <c r="K31" s="31">
        <f>362</f>
        <v>362</v>
      </c>
      <c r="L31" s="32" t="s">
        <v>1110</v>
      </c>
      <c r="M31" s="31">
        <f>380.2</f>
        <v>380.2</v>
      </c>
      <c r="N31" s="32" t="s">
        <v>677</v>
      </c>
      <c r="O31" s="31">
        <f>328.2</f>
        <v>328.2</v>
      </c>
      <c r="P31" s="32" t="s">
        <v>874</v>
      </c>
      <c r="Q31" s="31">
        <f>334.2</f>
        <v>334.2</v>
      </c>
      <c r="R31" s="32" t="s">
        <v>883</v>
      </c>
      <c r="S31" s="33">
        <f>350.2</f>
        <v>350.2</v>
      </c>
      <c r="T31" s="30">
        <f>648296670</f>
        <v>648296670</v>
      </c>
      <c r="U31" s="30">
        <f>1086790</f>
        <v>1086790</v>
      </c>
      <c r="V31" s="30">
        <f>228899588669</f>
        <v>228899588669</v>
      </c>
      <c r="W31" s="30">
        <f>368085468</f>
        <v>368085468</v>
      </c>
      <c r="X31" s="34">
        <f>20</f>
        <v>20</v>
      </c>
    </row>
    <row r="32" spans="1:24" x14ac:dyDescent="0.15">
      <c r="A32" s="25" t="s">
        <v>1128</v>
      </c>
      <c r="B32" s="25" t="s">
        <v>106</v>
      </c>
      <c r="C32" s="25" t="s">
        <v>107</v>
      </c>
      <c r="D32" s="25" t="s">
        <v>108</v>
      </c>
      <c r="E32" s="26" t="s">
        <v>43</v>
      </c>
      <c r="F32" s="27" t="s">
        <v>43</v>
      </c>
      <c r="G32" s="28" t="s">
        <v>43</v>
      </c>
      <c r="H32" s="29"/>
      <c r="I32" s="29" t="s">
        <v>44</v>
      </c>
      <c r="J32" s="30">
        <v>1</v>
      </c>
      <c r="K32" s="31">
        <f>24675</f>
        <v>24675</v>
      </c>
      <c r="L32" s="32" t="s">
        <v>1110</v>
      </c>
      <c r="M32" s="31">
        <f>25990</f>
        <v>25990</v>
      </c>
      <c r="N32" s="32" t="s">
        <v>874</v>
      </c>
      <c r="O32" s="31">
        <f>24150</f>
        <v>24150</v>
      </c>
      <c r="P32" s="32" t="s">
        <v>677</v>
      </c>
      <c r="Q32" s="31">
        <f>25880</f>
        <v>25880</v>
      </c>
      <c r="R32" s="32" t="s">
        <v>883</v>
      </c>
      <c r="S32" s="33">
        <f>25216</f>
        <v>25216</v>
      </c>
      <c r="T32" s="30">
        <f>48648</f>
        <v>48648</v>
      </c>
      <c r="U32" s="30">
        <f>4000</f>
        <v>4000</v>
      </c>
      <c r="V32" s="30">
        <f>1214961780</f>
        <v>1214961780</v>
      </c>
      <c r="W32" s="30">
        <f>97728000</f>
        <v>97728000</v>
      </c>
      <c r="X32" s="34">
        <f>20</f>
        <v>20</v>
      </c>
    </row>
    <row r="33" spans="1:24" x14ac:dyDescent="0.15">
      <c r="A33" s="25" t="s">
        <v>1128</v>
      </c>
      <c r="B33" s="25" t="s">
        <v>109</v>
      </c>
      <c r="C33" s="25" t="s">
        <v>900</v>
      </c>
      <c r="D33" s="25" t="s">
        <v>901</v>
      </c>
      <c r="E33" s="26" t="s">
        <v>43</v>
      </c>
      <c r="F33" s="27" t="s">
        <v>43</v>
      </c>
      <c r="G33" s="28" t="s">
        <v>43</v>
      </c>
      <c r="H33" s="29"/>
      <c r="I33" s="29" t="s">
        <v>44</v>
      </c>
      <c r="J33" s="30">
        <v>1</v>
      </c>
      <c r="K33" s="31">
        <f>44750</f>
        <v>44750</v>
      </c>
      <c r="L33" s="32" t="s">
        <v>1110</v>
      </c>
      <c r="M33" s="31">
        <f>48790</f>
        <v>48790</v>
      </c>
      <c r="N33" s="32" t="s">
        <v>874</v>
      </c>
      <c r="O33" s="31">
        <f>42350</f>
        <v>42350</v>
      </c>
      <c r="P33" s="32" t="s">
        <v>677</v>
      </c>
      <c r="Q33" s="31">
        <f>47800</f>
        <v>47800</v>
      </c>
      <c r="R33" s="32" t="s">
        <v>883</v>
      </c>
      <c r="S33" s="33">
        <f>45955.5</f>
        <v>45955.5</v>
      </c>
      <c r="T33" s="30">
        <f>1012757</f>
        <v>1012757</v>
      </c>
      <c r="U33" s="30">
        <f>30</f>
        <v>30</v>
      </c>
      <c r="V33" s="30">
        <f>46276658730</f>
        <v>46276658730</v>
      </c>
      <c r="W33" s="30">
        <f>1446000</f>
        <v>1446000</v>
      </c>
      <c r="X33" s="34">
        <f>20</f>
        <v>20</v>
      </c>
    </row>
    <row r="34" spans="1:24" x14ac:dyDescent="0.15">
      <c r="A34" s="25" t="s">
        <v>1128</v>
      </c>
      <c r="B34" s="25" t="s">
        <v>110</v>
      </c>
      <c r="C34" s="25" t="s">
        <v>902</v>
      </c>
      <c r="D34" s="25" t="s">
        <v>903</v>
      </c>
      <c r="E34" s="26" t="s">
        <v>43</v>
      </c>
      <c r="F34" s="27" t="s">
        <v>43</v>
      </c>
      <c r="G34" s="28" t="s">
        <v>43</v>
      </c>
      <c r="H34" s="29"/>
      <c r="I34" s="29" t="s">
        <v>44</v>
      </c>
      <c r="J34" s="30">
        <v>1</v>
      </c>
      <c r="K34" s="31">
        <f>384</f>
        <v>384</v>
      </c>
      <c r="L34" s="32" t="s">
        <v>1110</v>
      </c>
      <c r="M34" s="31">
        <f>405</f>
        <v>405</v>
      </c>
      <c r="N34" s="32" t="s">
        <v>677</v>
      </c>
      <c r="O34" s="31">
        <f>349</f>
        <v>349</v>
      </c>
      <c r="P34" s="32" t="s">
        <v>874</v>
      </c>
      <c r="Q34" s="31">
        <f>356</f>
        <v>356</v>
      </c>
      <c r="R34" s="32" t="s">
        <v>883</v>
      </c>
      <c r="S34" s="33">
        <f>372.65</f>
        <v>372.65</v>
      </c>
      <c r="T34" s="30">
        <f>32633753</f>
        <v>32633753</v>
      </c>
      <c r="U34" s="30">
        <f>26058</f>
        <v>26058</v>
      </c>
      <c r="V34" s="30">
        <f>12260729844</f>
        <v>12260729844</v>
      </c>
      <c r="W34" s="30">
        <f>9727077</f>
        <v>9727077</v>
      </c>
      <c r="X34" s="34">
        <f>20</f>
        <v>20</v>
      </c>
    </row>
    <row r="35" spans="1:24" x14ac:dyDescent="0.15">
      <c r="A35" s="25" t="s">
        <v>1128</v>
      </c>
      <c r="B35" s="25" t="s">
        <v>111</v>
      </c>
      <c r="C35" s="25" t="s">
        <v>904</v>
      </c>
      <c r="D35" s="25" t="s">
        <v>905</v>
      </c>
      <c r="E35" s="26" t="s">
        <v>43</v>
      </c>
      <c r="F35" s="27" t="s">
        <v>43</v>
      </c>
      <c r="G35" s="28" t="s">
        <v>43</v>
      </c>
      <c r="H35" s="29"/>
      <c r="I35" s="29" t="s">
        <v>44</v>
      </c>
      <c r="J35" s="30">
        <v>1</v>
      </c>
      <c r="K35" s="31">
        <f>36040</f>
        <v>36040</v>
      </c>
      <c r="L35" s="32" t="s">
        <v>1110</v>
      </c>
      <c r="M35" s="31">
        <f>40000</f>
        <v>40000</v>
      </c>
      <c r="N35" s="32" t="s">
        <v>874</v>
      </c>
      <c r="O35" s="31">
        <f>34420</f>
        <v>34420</v>
      </c>
      <c r="P35" s="32" t="s">
        <v>677</v>
      </c>
      <c r="Q35" s="31">
        <f>39260</f>
        <v>39260</v>
      </c>
      <c r="R35" s="32" t="s">
        <v>883</v>
      </c>
      <c r="S35" s="33">
        <f>37531</f>
        <v>37531</v>
      </c>
      <c r="T35" s="30">
        <f>218655</f>
        <v>218655</v>
      </c>
      <c r="U35" s="30" t="str">
        <f>"－"</f>
        <v>－</v>
      </c>
      <c r="V35" s="30">
        <f>8193037280</f>
        <v>8193037280</v>
      </c>
      <c r="W35" s="30" t="str">
        <f>"－"</f>
        <v>－</v>
      </c>
      <c r="X35" s="34">
        <f>20</f>
        <v>20</v>
      </c>
    </row>
    <row r="36" spans="1:24" x14ac:dyDescent="0.15">
      <c r="A36" s="25" t="s">
        <v>1128</v>
      </c>
      <c r="B36" s="25" t="s">
        <v>112</v>
      </c>
      <c r="C36" s="25" t="s">
        <v>906</v>
      </c>
      <c r="D36" s="25" t="s">
        <v>907</v>
      </c>
      <c r="E36" s="26" t="s">
        <v>43</v>
      </c>
      <c r="F36" s="27" t="s">
        <v>43</v>
      </c>
      <c r="G36" s="28" t="s">
        <v>43</v>
      </c>
      <c r="H36" s="29"/>
      <c r="I36" s="29" t="s">
        <v>44</v>
      </c>
      <c r="J36" s="30">
        <v>1</v>
      </c>
      <c r="K36" s="31">
        <f>605</f>
        <v>605</v>
      </c>
      <c r="L36" s="32" t="s">
        <v>1110</v>
      </c>
      <c r="M36" s="31">
        <f>632</f>
        <v>632</v>
      </c>
      <c r="N36" s="32" t="s">
        <v>677</v>
      </c>
      <c r="O36" s="31">
        <f>542</f>
        <v>542</v>
      </c>
      <c r="P36" s="32" t="s">
        <v>874</v>
      </c>
      <c r="Q36" s="31">
        <f>550</f>
        <v>550</v>
      </c>
      <c r="R36" s="32" t="s">
        <v>883</v>
      </c>
      <c r="S36" s="33">
        <f>579.95</f>
        <v>579.95000000000005</v>
      </c>
      <c r="T36" s="30">
        <f>2731913</f>
        <v>2731913</v>
      </c>
      <c r="U36" s="30" t="str">
        <f>"－"</f>
        <v>－</v>
      </c>
      <c r="V36" s="30">
        <f>1598929259</f>
        <v>1598929259</v>
      </c>
      <c r="W36" s="30" t="str">
        <f>"－"</f>
        <v>－</v>
      </c>
      <c r="X36" s="34">
        <f>20</f>
        <v>20</v>
      </c>
    </row>
    <row r="37" spans="1:24" x14ac:dyDescent="0.15">
      <c r="A37" s="25" t="s">
        <v>1128</v>
      </c>
      <c r="B37" s="25" t="s">
        <v>113</v>
      </c>
      <c r="C37" s="25" t="s">
        <v>114</v>
      </c>
      <c r="D37" s="25" t="s">
        <v>115</v>
      </c>
      <c r="E37" s="26" t="s">
        <v>43</v>
      </c>
      <c r="F37" s="27" t="s">
        <v>43</v>
      </c>
      <c r="G37" s="28" t="s">
        <v>43</v>
      </c>
      <c r="H37" s="29"/>
      <c r="I37" s="29" t="s">
        <v>44</v>
      </c>
      <c r="J37" s="30">
        <v>1</v>
      </c>
      <c r="K37" s="31">
        <f>39400</f>
        <v>39400</v>
      </c>
      <c r="L37" s="32" t="s">
        <v>1110</v>
      </c>
      <c r="M37" s="31">
        <f>41160</f>
        <v>41160</v>
      </c>
      <c r="N37" s="32" t="s">
        <v>874</v>
      </c>
      <c r="O37" s="31">
        <f>38370</f>
        <v>38370</v>
      </c>
      <c r="P37" s="32" t="s">
        <v>677</v>
      </c>
      <c r="Q37" s="31">
        <f>40800</f>
        <v>40800</v>
      </c>
      <c r="R37" s="32" t="s">
        <v>883</v>
      </c>
      <c r="S37" s="33">
        <f>39959</f>
        <v>39959</v>
      </c>
      <c r="T37" s="30">
        <f>848928</f>
        <v>848928</v>
      </c>
      <c r="U37" s="30">
        <f>755001</f>
        <v>755001</v>
      </c>
      <c r="V37" s="30">
        <f>34711595590</f>
        <v>34711595590</v>
      </c>
      <c r="W37" s="30">
        <f>30944303510</f>
        <v>30944303510</v>
      </c>
      <c r="X37" s="34">
        <f>20</f>
        <v>20</v>
      </c>
    </row>
    <row r="38" spans="1:24" x14ac:dyDescent="0.15">
      <c r="A38" s="25" t="s">
        <v>1128</v>
      </c>
      <c r="B38" s="25" t="s">
        <v>116</v>
      </c>
      <c r="C38" s="25" t="s">
        <v>117</v>
      </c>
      <c r="D38" s="25" t="s">
        <v>118</v>
      </c>
      <c r="E38" s="26" t="s">
        <v>43</v>
      </c>
      <c r="F38" s="27" t="s">
        <v>43</v>
      </c>
      <c r="G38" s="28" t="s">
        <v>43</v>
      </c>
      <c r="H38" s="29"/>
      <c r="I38" s="29" t="s">
        <v>44</v>
      </c>
      <c r="J38" s="30">
        <v>1</v>
      </c>
      <c r="K38" s="31">
        <f>39730</f>
        <v>39730</v>
      </c>
      <c r="L38" s="32" t="s">
        <v>1110</v>
      </c>
      <c r="M38" s="31">
        <f>41560</f>
        <v>41560</v>
      </c>
      <c r="N38" s="32" t="s">
        <v>874</v>
      </c>
      <c r="O38" s="31">
        <f>38750</f>
        <v>38750</v>
      </c>
      <c r="P38" s="32" t="s">
        <v>677</v>
      </c>
      <c r="Q38" s="31">
        <f>41190</f>
        <v>41190</v>
      </c>
      <c r="R38" s="32" t="s">
        <v>883</v>
      </c>
      <c r="S38" s="33">
        <f>40336</f>
        <v>40336</v>
      </c>
      <c r="T38" s="30">
        <f>132709</f>
        <v>132709</v>
      </c>
      <c r="U38" s="30">
        <f>4900</f>
        <v>4900</v>
      </c>
      <c r="V38" s="30">
        <f>5333279450</f>
        <v>5333279450</v>
      </c>
      <c r="W38" s="30">
        <f>202296500</f>
        <v>202296500</v>
      </c>
      <c r="X38" s="34">
        <f>20</f>
        <v>20</v>
      </c>
    </row>
    <row r="39" spans="1:24" x14ac:dyDescent="0.15">
      <c r="A39" s="25" t="s">
        <v>1128</v>
      </c>
      <c r="B39" s="25" t="s">
        <v>119</v>
      </c>
      <c r="C39" s="25" t="s">
        <v>120</v>
      </c>
      <c r="D39" s="25" t="s">
        <v>121</v>
      </c>
      <c r="E39" s="26" t="s">
        <v>43</v>
      </c>
      <c r="F39" s="27" t="s">
        <v>43</v>
      </c>
      <c r="G39" s="28" t="s">
        <v>43</v>
      </c>
      <c r="H39" s="29"/>
      <c r="I39" s="29" t="s">
        <v>44</v>
      </c>
      <c r="J39" s="30">
        <v>10</v>
      </c>
      <c r="K39" s="31">
        <f>1768.5</f>
        <v>1768.5</v>
      </c>
      <c r="L39" s="32" t="s">
        <v>1110</v>
      </c>
      <c r="M39" s="31">
        <f>1867</f>
        <v>1867</v>
      </c>
      <c r="N39" s="32" t="s">
        <v>679</v>
      </c>
      <c r="O39" s="31">
        <f>1696.5</f>
        <v>1696.5</v>
      </c>
      <c r="P39" s="32" t="s">
        <v>1123</v>
      </c>
      <c r="Q39" s="31">
        <f>1840.5</f>
        <v>1840.5</v>
      </c>
      <c r="R39" s="32" t="s">
        <v>883</v>
      </c>
      <c r="S39" s="33">
        <f>1783.35</f>
        <v>1783.35</v>
      </c>
      <c r="T39" s="30">
        <f>2166460</f>
        <v>2166460</v>
      </c>
      <c r="U39" s="30">
        <f>1127650</f>
        <v>1127650</v>
      </c>
      <c r="V39" s="30">
        <f>3879616049</f>
        <v>3879616049</v>
      </c>
      <c r="W39" s="30">
        <f>2034806449</f>
        <v>2034806449</v>
      </c>
      <c r="X39" s="34">
        <f>20</f>
        <v>20</v>
      </c>
    </row>
    <row r="40" spans="1:24" x14ac:dyDescent="0.15">
      <c r="A40" s="25" t="s">
        <v>1128</v>
      </c>
      <c r="B40" s="25" t="s">
        <v>122</v>
      </c>
      <c r="C40" s="25" t="s">
        <v>123</v>
      </c>
      <c r="D40" s="25" t="s">
        <v>124</v>
      </c>
      <c r="E40" s="26" t="s">
        <v>43</v>
      </c>
      <c r="F40" s="27" t="s">
        <v>43</v>
      </c>
      <c r="G40" s="28" t="s">
        <v>43</v>
      </c>
      <c r="H40" s="29"/>
      <c r="I40" s="29" t="s">
        <v>44</v>
      </c>
      <c r="J40" s="30">
        <v>10</v>
      </c>
      <c r="K40" s="31">
        <f>2159</f>
        <v>2159</v>
      </c>
      <c r="L40" s="32" t="s">
        <v>1110</v>
      </c>
      <c r="M40" s="31">
        <f>2277</f>
        <v>2277</v>
      </c>
      <c r="N40" s="32" t="s">
        <v>1111</v>
      </c>
      <c r="O40" s="31">
        <f>2077</f>
        <v>2077</v>
      </c>
      <c r="P40" s="32" t="s">
        <v>1117</v>
      </c>
      <c r="Q40" s="31">
        <f>2231</f>
        <v>2231</v>
      </c>
      <c r="R40" s="32" t="s">
        <v>883</v>
      </c>
      <c r="S40" s="33">
        <f>2168.18</f>
        <v>2168.1799999999998</v>
      </c>
      <c r="T40" s="30">
        <f>7620</f>
        <v>7620</v>
      </c>
      <c r="U40" s="30">
        <f>10</f>
        <v>10</v>
      </c>
      <c r="V40" s="30">
        <f>16611935</f>
        <v>16611935</v>
      </c>
      <c r="W40" s="30">
        <f>22070</f>
        <v>22070</v>
      </c>
      <c r="X40" s="34">
        <f>20</f>
        <v>20</v>
      </c>
    </row>
    <row r="41" spans="1:24" x14ac:dyDescent="0.15">
      <c r="A41" s="25" t="s">
        <v>1128</v>
      </c>
      <c r="B41" s="25" t="s">
        <v>1119</v>
      </c>
      <c r="C41" s="25" t="s">
        <v>1120</v>
      </c>
      <c r="D41" s="25" t="s">
        <v>1121</v>
      </c>
      <c r="E41" s="26" t="s">
        <v>43</v>
      </c>
      <c r="F41" s="27" t="s">
        <v>43</v>
      </c>
      <c r="G41" s="28" t="s">
        <v>43</v>
      </c>
      <c r="H41" s="29"/>
      <c r="I41" s="29" t="s">
        <v>44</v>
      </c>
      <c r="J41" s="30">
        <v>1</v>
      </c>
      <c r="K41" s="31">
        <f>1992</f>
        <v>1992</v>
      </c>
      <c r="L41" s="32" t="s">
        <v>1110</v>
      </c>
      <c r="M41" s="31">
        <f>2007</f>
        <v>2007</v>
      </c>
      <c r="N41" s="32" t="s">
        <v>883</v>
      </c>
      <c r="O41" s="31">
        <f>1966</f>
        <v>1966</v>
      </c>
      <c r="P41" s="32" t="s">
        <v>684</v>
      </c>
      <c r="Q41" s="31">
        <f>2007</f>
        <v>2007</v>
      </c>
      <c r="R41" s="32" t="s">
        <v>883</v>
      </c>
      <c r="S41" s="33">
        <f>1986.85</f>
        <v>1986.85</v>
      </c>
      <c r="T41" s="30">
        <f>217722</f>
        <v>217722</v>
      </c>
      <c r="U41" s="30" t="str">
        <f>"－"</f>
        <v>－</v>
      </c>
      <c r="V41" s="30">
        <f>432496336</f>
        <v>432496336</v>
      </c>
      <c r="W41" s="30" t="str">
        <f>"－"</f>
        <v>－</v>
      </c>
      <c r="X41" s="34">
        <f>20</f>
        <v>20</v>
      </c>
    </row>
    <row r="42" spans="1:24" x14ac:dyDescent="0.15">
      <c r="A42" s="25" t="s">
        <v>1128</v>
      </c>
      <c r="B42" s="25" t="s">
        <v>125</v>
      </c>
      <c r="C42" s="25" t="s">
        <v>908</v>
      </c>
      <c r="D42" s="25" t="s">
        <v>909</v>
      </c>
      <c r="E42" s="26" t="s">
        <v>43</v>
      </c>
      <c r="F42" s="27" t="s">
        <v>43</v>
      </c>
      <c r="G42" s="28" t="s">
        <v>43</v>
      </c>
      <c r="H42" s="29"/>
      <c r="I42" s="29" t="s">
        <v>44</v>
      </c>
      <c r="J42" s="30">
        <v>1</v>
      </c>
      <c r="K42" s="31">
        <f>2684</f>
        <v>2684</v>
      </c>
      <c r="L42" s="32" t="s">
        <v>1110</v>
      </c>
      <c r="M42" s="31">
        <f>2752</f>
        <v>2752</v>
      </c>
      <c r="N42" s="32" t="s">
        <v>677</v>
      </c>
      <c r="O42" s="31">
        <f>2560</f>
        <v>2560</v>
      </c>
      <c r="P42" s="32" t="s">
        <v>874</v>
      </c>
      <c r="Q42" s="31">
        <f>2585</f>
        <v>2585</v>
      </c>
      <c r="R42" s="32" t="s">
        <v>883</v>
      </c>
      <c r="S42" s="33">
        <f>2642.7</f>
        <v>2642.7</v>
      </c>
      <c r="T42" s="30">
        <f>7008043</f>
        <v>7008043</v>
      </c>
      <c r="U42" s="30">
        <f>2601575</f>
        <v>2601575</v>
      </c>
      <c r="V42" s="30">
        <f>18589403483</f>
        <v>18589403483</v>
      </c>
      <c r="W42" s="30">
        <f>6942370746</f>
        <v>6942370746</v>
      </c>
      <c r="X42" s="34">
        <f>20</f>
        <v>20</v>
      </c>
    </row>
    <row r="43" spans="1:24" x14ac:dyDescent="0.15">
      <c r="A43" s="25" t="s">
        <v>1128</v>
      </c>
      <c r="B43" s="25" t="s">
        <v>126</v>
      </c>
      <c r="C43" s="25" t="s">
        <v>910</v>
      </c>
      <c r="D43" s="25" t="s">
        <v>911</v>
      </c>
      <c r="E43" s="26" t="s">
        <v>43</v>
      </c>
      <c r="F43" s="27" t="s">
        <v>43</v>
      </c>
      <c r="G43" s="28" t="s">
        <v>43</v>
      </c>
      <c r="H43" s="29"/>
      <c r="I43" s="29" t="s">
        <v>44</v>
      </c>
      <c r="J43" s="30">
        <v>1</v>
      </c>
      <c r="K43" s="31">
        <f>3290</f>
        <v>3290</v>
      </c>
      <c r="L43" s="32" t="s">
        <v>1110</v>
      </c>
      <c r="M43" s="31">
        <f>3360</f>
        <v>3360</v>
      </c>
      <c r="N43" s="32" t="s">
        <v>677</v>
      </c>
      <c r="O43" s="31">
        <f>3115</f>
        <v>3115</v>
      </c>
      <c r="P43" s="32" t="s">
        <v>874</v>
      </c>
      <c r="Q43" s="31">
        <f>3140</f>
        <v>3140</v>
      </c>
      <c r="R43" s="32" t="s">
        <v>883</v>
      </c>
      <c r="S43" s="33">
        <f>3220.75</f>
        <v>3220.75</v>
      </c>
      <c r="T43" s="30">
        <f>6585797</f>
        <v>6585797</v>
      </c>
      <c r="U43" s="30">
        <f>6276513</f>
        <v>6276513</v>
      </c>
      <c r="V43" s="30">
        <f>21387813211</f>
        <v>21387813211</v>
      </c>
      <c r="W43" s="30">
        <f>20384647871</f>
        <v>20384647871</v>
      </c>
      <c r="X43" s="34">
        <f>20</f>
        <v>20</v>
      </c>
    </row>
    <row r="44" spans="1:24" x14ac:dyDescent="0.15">
      <c r="A44" s="25" t="s">
        <v>1128</v>
      </c>
      <c r="B44" s="25" t="s">
        <v>127</v>
      </c>
      <c r="C44" s="25" t="s">
        <v>128</v>
      </c>
      <c r="D44" s="25" t="s">
        <v>129</v>
      </c>
      <c r="E44" s="26" t="s">
        <v>43</v>
      </c>
      <c r="F44" s="27" t="s">
        <v>43</v>
      </c>
      <c r="G44" s="28" t="s">
        <v>43</v>
      </c>
      <c r="H44" s="29"/>
      <c r="I44" s="29" t="s">
        <v>44</v>
      </c>
      <c r="J44" s="30">
        <v>1</v>
      </c>
      <c r="K44" s="31">
        <f>34170</f>
        <v>34170</v>
      </c>
      <c r="L44" s="32" t="s">
        <v>1110</v>
      </c>
      <c r="M44" s="31">
        <f>37220</f>
        <v>37220</v>
      </c>
      <c r="N44" s="32" t="s">
        <v>874</v>
      </c>
      <c r="O44" s="31">
        <f>32330</f>
        <v>32330</v>
      </c>
      <c r="P44" s="32" t="s">
        <v>677</v>
      </c>
      <c r="Q44" s="31">
        <f>36490</f>
        <v>36490</v>
      </c>
      <c r="R44" s="32" t="s">
        <v>883</v>
      </c>
      <c r="S44" s="33">
        <f>35079</f>
        <v>35079</v>
      </c>
      <c r="T44" s="30">
        <f>5719160</f>
        <v>5719160</v>
      </c>
      <c r="U44" s="30">
        <f>1197</f>
        <v>1197</v>
      </c>
      <c r="V44" s="30">
        <f>200810739990</f>
        <v>200810739990</v>
      </c>
      <c r="W44" s="30">
        <f>41793490</f>
        <v>41793490</v>
      </c>
      <c r="X44" s="34">
        <f>20</f>
        <v>20</v>
      </c>
    </row>
    <row r="45" spans="1:24" x14ac:dyDescent="0.15">
      <c r="A45" s="25" t="s">
        <v>1128</v>
      </c>
      <c r="B45" s="25" t="s">
        <v>130</v>
      </c>
      <c r="C45" s="25" t="s">
        <v>131</v>
      </c>
      <c r="D45" s="25" t="s">
        <v>132</v>
      </c>
      <c r="E45" s="26" t="s">
        <v>43</v>
      </c>
      <c r="F45" s="27" t="s">
        <v>43</v>
      </c>
      <c r="G45" s="28" t="s">
        <v>43</v>
      </c>
      <c r="H45" s="29"/>
      <c r="I45" s="29" t="s">
        <v>44</v>
      </c>
      <c r="J45" s="30">
        <v>1</v>
      </c>
      <c r="K45" s="31">
        <f>596</f>
        <v>596</v>
      </c>
      <c r="L45" s="32" t="s">
        <v>1110</v>
      </c>
      <c r="M45" s="31">
        <f>627</f>
        <v>627</v>
      </c>
      <c r="N45" s="32" t="s">
        <v>677</v>
      </c>
      <c r="O45" s="31">
        <f>541</f>
        <v>541</v>
      </c>
      <c r="P45" s="32" t="s">
        <v>874</v>
      </c>
      <c r="Q45" s="31">
        <f>551</f>
        <v>551</v>
      </c>
      <c r="R45" s="32" t="s">
        <v>883</v>
      </c>
      <c r="S45" s="33">
        <f>577.65</f>
        <v>577.65</v>
      </c>
      <c r="T45" s="30">
        <f>231373762</f>
        <v>231373762</v>
      </c>
      <c r="U45" s="30">
        <f>115818</f>
        <v>115818</v>
      </c>
      <c r="V45" s="30">
        <f>134621380064</f>
        <v>134621380064</v>
      </c>
      <c r="W45" s="30">
        <f>66985376</f>
        <v>66985376</v>
      </c>
      <c r="X45" s="34">
        <f>20</f>
        <v>20</v>
      </c>
    </row>
    <row r="46" spans="1:24" x14ac:dyDescent="0.15">
      <c r="A46" s="25" t="s">
        <v>1128</v>
      </c>
      <c r="B46" s="25" t="s">
        <v>133</v>
      </c>
      <c r="C46" s="25" t="s">
        <v>912</v>
      </c>
      <c r="D46" s="25" t="s">
        <v>913</v>
      </c>
      <c r="E46" s="26" t="s">
        <v>43</v>
      </c>
      <c r="F46" s="27" t="s">
        <v>43</v>
      </c>
      <c r="G46" s="28" t="s">
        <v>43</v>
      </c>
      <c r="H46" s="29"/>
      <c r="I46" s="29" t="s">
        <v>44</v>
      </c>
      <c r="J46" s="30">
        <v>1</v>
      </c>
      <c r="K46" s="31">
        <f>28805</f>
        <v>28805</v>
      </c>
      <c r="L46" s="32" t="s">
        <v>1110</v>
      </c>
      <c r="M46" s="31">
        <f>32070</f>
        <v>32070</v>
      </c>
      <c r="N46" s="32" t="s">
        <v>874</v>
      </c>
      <c r="O46" s="31">
        <f>27640</f>
        <v>27640</v>
      </c>
      <c r="P46" s="32" t="s">
        <v>677</v>
      </c>
      <c r="Q46" s="31">
        <f>31620</f>
        <v>31620</v>
      </c>
      <c r="R46" s="32" t="s">
        <v>883</v>
      </c>
      <c r="S46" s="33">
        <f>30125</f>
        <v>30125</v>
      </c>
      <c r="T46" s="30">
        <f>7040</f>
        <v>7040</v>
      </c>
      <c r="U46" s="30" t="str">
        <f>"－"</f>
        <v>－</v>
      </c>
      <c r="V46" s="30">
        <f>211412605</f>
        <v>211412605</v>
      </c>
      <c r="W46" s="30" t="str">
        <f>"－"</f>
        <v>－</v>
      </c>
      <c r="X46" s="34">
        <f>20</f>
        <v>20</v>
      </c>
    </row>
    <row r="47" spans="1:24" x14ac:dyDescent="0.15">
      <c r="A47" s="25" t="s">
        <v>1128</v>
      </c>
      <c r="B47" s="25" t="s">
        <v>134</v>
      </c>
      <c r="C47" s="25" t="s">
        <v>914</v>
      </c>
      <c r="D47" s="25" t="s">
        <v>915</v>
      </c>
      <c r="E47" s="26" t="s">
        <v>43</v>
      </c>
      <c r="F47" s="27" t="s">
        <v>43</v>
      </c>
      <c r="G47" s="28" t="s">
        <v>43</v>
      </c>
      <c r="H47" s="29"/>
      <c r="I47" s="29" t="s">
        <v>44</v>
      </c>
      <c r="J47" s="30">
        <v>1</v>
      </c>
      <c r="K47" s="31">
        <f>3175</f>
        <v>3175</v>
      </c>
      <c r="L47" s="32" t="s">
        <v>1110</v>
      </c>
      <c r="M47" s="31">
        <f>3235</f>
        <v>3235</v>
      </c>
      <c r="N47" s="32" t="s">
        <v>684</v>
      </c>
      <c r="O47" s="31">
        <f>3035</f>
        <v>3035</v>
      </c>
      <c r="P47" s="32" t="s">
        <v>676</v>
      </c>
      <c r="Q47" s="31">
        <f>3045</f>
        <v>3045</v>
      </c>
      <c r="R47" s="32" t="s">
        <v>1114</v>
      </c>
      <c r="S47" s="33">
        <f>3110.77</f>
        <v>3110.77</v>
      </c>
      <c r="T47" s="30">
        <f>559</f>
        <v>559</v>
      </c>
      <c r="U47" s="30" t="str">
        <f>"－"</f>
        <v>－</v>
      </c>
      <c r="V47" s="30">
        <f>1758055</f>
        <v>1758055</v>
      </c>
      <c r="W47" s="30" t="str">
        <f>"－"</f>
        <v>－</v>
      </c>
      <c r="X47" s="34">
        <f>13</f>
        <v>13</v>
      </c>
    </row>
    <row r="48" spans="1:24" x14ac:dyDescent="0.15">
      <c r="A48" s="25" t="s">
        <v>1128</v>
      </c>
      <c r="B48" s="25" t="s">
        <v>135</v>
      </c>
      <c r="C48" s="25" t="s">
        <v>916</v>
      </c>
      <c r="D48" s="25" t="s">
        <v>917</v>
      </c>
      <c r="E48" s="26" t="s">
        <v>43</v>
      </c>
      <c r="F48" s="27" t="s">
        <v>43</v>
      </c>
      <c r="G48" s="28" t="s">
        <v>43</v>
      </c>
      <c r="H48" s="29"/>
      <c r="I48" s="29" t="s">
        <v>44</v>
      </c>
      <c r="J48" s="30">
        <v>1</v>
      </c>
      <c r="K48" s="31">
        <f>768</f>
        <v>768</v>
      </c>
      <c r="L48" s="32" t="s">
        <v>1110</v>
      </c>
      <c r="M48" s="31">
        <f>889</f>
        <v>889</v>
      </c>
      <c r="N48" s="32" t="s">
        <v>677</v>
      </c>
      <c r="O48" s="31">
        <f>693</f>
        <v>693</v>
      </c>
      <c r="P48" s="32" t="s">
        <v>874</v>
      </c>
      <c r="Q48" s="31">
        <f>706</f>
        <v>706</v>
      </c>
      <c r="R48" s="32" t="s">
        <v>883</v>
      </c>
      <c r="S48" s="33">
        <f>745.25</f>
        <v>745.25</v>
      </c>
      <c r="T48" s="30">
        <f>65109</f>
        <v>65109</v>
      </c>
      <c r="U48" s="30" t="str">
        <f>"－"</f>
        <v>－</v>
      </c>
      <c r="V48" s="30">
        <f>50308283</f>
        <v>50308283</v>
      </c>
      <c r="W48" s="30" t="str">
        <f>"－"</f>
        <v>－</v>
      </c>
      <c r="X48" s="34">
        <f>20</f>
        <v>20</v>
      </c>
    </row>
    <row r="49" spans="1:24" x14ac:dyDescent="0.15">
      <c r="A49" s="25" t="s">
        <v>1128</v>
      </c>
      <c r="B49" s="25" t="s">
        <v>136</v>
      </c>
      <c r="C49" s="25" t="s">
        <v>137</v>
      </c>
      <c r="D49" s="25" t="s">
        <v>138</v>
      </c>
      <c r="E49" s="26" t="s">
        <v>43</v>
      </c>
      <c r="F49" s="27" t="s">
        <v>43</v>
      </c>
      <c r="G49" s="28" t="s">
        <v>43</v>
      </c>
      <c r="H49" s="29"/>
      <c r="I49" s="29" t="s">
        <v>44</v>
      </c>
      <c r="J49" s="30">
        <v>10</v>
      </c>
      <c r="K49" s="31">
        <f>764</f>
        <v>764</v>
      </c>
      <c r="L49" s="32" t="s">
        <v>1110</v>
      </c>
      <c r="M49" s="31">
        <f>807</f>
        <v>807</v>
      </c>
      <c r="N49" s="32" t="s">
        <v>684</v>
      </c>
      <c r="O49" s="31">
        <f>676.5</f>
        <v>676.5</v>
      </c>
      <c r="P49" s="32" t="s">
        <v>679</v>
      </c>
      <c r="Q49" s="31">
        <f>689.8</f>
        <v>689.8</v>
      </c>
      <c r="R49" s="32" t="s">
        <v>883</v>
      </c>
      <c r="S49" s="33">
        <f>722.35</f>
        <v>722.35</v>
      </c>
      <c r="T49" s="30">
        <f>185520</f>
        <v>185520</v>
      </c>
      <c r="U49" s="30">
        <f>60</f>
        <v>60</v>
      </c>
      <c r="V49" s="30">
        <f>138625968</f>
        <v>138625968</v>
      </c>
      <c r="W49" s="30">
        <f>40590</f>
        <v>40590</v>
      </c>
      <c r="X49" s="34">
        <f>20</f>
        <v>20</v>
      </c>
    </row>
    <row r="50" spans="1:24" x14ac:dyDescent="0.15">
      <c r="A50" s="25" t="s">
        <v>1128</v>
      </c>
      <c r="B50" s="25" t="s">
        <v>139</v>
      </c>
      <c r="C50" s="25" t="s">
        <v>140</v>
      </c>
      <c r="D50" s="25" t="s">
        <v>141</v>
      </c>
      <c r="E50" s="26" t="s">
        <v>43</v>
      </c>
      <c r="F50" s="27" t="s">
        <v>43</v>
      </c>
      <c r="G50" s="28" t="s">
        <v>43</v>
      </c>
      <c r="H50" s="29"/>
      <c r="I50" s="29" t="s">
        <v>44</v>
      </c>
      <c r="J50" s="30">
        <v>1</v>
      </c>
      <c r="K50" s="31">
        <f>309</f>
        <v>309</v>
      </c>
      <c r="L50" s="32" t="s">
        <v>1110</v>
      </c>
      <c r="M50" s="31">
        <f>375</f>
        <v>375</v>
      </c>
      <c r="N50" s="32" t="s">
        <v>677</v>
      </c>
      <c r="O50" s="31">
        <f>279</f>
        <v>279</v>
      </c>
      <c r="P50" s="32" t="s">
        <v>883</v>
      </c>
      <c r="Q50" s="31">
        <f>282</f>
        <v>282</v>
      </c>
      <c r="R50" s="32" t="s">
        <v>883</v>
      </c>
      <c r="S50" s="33">
        <f>298.4</f>
        <v>298.39999999999998</v>
      </c>
      <c r="T50" s="30">
        <f>161402</f>
        <v>161402</v>
      </c>
      <c r="U50" s="30" t="str">
        <f>"－"</f>
        <v>－</v>
      </c>
      <c r="V50" s="30">
        <f>51462068</f>
        <v>51462068</v>
      </c>
      <c r="W50" s="30" t="str">
        <f>"－"</f>
        <v>－</v>
      </c>
      <c r="X50" s="34">
        <f>20</f>
        <v>20</v>
      </c>
    </row>
    <row r="51" spans="1:24" x14ac:dyDescent="0.15">
      <c r="A51" s="25" t="s">
        <v>1128</v>
      </c>
      <c r="B51" s="25" t="s">
        <v>142</v>
      </c>
      <c r="C51" s="25" t="s">
        <v>143</v>
      </c>
      <c r="D51" s="25" t="s">
        <v>144</v>
      </c>
      <c r="E51" s="26" t="s">
        <v>43</v>
      </c>
      <c r="F51" s="27" t="s">
        <v>43</v>
      </c>
      <c r="G51" s="28" t="s">
        <v>43</v>
      </c>
      <c r="H51" s="29"/>
      <c r="I51" s="29" t="s">
        <v>44</v>
      </c>
      <c r="J51" s="30">
        <v>10</v>
      </c>
      <c r="K51" s="31">
        <f>2715.5</f>
        <v>2715.5</v>
      </c>
      <c r="L51" s="32" t="s">
        <v>1110</v>
      </c>
      <c r="M51" s="31">
        <f>2953</f>
        <v>2953</v>
      </c>
      <c r="N51" s="32" t="s">
        <v>1110</v>
      </c>
      <c r="O51" s="31">
        <f>2656.5</f>
        <v>2656.5</v>
      </c>
      <c r="P51" s="32" t="s">
        <v>677</v>
      </c>
      <c r="Q51" s="31">
        <f>2841</f>
        <v>2841</v>
      </c>
      <c r="R51" s="32" t="s">
        <v>883</v>
      </c>
      <c r="S51" s="33">
        <f>2785.33</f>
        <v>2785.33</v>
      </c>
      <c r="T51" s="30">
        <f>4317570</f>
        <v>4317570</v>
      </c>
      <c r="U51" s="30">
        <f>2956800</f>
        <v>2956800</v>
      </c>
      <c r="V51" s="30">
        <f>12089603090</f>
        <v>12089603090</v>
      </c>
      <c r="W51" s="30">
        <f>8280989135</f>
        <v>8280989135</v>
      </c>
      <c r="X51" s="34">
        <f>20</f>
        <v>20</v>
      </c>
    </row>
    <row r="52" spans="1:24" x14ac:dyDescent="0.15">
      <c r="A52" s="25" t="s">
        <v>1128</v>
      </c>
      <c r="B52" s="25" t="s">
        <v>145</v>
      </c>
      <c r="C52" s="25" t="s">
        <v>146</v>
      </c>
      <c r="D52" s="25" t="s">
        <v>147</v>
      </c>
      <c r="E52" s="26" t="s">
        <v>43</v>
      </c>
      <c r="F52" s="27" t="s">
        <v>43</v>
      </c>
      <c r="G52" s="28" t="s">
        <v>43</v>
      </c>
      <c r="H52" s="29"/>
      <c r="I52" s="29" t="s">
        <v>44</v>
      </c>
      <c r="J52" s="30">
        <v>1</v>
      </c>
      <c r="K52" s="31">
        <f>24425</f>
        <v>24425</v>
      </c>
      <c r="L52" s="32" t="s">
        <v>1110</v>
      </c>
      <c r="M52" s="31">
        <f>25725</f>
        <v>25725</v>
      </c>
      <c r="N52" s="32" t="s">
        <v>874</v>
      </c>
      <c r="O52" s="31">
        <f>23950</f>
        <v>23950</v>
      </c>
      <c r="P52" s="32" t="s">
        <v>677</v>
      </c>
      <c r="Q52" s="31">
        <f>25560</f>
        <v>25560</v>
      </c>
      <c r="R52" s="32" t="s">
        <v>883</v>
      </c>
      <c r="S52" s="33">
        <f>24931.75</f>
        <v>24931.75</v>
      </c>
      <c r="T52" s="30">
        <f>9847</f>
        <v>9847</v>
      </c>
      <c r="U52" s="30" t="str">
        <f>"－"</f>
        <v>－</v>
      </c>
      <c r="V52" s="30">
        <f>243899320</f>
        <v>243899320</v>
      </c>
      <c r="W52" s="30" t="str">
        <f>"－"</f>
        <v>－</v>
      </c>
      <c r="X52" s="34">
        <f>20</f>
        <v>20</v>
      </c>
    </row>
    <row r="53" spans="1:24" x14ac:dyDescent="0.15">
      <c r="A53" s="25" t="s">
        <v>1128</v>
      </c>
      <c r="B53" s="25" t="s">
        <v>148</v>
      </c>
      <c r="C53" s="25" t="s">
        <v>149</v>
      </c>
      <c r="D53" s="25" t="s">
        <v>150</v>
      </c>
      <c r="E53" s="26" t="s">
        <v>43</v>
      </c>
      <c r="F53" s="27" t="s">
        <v>43</v>
      </c>
      <c r="G53" s="28" t="s">
        <v>43</v>
      </c>
      <c r="H53" s="29"/>
      <c r="I53" s="29" t="s">
        <v>44</v>
      </c>
      <c r="J53" s="30">
        <v>1</v>
      </c>
      <c r="K53" s="31">
        <f>2746</f>
        <v>2746</v>
      </c>
      <c r="L53" s="32" t="s">
        <v>1110</v>
      </c>
      <c r="M53" s="31">
        <f>2890</f>
        <v>2890</v>
      </c>
      <c r="N53" s="32" t="s">
        <v>874</v>
      </c>
      <c r="O53" s="31">
        <f>2682</f>
        <v>2682</v>
      </c>
      <c r="P53" s="32" t="s">
        <v>677</v>
      </c>
      <c r="Q53" s="31">
        <f>2867</f>
        <v>2867</v>
      </c>
      <c r="R53" s="32" t="s">
        <v>883</v>
      </c>
      <c r="S53" s="33">
        <f>2800.35</f>
        <v>2800.35</v>
      </c>
      <c r="T53" s="30">
        <f>23653981</f>
        <v>23653981</v>
      </c>
      <c r="U53" s="30">
        <f>14458735</f>
        <v>14458735</v>
      </c>
      <c r="V53" s="30">
        <f>66002771340</f>
        <v>66002771340</v>
      </c>
      <c r="W53" s="30">
        <f>40287228618</f>
        <v>40287228618</v>
      </c>
      <c r="X53" s="34">
        <f>20</f>
        <v>20</v>
      </c>
    </row>
    <row r="54" spans="1:24" x14ac:dyDescent="0.15">
      <c r="A54" s="25" t="s">
        <v>1128</v>
      </c>
      <c r="B54" s="25" t="s">
        <v>151</v>
      </c>
      <c r="C54" s="25" t="s">
        <v>152</v>
      </c>
      <c r="D54" s="25" t="s">
        <v>153</v>
      </c>
      <c r="E54" s="26" t="s">
        <v>43</v>
      </c>
      <c r="F54" s="27" t="s">
        <v>43</v>
      </c>
      <c r="G54" s="28" t="s">
        <v>43</v>
      </c>
      <c r="H54" s="29"/>
      <c r="I54" s="29" t="s">
        <v>44</v>
      </c>
      <c r="J54" s="30">
        <v>1</v>
      </c>
      <c r="K54" s="31">
        <f>1762</f>
        <v>1762</v>
      </c>
      <c r="L54" s="32" t="s">
        <v>1110</v>
      </c>
      <c r="M54" s="31">
        <f>1890</f>
        <v>1890</v>
      </c>
      <c r="N54" s="32" t="s">
        <v>679</v>
      </c>
      <c r="O54" s="31">
        <f>1715</f>
        <v>1715</v>
      </c>
      <c r="P54" s="32" t="s">
        <v>1123</v>
      </c>
      <c r="Q54" s="31">
        <f>1861</f>
        <v>1861</v>
      </c>
      <c r="R54" s="32" t="s">
        <v>883</v>
      </c>
      <c r="S54" s="33">
        <f>1800.25</f>
        <v>1800.25</v>
      </c>
      <c r="T54" s="30">
        <f>19616730</f>
        <v>19616730</v>
      </c>
      <c r="U54" s="30">
        <f>7753387</f>
        <v>7753387</v>
      </c>
      <c r="V54" s="30">
        <f>35408801614</f>
        <v>35408801614</v>
      </c>
      <c r="W54" s="30">
        <f>14113582911</f>
        <v>14113582911</v>
      </c>
      <c r="X54" s="34">
        <f>20</f>
        <v>20</v>
      </c>
    </row>
    <row r="55" spans="1:24" x14ac:dyDescent="0.15">
      <c r="A55" s="25" t="s">
        <v>1128</v>
      </c>
      <c r="B55" s="25" t="s">
        <v>154</v>
      </c>
      <c r="C55" s="25" t="s">
        <v>155</v>
      </c>
      <c r="D55" s="25" t="s">
        <v>156</v>
      </c>
      <c r="E55" s="26" t="s">
        <v>43</v>
      </c>
      <c r="F55" s="27" t="s">
        <v>43</v>
      </c>
      <c r="G55" s="28" t="s">
        <v>43</v>
      </c>
      <c r="H55" s="29"/>
      <c r="I55" s="29" t="s">
        <v>44</v>
      </c>
      <c r="J55" s="30">
        <v>1</v>
      </c>
      <c r="K55" s="31">
        <f>2501</f>
        <v>2501</v>
      </c>
      <c r="L55" s="32" t="s">
        <v>1110</v>
      </c>
      <c r="M55" s="31">
        <f>2618</f>
        <v>2618</v>
      </c>
      <c r="N55" s="32" t="s">
        <v>874</v>
      </c>
      <c r="O55" s="31">
        <f>2466</f>
        <v>2466</v>
      </c>
      <c r="P55" s="32" t="s">
        <v>677</v>
      </c>
      <c r="Q55" s="31">
        <f>2580</f>
        <v>2580</v>
      </c>
      <c r="R55" s="32" t="s">
        <v>883</v>
      </c>
      <c r="S55" s="33">
        <f>2543.45</f>
        <v>2543.4499999999998</v>
      </c>
      <c r="T55" s="30">
        <f>108332</f>
        <v>108332</v>
      </c>
      <c r="U55" s="30">
        <f>53795</f>
        <v>53795</v>
      </c>
      <c r="V55" s="30">
        <f>279375036</f>
        <v>279375036</v>
      </c>
      <c r="W55" s="30">
        <f>139556042</f>
        <v>139556042</v>
      </c>
      <c r="X55" s="34">
        <f>20</f>
        <v>20</v>
      </c>
    </row>
    <row r="56" spans="1:24" x14ac:dyDescent="0.15">
      <c r="A56" s="25" t="s">
        <v>1128</v>
      </c>
      <c r="B56" s="25" t="s">
        <v>157</v>
      </c>
      <c r="C56" s="25" t="s">
        <v>158</v>
      </c>
      <c r="D56" s="25" t="s">
        <v>159</v>
      </c>
      <c r="E56" s="26" t="s">
        <v>43</v>
      </c>
      <c r="F56" s="27" t="s">
        <v>43</v>
      </c>
      <c r="G56" s="28" t="s">
        <v>43</v>
      </c>
      <c r="H56" s="29"/>
      <c r="I56" s="29" t="s">
        <v>44</v>
      </c>
      <c r="J56" s="30">
        <v>1</v>
      </c>
      <c r="K56" s="31">
        <f>3520</f>
        <v>3520</v>
      </c>
      <c r="L56" s="32" t="s">
        <v>1110</v>
      </c>
      <c r="M56" s="31">
        <f>3670</f>
        <v>3670</v>
      </c>
      <c r="N56" s="32" t="s">
        <v>874</v>
      </c>
      <c r="O56" s="31">
        <f>3420</f>
        <v>3420</v>
      </c>
      <c r="P56" s="32" t="s">
        <v>677</v>
      </c>
      <c r="Q56" s="31">
        <f>3655</f>
        <v>3655</v>
      </c>
      <c r="R56" s="32" t="s">
        <v>883</v>
      </c>
      <c r="S56" s="33">
        <f>3562.75</f>
        <v>3562.75</v>
      </c>
      <c r="T56" s="30">
        <f>1093482</f>
        <v>1093482</v>
      </c>
      <c r="U56" s="30">
        <f>608925</f>
        <v>608925</v>
      </c>
      <c r="V56" s="30">
        <f>3875395244</f>
        <v>3875395244</v>
      </c>
      <c r="W56" s="30">
        <f>2152778444</f>
        <v>2152778444</v>
      </c>
      <c r="X56" s="34">
        <f>20</f>
        <v>20</v>
      </c>
    </row>
    <row r="57" spans="1:24" x14ac:dyDescent="0.15">
      <c r="A57" s="25" t="s">
        <v>1128</v>
      </c>
      <c r="B57" s="25" t="s">
        <v>160</v>
      </c>
      <c r="C57" s="25" t="s">
        <v>918</v>
      </c>
      <c r="D57" s="25" t="s">
        <v>919</v>
      </c>
      <c r="E57" s="26" t="s">
        <v>43</v>
      </c>
      <c r="F57" s="27" t="s">
        <v>43</v>
      </c>
      <c r="G57" s="28" t="s">
        <v>43</v>
      </c>
      <c r="H57" s="29"/>
      <c r="I57" s="29" t="s">
        <v>44</v>
      </c>
      <c r="J57" s="30">
        <v>1</v>
      </c>
      <c r="K57" s="31">
        <f>36000</f>
        <v>36000</v>
      </c>
      <c r="L57" s="32" t="s">
        <v>675</v>
      </c>
      <c r="M57" s="31">
        <f>36190</f>
        <v>36190</v>
      </c>
      <c r="N57" s="32" t="s">
        <v>1111</v>
      </c>
      <c r="O57" s="31">
        <f>34050</f>
        <v>34050</v>
      </c>
      <c r="P57" s="32" t="s">
        <v>677</v>
      </c>
      <c r="Q57" s="31">
        <f>36100</f>
        <v>36100</v>
      </c>
      <c r="R57" s="32" t="s">
        <v>1114</v>
      </c>
      <c r="S57" s="33">
        <f>35345</f>
        <v>35345</v>
      </c>
      <c r="T57" s="30">
        <f>80</f>
        <v>80</v>
      </c>
      <c r="U57" s="30" t="str">
        <f>"－"</f>
        <v>－</v>
      </c>
      <c r="V57" s="30">
        <f>2823450</f>
        <v>2823450</v>
      </c>
      <c r="W57" s="30" t="str">
        <f>"－"</f>
        <v>－</v>
      </c>
      <c r="X57" s="34">
        <f>14</f>
        <v>14</v>
      </c>
    </row>
    <row r="58" spans="1:24" x14ac:dyDescent="0.15">
      <c r="A58" s="25" t="s">
        <v>1128</v>
      </c>
      <c r="B58" s="25" t="s">
        <v>161</v>
      </c>
      <c r="C58" s="25" t="s">
        <v>162</v>
      </c>
      <c r="D58" s="25" t="s">
        <v>163</v>
      </c>
      <c r="E58" s="26" t="s">
        <v>43</v>
      </c>
      <c r="F58" s="27" t="s">
        <v>43</v>
      </c>
      <c r="G58" s="28" t="s">
        <v>43</v>
      </c>
      <c r="H58" s="29"/>
      <c r="I58" s="29" t="s">
        <v>44</v>
      </c>
      <c r="J58" s="30">
        <v>1</v>
      </c>
      <c r="K58" s="31">
        <f>27100</f>
        <v>27100</v>
      </c>
      <c r="L58" s="32" t="s">
        <v>1110</v>
      </c>
      <c r="M58" s="31">
        <f>29215</f>
        <v>29215</v>
      </c>
      <c r="N58" s="32" t="s">
        <v>874</v>
      </c>
      <c r="O58" s="31">
        <f>25900</f>
        <v>25900</v>
      </c>
      <c r="P58" s="32" t="s">
        <v>675</v>
      </c>
      <c r="Q58" s="31">
        <f>28135</f>
        <v>28135</v>
      </c>
      <c r="R58" s="32" t="s">
        <v>883</v>
      </c>
      <c r="S58" s="33">
        <f>27538.67</f>
        <v>27538.67</v>
      </c>
      <c r="T58" s="30">
        <f>175</f>
        <v>175</v>
      </c>
      <c r="U58" s="30" t="str">
        <f>"－"</f>
        <v>－</v>
      </c>
      <c r="V58" s="30">
        <f>4789420</f>
        <v>4789420</v>
      </c>
      <c r="W58" s="30" t="str">
        <f>"－"</f>
        <v>－</v>
      </c>
      <c r="X58" s="34">
        <f>15</f>
        <v>15</v>
      </c>
    </row>
    <row r="59" spans="1:24" x14ac:dyDescent="0.15">
      <c r="A59" s="25" t="s">
        <v>1128</v>
      </c>
      <c r="B59" s="25" t="s">
        <v>164</v>
      </c>
      <c r="C59" s="25" t="s">
        <v>165</v>
      </c>
      <c r="D59" s="25" t="s">
        <v>166</v>
      </c>
      <c r="E59" s="26" t="s">
        <v>43</v>
      </c>
      <c r="F59" s="27" t="s">
        <v>43</v>
      </c>
      <c r="G59" s="28" t="s">
        <v>43</v>
      </c>
      <c r="H59" s="29"/>
      <c r="I59" s="29" t="s">
        <v>44</v>
      </c>
      <c r="J59" s="30">
        <v>1</v>
      </c>
      <c r="K59" s="31">
        <f>2725</f>
        <v>2725</v>
      </c>
      <c r="L59" s="32" t="s">
        <v>1110</v>
      </c>
      <c r="M59" s="31">
        <f>2900</f>
        <v>2900</v>
      </c>
      <c r="N59" s="32" t="s">
        <v>1111</v>
      </c>
      <c r="O59" s="31">
        <f>2665</f>
        <v>2665</v>
      </c>
      <c r="P59" s="32" t="s">
        <v>677</v>
      </c>
      <c r="Q59" s="31">
        <f>2861</f>
        <v>2861</v>
      </c>
      <c r="R59" s="32" t="s">
        <v>883</v>
      </c>
      <c r="S59" s="33">
        <f>2778.58</f>
        <v>2778.58</v>
      </c>
      <c r="T59" s="30">
        <f>2230</f>
        <v>2230</v>
      </c>
      <c r="U59" s="30" t="str">
        <f>"－"</f>
        <v>－</v>
      </c>
      <c r="V59" s="30">
        <f>6180305</f>
        <v>6180305</v>
      </c>
      <c r="W59" s="30" t="str">
        <f>"－"</f>
        <v>－</v>
      </c>
      <c r="X59" s="34">
        <f>19</f>
        <v>19</v>
      </c>
    </row>
    <row r="60" spans="1:24" x14ac:dyDescent="0.15">
      <c r="A60" s="25" t="s">
        <v>1128</v>
      </c>
      <c r="B60" s="25" t="s">
        <v>167</v>
      </c>
      <c r="C60" s="25" t="s">
        <v>168</v>
      </c>
      <c r="D60" s="25" t="s">
        <v>169</v>
      </c>
      <c r="E60" s="26" t="s">
        <v>43</v>
      </c>
      <c r="F60" s="27" t="s">
        <v>43</v>
      </c>
      <c r="G60" s="28" t="s">
        <v>43</v>
      </c>
      <c r="H60" s="29"/>
      <c r="I60" s="29" t="s">
        <v>44</v>
      </c>
      <c r="J60" s="30">
        <v>1</v>
      </c>
      <c r="K60" s="31">
        <f>1743</f>
        <v>1743</v>
      </c>
      <c r="L60" s="32" t="s">
        <v>1110</v>
      </c>
      <c r="M60" s="31">
        <f>1770</f>
        <v>1770</v>
      </c>
      <c r="N60" s="32" t="s">
        <v>684</v>
      </c>
      <c r="O60" s="31">
        <f>1732</f>
        <v>1732</v>
      </c>
      <c r="P60" s="32" t="s">
        <v>680</v>
      </c>
      <c r="Q60" s="31">
        <f>1749</f>
        <v>1749</v>
      </c>
      <c r="R60" s="32" t="s">
        <v>883</v>
      </c>
      <c r="S60" s="33">
        <f>1750.8</f>
        <v>1750.8</v>
      </c>
      <c r="T60" s="30">
        <f>7155288</f>
        <v>7155288</v>
      </c>
      <c r="U60" s="30">
        <f>3752403</f>
        <v>3752403</v>
      </c>
      <c r="V60" s="30">
        <f>12540749699</f>
        <v>12540749699</v>
      </c>
      <c r="W60" s="30">
        <f>6590147681</f>
        <v>6590147681</v>
      </c>
      <c r="X60" s="34">
        <f>20</f>
        <v>20</v>
      </c>
    </row>
    <row r="61" spans="1:24" x14ac:dyDescent="0.15">
      <c r="A61" s="25" t="s">
        <v>1128</v>
      </c>
      <c r="B61" s="25" t="s">
        <v>170</v>
      </c>
      <c r="C61" s="25" t="s">
        <v>171</v>
      </c>
      <c r="D61" s="25" t="s">
        <v>172</v>
      </c>
      <c r="E61" s="26" t="s">
        <v>43</v>
      </c>
      <c r="F61" s="27" t="s">
        <v>43</v>
      </c>
      <c r="G61" s="28" t="s">
        <v>43</v>
      </c>
      <c r="H61" s="29"/>
      <c r="I61" s="29" t="s">
        <v>44</v>
      </c>
      <c r="J61" s="30">
        <v>1</v>
      </c>
      <c r="K61" s="31">
        <f>2687</f>
        <v>2687</v>
      </c>
      <c r="L61" s="32" t="s">
        <v>1110</v>
      </c>
      <c r="M61" s="31">
        <f>2900</f>
        <v>2900</v>
      </c>
      <c r="N61" s="32" t="s">
        <v>874</v>
      </c>
      <c r="O61" s="31">
        <f>2643</f>
        <v>2643</v>
      </c>
      <c r="P61" s="32" t="s">
        <v>675</v>
      </c>
      <c r="Q61" s="31">
        <f>2796</f>
        <v>2796</v>
      </c>
      <c r="R61" s="32" t="s">
        <v>883</v>
      </c>
      <c r="S61" s="33">
        <f>2722.63</f>
        <v>2722.63</v>
      </c>
      <c r="T61" s="30">
        <f>1430</f>
        <v>1430</v>
      </c>
      <c r="U61" s="30" t="str">
        <f>"－"</f>
        <v>－</v>
      </c>
      <c r="V61" s="30">
        <f>3924359</f>
        <v>3924359</v>
      </c>
      <c r="W61" s="30" t="str">
        <f>"－"</f>
        <v>－</v>
      </c>
      <c r="X61" s="34">
        <f>19</f>
        <v>19</v>
      </c>
    </row>
    <row r="62" spans="1:24" x14ac:dyDescent="0.15">
      <c r="A62" s="25" t="s">
        <v>1128</v>
      </c>
      <c r="B62" s="25" t="s">
        <v>173</v>
      </c>
      <c r="C62" s="25" t="s">
        <v>174</v>
      </c>
      <c r="D62" s="25" t="s">
        <v>175</v>
      </c>
      <c r="E62" s="26" t="s">
        <v>43</v>
      </c>
      <c r="F62" s="27" t="s">
        <v>43</v>
      </c>
      <c r="G62" s="28" t="s">
        <v>43</v>
      </c>
      <c r="H62" s="29"/>
      <c r="I62" s="29" t="s">
        <v>44</v>
      </c>
      <c r="J62" s="30">
        <v>10</v>
      </c>
      <c r="K62" s="31">
        <f>2676.5</f>
        <v>2676.5</v>
      </c>
      <c r="L62" s="32" t="s">
        <v>1110</v>
      </c>
      <c r="M62" s="31">
        <f>2804.5</f>
        <v>2804.5</v>
      </c>
      <c r="N62" s="32" t="s">
        <v>883</v>
      </c>
      <c r="O62" s="31">
        <f>2631</f>
        <v>2631</v>
      </c>
      <c r="P62" s="32" t="s">
        <v>677</v>
      </c>
      <c r="Q62" s="31">
        <f>2771.5</f>
        <v>2771.5</v>
      </c>
      <c r="R62" s="32" t="s">
        <v>883</v>
      </c>
      <c r="S62" s="33">
        <f>2718.75</f>
        <v>2718.75</v>
      </c>
      <c r="T62" s="30">
        <f>24610</f>
        <v>24610</v>
      </c>
      <c r="U62" s="30" t="str">
        <f>"－"</f>
        <v>－</v>
      </c>
      <c r="V62" s="30">
        <f>66904100</f>
        <v>66904100</v>
      </c>
      <c r="W62" s="30" t="str">
        <f>"－"</f>
        <v>－</v>
      </c>
      <c r="X62" s="34">
        <f>20</f>
        <v>20</v>
      </c>
    </row>
    <row r="63" spans="1:24" x14ac:dyDescent="0.15">
      <c r="A63" s="25" t="s">
        <v>1128</v>
      </c>
      <c r="B63" s="25" t="s">
        <v>176</v>
      </c>
      <c r="C63" s="25" t="s">
        <v>177</v>
      </c>
      <c r="D63" s="25" t="s">
        <v>178</v>
      </c>
      <c r="E63" s="26" t="s">
        <v>43</v>
      </c>
      <c r="F63" s="27" t="s">
        <v>43</v>
      </c>
      <c r="G63" s="28" t="s">
        <v>43</v>
      </c>
      <c r="H63" s="29"/>
      <c r="I63" s="29" t="s">
        <v>44</v>
      </c>
      <c r="J63" s="30">
        <v>1</v>
      </c>
      <c r="K63" s="31">
        <f>37660</f>
        <v>37660</v>
      </c>
      <c r="L63" s="32" t="s">
        <v>1124</v>
      </c>
      <c r="M63" s="31">
        <f>39230</f>
        <v>39230</v>
      </c>
      <c r="N63" s="32" t="s">
        <v>874</v>
      </c>
      <c r="O63" s="31">
        <f>37610</f>
        <v>37610</v>
      </c>
      <c r="P63" s="32" t="s">
        <v>1115</v>
      </c>
      <c r="Q63" s="31">
        <f>39230</f>
        <v>39230</v>
      </c>
      <c r="R63" s="32" t="s">
        <v>874</v>
      </c>
      <c r="S63" s="33">
        <f>38371.43</f>
        <v>38371.43</v>
      </c>
      <c r="T63" s="30">
        <f>41</f>
        <v>41</v>
      </c>
      <c r="U63" s="30" t="str">
        <f>"－"</f>
        <v>－</v>
      </c>
      <c r="V63" s="30">
        <f>1588010</f>
        <v>1588010</v>
      </c>
      <c r="W63" s="30" t="str">
        <f>"－"</f>
        <v>－</v>
      </c>
      <c r="X63" s="34">
        <f>7</f>
        <v>7</v>
      </c>
    </row>
    <row r="64" spans="1:24" x14ac:dyDescent="0.15">
      <c r="A64" s="25" t="s">
        <v>1128</v>
      </c>
      <c r="B64" s="25" t="s">
        <v>179</v>
      </c>
      <c r="C64" s="25" t="s">
        <v>180</v>
      </c>
      <c r="D64" s="25" t="s">
        <v>181</v>
      </c>
      <c r="E64" s="26" t="s">
        <v>43</v>
      </c>
      <c r="F64" s="27" t="s">
        <v>43</v>
      </c>
      <c r="G64" s="28" t="s">
        <v>43</v>
      </c>
      <c r="H64" s="29"/>
      <c r="I64" s="29" t="s">
        <v>44</v>
      </c>
      <c r="J64" s="30">
        <v>1</v>
      </c>
      <c r="K64" s="31">
        <f>23240</f>
        <v>23240</v>
      </c>
      <c r="L64" s="32" t="s">
        <v>1110</v>
      </c>
      <c r="M64" s="31">
        <f>23695</f>
        <v>23695</v>
      </c>
      <c r="N64" s="32" t="s">
        <v>1114</v>
      </c>
      <c r="O64" s="31">
        <f>22940</f>
        <v>22940</v>
      </c>
      <c r="P64" s="32" t="s">
        <v>875</v>
      </c>
      <c r="Q64" s="31">
        <f>23615</f>
        <v>23615</v>
      </c>
      <c r="R64" s="32" t="s">
        <v>883</v>
      </c>
      <c r="S64" s="33">
        <f>23317.5</f>
        <v>23317.5</v>
      </c>
      <c r="T64" s="30">
        <f>938455</f>
        <v>938455</v>
      </c>
      <c r="U64" s="30">
        <f>912954</f>
        <v>912954</v>
      </c>
      <c r="V64" s="30">
        <f>22031447905</f>
        <v>22031447905</v>
      </c>
      <c r="W64" s="30">
        <f>21439621550</f>
        <v>21439621550</v>
      </c>
      <c r="X64" s="34">
        <f>20</f>
        <v>20</v>
      </c>
    </row>
    <row r="65" spans="1:24" x14ac:dyDescent="0.15">
      <c r="A65" s="25" t="s">
        <v>1128</v>
      </c>
      <c r="B65" s="25" t="s">
        <v>182</v>
      </c>
      <c r="C65" s="25" t="s">
        <v>183</v>
      </c>
      <c r="D65" s="25" t="s">
        <v>184</v>
      </c>
      <c r="E65" s="26" t="s">
        <v>43</v>
      </c>
      <c r="F65" s="27" t="s">
        <v>43</v>
      </c>
      <c r="G65" s="28" t="s">
        <v>43</v>
      </c>
      <c r="H65" s="29"/>
      <c r="I65" s="29" t="s">
        <v>44</v>
      </c>
      <c r="J65" s="30">
        <v>1</v>
      </c>
      <c r="K65" s="31">
        <f>13365</f>
        <v>13365</v>
      </c>
      <c r="L65" s="32" t="s">
        <v>1110</v>
      </c>
      <c r="M65" s="31">
        <f>13570</f>
        <v>13570</v>
      </c>
      <c r="N65" s="32" t="s">
        <v>1113</v>
      </c>
      <c r="O65" s="31">
        <f>13285</f>
        <v>13285</v>
      </c>
      <c r="P65" s="32" t="s">
        <v>680</v>
      </c>
      <c r="Q65" s="31">
        <f>13420</f>
        <v>13420</v>
      </c>
      <c r="R65" s="32" t="s">
        <v>883</v>
      </c>
      <c r="S65" s="33">
        <f>13428.75</f>
        <v>13428.75</v>
      </c>
      <c r="T65" s="30">
        <f>820493</f>
        <v>820493</v>
      </c>
      <c r="U65" s="30">
        <f>693866</f>
        <v>693866</v>
      </c>
      <c r="V65" s="30">
        <f>10972167390</f>
        <v>10972167390</v>
      </c>
      <c r="W65" s="30">
        <f>9274648275</f>
        <v>9274648275</v>
      </c>
      <c r="X65" s="34">
        <f>20</f>
        <v>20</v>
      </c>
    </row>
    <row r="66" spans="1:24" x14ac:dyDescent="0.15">
      <c r="A66" s="25" t="s">
        <v>1128</v>
      </c>
      <c r="B66" s="25" t="s">
        <v>185</v>
      </c>
      <c r="C66" s="25" t="s">
        <v>920</v>
      </c>
      <c r="D66" s="25" t="s">
        <v>921</v>
      </c>
      <c r="E66" s="26" t="s">
        <v>43</v>
      </c>
      <c r="F66" s="27" t="s">
        <v>43</v>
      </c>
      <c r="G66" s="28" t="s">
        <v>43</v>
      </c>
      <c r="H66" s="29"/>
      <c r="I66" s="29" t="s">
        <v>44</v>
      </c>
      <c r="J66" s="30">
        <v>10</v>
      </c>
      <c r="K66" s="31">
        <f>1769.5</f>
        <v>1769.5</v>
      </c>
      <c r="L66" s="32" t="s">
        <v>1110</v>
      </c>
      <c r="M66" s="31">
        <f>1878</f>
        <v>1878</v>
      </c>
      <c r="N66" s="32" t="s">
        <v>679</v>
      </c>
      <c r="O66" s="31">
        <f>1704.5</f>
        <v>1704.5</v>
      </c>
      <c r="P66" s="32" t="s">
        <v>1123</v>
      </c>
      <c r="Q66" s="31">
        <f>1851</f>
        <v>1851</v>
      </c>
      <c r="R66" s="32" t="s">
        <v>883</v>
      </c>
      <c r="S66" s="33">
        <f>1788.35</f>
        <v>1788.35</v>
      </c>
      <c r="T66" s="30">
        <f>7330660</f>
        <v>7330660</v>
      </c>
      <c r="U66" s="30">
        <f>1154150</f>
        <v>1154150</v>
      </c>
      <c r="V66" s="30">
        <f>13392792808</f>
        <v>13392792808</v>
      </c>
      <c r="W66" s="30">
        <f>2109514218</f>
        <v>2109514218</v>
      </c>
      <c r="X66" s="34">
        <f>20</f>
        <v>20</v>
      </c>
    </row>
    <row r="67" spans="1:24" x14ac:dyDescent="0.15">
      <c r="A67" s="25" t="s">
        <v>1128</v>
      </c>
      <c r="B67" s="25" t="s">
        <v>186</v>
      </c>
      <c r="C67" s="25" t="s">
        <v>187</v>
      </c>
      <c r="D67" s="25" t="s">
        <v>188</v>
      </c>
      <c r="E67" s="26" t="s">
        <v>43</v>
      </c>
      <c r="F67" s="27" t="s">
        <v>43</v>
      </c>
      <c r="G67" s="28" t="s">
        <v>43</v>
      </c>
      <c r="H67" s="29"/>
      <c r="I67" s="29" t="s">
        <v>44</v>
      </c>
      <c r="J67" s="30">
        <v>1</v>
      </c>
      <c r="K67" s="31">
        <f>2219</f>
        <v>2219</v>
      </c>
      <c r="L67" s="32" t="s">
        <v>1110</v>
      </c>
      <c r="M67" s="31">
        <f>2330</f>
        <v>2330</v>
      </c>
      <c r="N67" s="32" t="s">
        <v>1114</v>
      </c>
      <c r="O67" s="31">
        <f>2162</f>
        <v>2162</v>
      </c>
      <c r="P67" s="32" t="s">
        <v>677</v>
      </c>
      <c r="Q67" s="31">
        <f>2315</f>
        <v>2315</v>
      </c>
      <c r="R67" s="32" t="s">
        <v>883</v>
      </c>
      <c r="S67" s="33">
        <f>2259.65</f>
        <v>2259.65</v>
      </c>
      <c r="T67" s="30">
        <f>18827013</f>
        <v>18827013</v>
      </c>
      <c r="U67" s="30">
        <f>2439027</f>
        <v>2439027</v>
      </c>
      <c r="V67" s="30">
        <f>42544427212</f>
        <v>42544427212</v>
      </c>
      <c r="W67" s="30">
        <f>5492694245</f>
        <v>5492694245</v>
      </c>
      <c r="X67" s="34">
        <f>20</f>
        <v>20</v>
      </c>
    </row>
    <row r="68" spans="1:24" x14ac:dyDescent="0.15">
      <c r="A68" s="25" t="s">
        <v>1128</v>
      </c>
      <c r="B68" s="25" t="s">
        <v>189</v>
      </c>
      <c r="C68" s="25" t="s">
        <v>190</v>
      </c>
      <c r="D68" s="25" t="s">
        <v>191</v>
      </c>
      <c r="E68" s="26" t="s">
        <v>43</v>
      </c>
      <c r="F68" s="27" t="s">
        <v>43</v>
      </c>
      <c r="G68" s="28" t="s">
        <v>43</v>
      </c>
      <c r="H68" s="29"/>
      <c r="I68" s="29" t="s">
        <v>44</v>
      </c>
      <c r="J68" s="30">
        <v>10</v>
      </c>
      <c r="K68" s="31">
        <f>7640</f>
        <v>7640</v>
      </c>
      <c r="L68" s="32" t="s">
        <v>1110</v>
      </c>
      <c r="M68" s="31">
        <f>7640</f>
        <v>7640</v>
      </c>
      <c r="N68" s="32" t="s">
        <v>1110</v>
      </c>
      <c r="O68" s="31">
        <f>7438</f>
        <v>7438</v>
      </c>
      <c r="P68" s="32" t="s">
        <v>674</v>
      </c>
      <c r="Q68" s="31">
        <f>7552</f>
        <v>7552</v>
      </c>
      <c r="R68" s="32" t="s">
        <v>1111</v>
      </c>
      <c r="S68" s="33">
        <f>7541.63</f>
        <v>7541.63</v>
      </c>
      <c r="T68" s="30">
        <f>50310</f>
        <v>50310</v>
      </c>
      <c r="U68" s="30">
        <f>50000</f>
        <v>50000</v>
      </c>
      <c r="V68" s="30">
        <f>379458310</f>
        <v>379458310</v>
      </c>
      <c r="W68" s="30">
        <f>377120000</f>
        <v>377120000</v>
      </c>
      <c r="X68" s="34">
        <f>8</f>
        <v>8</v>
      </c>
    </row>
    <row r="69" spans="1:24" x14ac:dyDescent="0.15">
      <c r="A69" s="25" t="s">
        <v>1128</v>
      </c>
      <c r="B69" s="25" t="s">
        <v>192</v>
      </c>
      <c r="C69" s="25" t="s">
        <v>193</v>
      </c>
      <c r="D69" s="25" t="s">
        <v>194</v>
      </c>
      <c r="E69" s="26" t="s">
        <v>43</v>
      </c>
      <c r="F69" s="27" t="s">
        <v>43</v>
      </c>
      <c r="G69" s="28" t="s">
        <v>43</v>
      </c>
      <c r="H69" s="29" t="s">
        <v>761</v>
      </c>
      <c r="I69" s="29"/>
      <c r="J69" s="30">
        <v>1</v>
      </c>
      <c r="K69" s="31">
        <f>18710</f>
        <v>18710</v>
      </c>
      <c r="L69" s="32" t="s">
        <v>1110</v>
      </c>
      <c r="M69" s="31">
        <f>21040</f>
        <v>21040</v>
      </c>
      <c r="N69" s="32" t="s">
        <v>1124</v>
      </c>
      <c r="O69" s="31">
        <f>18375</f>
        <v>18375</v>
      </c>
      <c r="P69" s="32" t="s">
        <v>875</v>
      </c>
      <c r="Q69" s="31">
        <f>19700</f>
        <v>19700</v>
      </c>
      <c r="R69" s="32" t="s">
        <v>883</v>
      </c>
      <c r="S69" s="33">
        <f>19301.5</f>
        <v>19301.5</v>
      </c>
      <c r="T69" s="30">
        <f>8424</f>
        <v>8424</v>
      </c>
      <c r="U69" s="30" t="str">
        <f>"－"</f>
        <v>－</v>
      </c>
      <c r="V69" s="30">
        <f>160684015</f>
        <v>160684015</v>
      </c>
      <c r="W69" s="30" t="str">
        <f>"－"</f>
        <v>－</v>
      </c>
      <c r="X69" s="34">
        <f>20</f>
        <v>20</v>
      </c>
    </row>
    <row r="70" spans="1:24" x14ac:dyDescent="0.15">
      <c r="A70" s="25" t="s">
        <v>1128</v>
      </c>
      <c r="B70" s="25" t="s">
        <v>195</v>
      </c>
      <c r="C70" s="25" t="s">
        <v>196</v>
      </c>
      <c r="D70" s="25" t="s">
        <v>197</v>
      </c>
      <c r="E70" s="26" t="s">
        <v>43</v>
      </c>
      <c r="F70" s="27" t="s">
        <v>43</v>
      </c>
      <c r="G70" s="28" t="s">
        <v>43</v>
      </c>
      <c r="H70" s="29"/>
      <c r="I70" s="29" t="s">
        <v>44</v>
      </c>
      <c r="J70" s="30">
        <v>1</v>
      </c>
      <c r="K70" s="31">
        <f>19385</f>
        <v>19385</v>
      </c>
      <c r="L70" s="32" t="s">
        <v>1110</v>
      </c>
      <c r="M70" s="31">
        <f>20270</f>
        <v>20270</v>
      </c>
      <c r="N70" s="32" t="s">
        <v>1114</v>
      </c>
      <c r="O70" s="31">
        <f>18810</f>
        <v>18810</v>
      </c>
      <c r="P70" s="32" t="s">
        <v>677</v>
      </c>
      <c r="Q70" s="31">
        <f>20195</f>
        <v>20195</v>
      </c>
      <c r="R70" s="32" t="s">
        <v>883</v>
      </c>
      <c r="S70" s="33">
        <f>19473.5</f>
        <v>19473.5</v>
      </c>
      <c r="T70" s="30">
        <f>10206</f>
        <v>10206</v>
      </c>
      <c r="U70" s="30">
        <f>4</f>
        <v>4</v>
      </c>
      <c r="V70" s="30">
        <f>200059650</f>
        <v>200059650</v>
      </c>
      <c r="W70" s="30">
        <f>78070</f>
        <v>78070</v>
      </c>
      <c r="X70" s="34">
        <f>20</f>
        <v>20</v>
      </c>
    </row>
    <row r="71" spans="1:24" x14ac:dyDescent="0.15">
      <c r="A71" s="25" t="s">
        <v>1128</v>
      </c>
      <c r="B71" s="25" t="s">
        <v>198</v>
      </c>
      <c r="C71" s="25" t="s">
        <v>199</v>
      </c>
      <c r="D71" s="25" t="s">
        <v>200</v>
      </c>
      <c r="E71" s="26" t="s">
        <v>43</v>
      </c>
      <c r="F71" s="27" t="s">
        <v>43</v>
      </c>
      <c r="G71" s="28" t="s">
        <v>43</v>
      </c>
      <c r="H71" s="29"/>
      <c r="I71" s="29" t="s">
        <v>44</v>
      </c>
      <c r="J71" s="30">
        <v>1</v>
      </c>
      <c r="K71" s="31">
        <f>29120</f>
        <v>29120</v>
      </c>
      <c r="L71" s="32" t="s">
        <v>1110</v>
      </c>
      <c r="M71" s="31">
        <f>31020</f>
        <v>31020</v>
      </c>
      <c r="N71" s="32" t="s">
        <v>1114</v>
      </c>
      <c r="O71" s="31">
        <f>28655</f>
        <v>28655</v>
      </c>
      <c r="P71" s="32" t="s">
        <v>677</v>
      </c>
      <c r="Q71" s="31">
        <f>30840</f>
        <v>30840</v>
      </c>
      <c r="R71" s="32" t="s">
        <v>883</v>
      </c>
      <c r="S71" s="33">
        <f>29905</f>
        <v>29905</v>
      </c>
      <c r="T71" s="30">
        <f>22064</f>
        <v>22064</v>
      </c>
      <c r="U71" s="30">
        <f>4833</f>
        <v>4833</v>
      </c>
      <c r="V71" s="30">
        <f>660636236</f>
        <v>660636236</v>
      </c>
      <c r="W71" s="30">
        <f>148746886</f>
        <v>148746886</v>
      </c>
      <c r="X71" s="34">
        <f>20</f>
        <v>20</v>
      </c>
    </row>
    <row r="72" spans="1:24" x14ac:dyDescent="0.15">
      <c r="A72" s="25" t="s">
        <v>1128</v>
      </c>
      <c r="B72" s="25" t="s">
        <v>201</v>
      </c>
      <c r="C72" s="25" t="s">
        <v>202</v>
      </c>
      <c r="D72" s="25" t="s">
        <v>203</v>
      </c>
      <c r="E72" s="26" t="s">
        <v>43</v>
      </c>
      <c r="F72" s="27" t="s">
        <v>43</v>
      </c>
      <c r="G72" s="28" t="s">
        <v>43</v>
      </c>
      <c r="H72" s="29"/>
      <c r="I72" s="29" t="s">
        <v>44</v>
      </c>
      <c r="J72" s="30">
        <v>10</v>
      </c>
      <c r="K72" s="31">
        <f>10355</f>
        <v>10355</v>
      </c>
      <c r="L72" s="32" t="s">
        <v>1110</v>
      </c>
      <c r="M72" s="31">
        <f>10360</f>
        <v>10360</v>
      </c>
      <c r="N72" s="32" t="s">
        <v>675</v>
      </c>
      <c r="O72" s="31">
        <f>10060</f>
        <v>10060</v>
      </c>
      <c r="P72" s="32" t="s">
        <v>875</v>
      </c>
      <c r="Q72" s="31">
        <f>10280</f>
        <v>10280</v>
      </c>
      <c r="R72" s="32" t="s">
        <v>883</v>
      </c>
      <c r="S72" s="33">
        <f>10202.25</f>
        <v>10202.25</v>
      </c>
      <c r="T72" s="30">
        <f>11130</f>
        <v>11130</v>
      </c>
      <c r="U72" s="30" t="str">
        <f>"－"</f>
        <v>－</v>
      </c>
      <c r="V72" s="30">
        <f>113667050</f>
        <v>113667050</v>
      </c>
      <c r="W72" s="30" t="str">
        <f>"－"</f>
        <v>－</v>
      </c>
      <c r="X72" s="34">
        <f>20</f>
        <v>20</v>
      </c>
    </row>
    <row r="73" spans="1:24" x14ac:dyDescent="0.15">
      <c r="A73" s="25" t="s">
        <v>1128</v>
      </c>
      <c r="B73" s="25" t="s">
        <v>204</v>
      </c>
      <c r="C73" s="25" t="s">
        <v>205</v>
      </c>
      <c r="D73" s="25" t="s">
        <v>206</v>
      </c>
      <c r="E73" s="26" t="s">
        <v>43</v>
      </c>
      <c r="F73" s="27" t="s">
        <v>43</v>
      </c>
      <c r="G73" s="28" t="s">
        <v>43</v>
      </c>
      <c r="H73" s="29"/>
      <c r="I73" s="29" t="s">
        <v>44</v>
      </c>
      <c r="J73" s="30">
        <v>1</v>
      </c>
      <c r="K73" s="31">
        <f>1861</f>
        <v>1861</v>
      </c>
      <c r="L73" s="32" t="s">
        <v>1110</v>
      </c>
      <c r="M73" s="31">
        <f>1894</f>
        <v>1894</v>
      </c>
      <c r="N73" s="32" t="s">
        <v>684</v>
      </c>
      <c r="O73" s="31">
        <f>1858</f>
        <v>1858</v>
      </c>
      <c r="P73" s="32" t="s">
        <v>1110</v>
      </c>
      <c r="Q73" s="31">
        <f>1884</f>
        <v>1884</v>
      </c>
      <c r="R73" s="32" t="s">
        <v>883</v>
      </c>
      <c r="S73" s="33">
        <f>1877.45</f>
        <v>1877.45</v>
      </c>
      <c r="T73" s="30">
        <f>1221745</f>
        <v>1221745</v>
      </c>
      <c r="U73" s="30">
        <f>711469</f>
        <v>711469</v>
      </c>
      <c r="V73" s="30">
        <f>2288249916</f>
        <v>2288249916</v>
      </c>
      <c r="W73" s="30">
        <f>1330418191</f>
        <v>1330418191</v>
      </c>
      <c r="X73" s="34">
        <f>20</f>
        <v>20</v>
      </c>
    </row>
    <row r="74" spans="1:24" x14ac:dyDescent="0.15">
      <c r="A74" s="25" t="s">
        <v>1128</v>
      </c>
      <c r="B74" s="25" t="s">
        <v>207</v>
      </c>
      <c r="C74" s="25" t="s">
        <v>208</v>
      </c>
      <c r="D74" s="25" t="s">
        <v>209</v>
      </c>
      <c r="E74" s="26" t="s">
        <v>43</v>
      </c>
      <c r="F74" s="27" t="s">
        <v>43</v>
      </c>
      <c r="G74" s="28" t="s">
        <v>43</v>
      </c>
      <c r="H74" s="29"/>
      <c r="I74" s="29" t="s">
        <v>44</v>
      </c>
      <c r="J74" s="30">
        <v>1</v>
      </c>
      <c r="K74" s="31">
        <f>1888</f>
        <v>1888</v>
      </c>
      <c r="L74" s="32" t="s">
        <v>1110</v>
      </c>
      <c r="M74" s="31">
        <f>1910</f>
        <v>1910</v>
      </c>
      <c r="N74" s="32" t="s">
        <v>883</v>
      </c>
      <c r="O74" s="31">
        <f>1885</f>
        <v>1885</v>
      </c>
      <c r="P74" s="32" t="s">
        <v>1110</v>
      </c>
      <c r="Q74" s="31">
        <f>1909</f>
        <v>1909</v>
      </c>
      <c r="R74" s="32" t="s">
        <v>883</v>
      </c>
      <c r="S74" s="33">
        <f>1897.15</f>
        <v>1897.15</v>
      </c>
      <c r="T74" s="30">
        <f>814215</f>
        <v>814215</v>
      </c>
      <c r="U74" s="30">
        <f>220020</f>
        <v>220020</v>
      </c>
      <c r="V74" s="30">
        <f>1545119443</f>
        <v>1545119443</v>
      </c>
      <c r="W74" s="30">
        <f>418129420</f>
        <v>418129420</v>
      </c>
      <c r="X74" s="34">
        <f>20</f>
        <v>20</v>
      </c>
    </row>
    <row r="75" spans="1:24" x14ac:dyDescent="0.15">
      <c r="A75" s="25" t="s">
        <v>1128</v>
      </c>
      <c r="B75" s="25" t="s">
        <v>210</v>
      </c>
      <c r="C75" s="25" t="s">
        <v>211</v>
      </c>
      <c r="D75" s="25" t="s">
        <v>212</v>
      </c>
      <c r="E75" s="26" t="s">
        <v>43</v>
      </c>
      <c r="F75" s="27" t="s">
        <v>43</v>
      </c>
      <c r="G75" s="28" t="s">
        <v>43</v>
      </c>
      <c r="H75" s="29"/>
      <c r="I75" s="29" t="s">
        <v>44</v>
      </c>
      <c r="J75" s="30">
        <v>1</v>
      </c>
      <c r="K75" s="31">
        <f>21215</f>
        <v>21215</v>
      </c>
      <c r="L75" s="32" t="s">
        <v>1110</v>
      </c>
      <c r="M75" s="31">
        <f>22835</f>
        <v>22835</v>
      </c>
      <c r="N75" s="32" t="s">
        <v>679</v>
      </c>
      <c r="O75" s="31">
        <f>20620</f>
        <v>20620</v>
      </c>
      <c r="P75" s="32" t="s">
        <v>677</v>
      </c>
      <c r="Q75" s="31">
        <f>22210</f>
        <v>22210</v>
      </c>
      <c r="R75" s="32" t="s">
        <v>883</v>
      </c>
      <c r="S75" s="33">
        <f>21589.25</f>
        <v>21589.25</v>
      </c>
      <c r="T75" s="30">
        <f>8345</f>
        <v>8345</v>
      </c>
      <c r="U75" s="30">
        <f>3001</f>
        <v>3001</v>
      </c>
      <c r="V75" s="30">
        <f>178700950</f>
        <v>178700950</v>
      </c>
      <c r="W75" s="30">
        <f>62459530</f>
        <v>62459530</v>
      </c>
      <c r="X75" s="34">
        <f>20</f>
        <v>20</v>
      </c>
    </row>
    <row r="76" spans="1:24" x14ac:dyDescent="0.15">
      <c r="A76" s="25" t="s">
        <v>1128</v>
      </c>
      <c r="B76" s="25" t="s">
        <v>213</v>
      </c>
      <c r="C76" s="25" t="s">
        <v>214</v>
      </c>
      <c r="D76" s="25" t="s">
        <v>215</v>
      </c>
      <c r="E76" s="26" t="s">
        <v>43</v>
      </c>
      <c r="F76" s="27" t="s">
        <v>43</v>
      </c>
      <c r="G76" s="28" t="s">
        <v>43</v>
      </c>
      <c r="H76" s="29"/>
      <c r="I76" s="29" t="s">
        <v>44</v>
      </c>
      <c r="J76" s="30">
        <v>1</v>
      </c>
      <c r="K76" s="31">
        <f>9480</f>
        <v>9480</v>
      </c>
      <c r="L76" s="32" t="s">
        <v>1110</v>
      </c>
      <c r="M76" s="31">
        <f>9481</f>
        <v>9481</v>
      </c>
      <c r="N76" s="32" t="s">
        <v>1110</v>
      </c>
      <c r="O76" s="31">
        <f>9330</f>
        <v>9330</v>
      </c>
      <c r="P76" s="32" t="s">
        <v>875</v>
      </c>
      <c r="Q76" s="31">
        <f>9430</f>
        <v>9430</v>
      </c>
      <c r="R76" s="32" t="s">
        <v>883</v>
      </c>
      <c r="S76" s="33">
        <f>9411.6</f>
        <v>9411.6</v>
      </c>
      <c r="T76" s="30">
        <f>2157</f>
        <v>2157</v>
      </c>
      <c r="U76" s="30">
        <f>2</f>
        <v>2</v>
      </c>
      <c r="V76" s="30">
        <f>20296961</f>
        <v>20296961</v>
      </c>
      <c r="W76" s="30">
        <f>18818</f>
        <v>18818</v>
      </c>
      <c r="X76" s="34">
        <f>20</f>
        <v>20</v>
      </c>
    </row>
    <row r="77" spans="1:24" x14ac:dyDescent="0.15">
      <c r="A77" s="25" t="s">
        <v>1128</v>
      </c>
      <c r="B77" s="25" t="s">
        <v>216</v>
      </c>
      <c r="C77" s="25" t="s">
        <v>217</v>
      </c>
      <c r="D77" s="25" t="s">
        <v>218</v>
      </c>
      <c r="E77" s="26" t="s">
        <v>43</v>
      </c>
      <c r="F77" s="27" t="s">
        <v>43</v>
      </c>
      <c r="G77" s="28" t="s">
        <v>43</v>
      </c>
      <c r="H77" s="29"/>
      <c r="I77" s="29" t="s">
        <v>44</v>
      </c>
      <c r="J77" s="30">
        <v>1</v>
      </c>
      <c r="K77" s="31">
        <f>9334</f>
        <v>9334</v>
      </c>
      <c r="L77" s="32" t="s">
        <v>1110</v>
      </c>
      <c r="M77" s="31">
        <f>10825</f>
        <v>10825</v>
      </c>
      <c r="N77" s="32" t="s">
        <v>1114</v>
      </c>
      <c r="O77" s="31">
        <f>9334</f>
        <v>9334</v>
      </c>
      <c r="P77" s="32" t="s">
        <v>1110</v>
      </c>
      <c r="Q77" s="31">
        <f>10500</f>
        <v>10500</v>
      </c>
      <c r="R77" s="32" t="s">
        <v>883</v>
      </c>
      <c r="S77" s="33">
        <f>9899.75</f>
        <v>9899.75</v>
      </c>
      <c r="T77" s="30">
        <f>4456058</f>
        <v>4456058</v>
      </c>
      <c r="U77" s="30">
        <f>93220</f>
        <v>93220</v>
      </c>
      <c r="V77" s="30">
        <f>44513442690</f>
        <v>44513442690</v>
      </c>
      <c r="W77" s="30">
        <f>914295474</f>
        <v>914295474</v>
      </c>
      <c r="X77" s="34">
        <f>20</f>
        <v>20</v>
      </c>
    </row>
    <row r="78" spans="1:24" x14ac:dyDescent="0.15">
      <c r="A78" s="25" t="s">
        <v>1128</v>
      </c>
      <c r="B78" s="25" t="s">
        <v>219</v>
      </c>
      <c r="C78" s="25" t="s">
        <v>220</v>
      </c>
      <c r="D78" s="25" t="s">
        <v>221</v>
      </c>
      <c r="E78" s="26" t="s">
        <v>43</v>
      </c>
      <c r="F78" s="27" t="s">
        <v>43</v>
      </c>
      <c r="G78" s="28" t="s">
        <v>43</v>
      </c>
      <c r="H78" s="29"/>
      <c r="I78" s="29" t="s">
        <v>44</v>
      </c>
      <c r="J78" s="30">
        <v>1</v>
      </c>
      <c r="K78" s="31">
        <f>3925</f>
        <v>3925</v>
      </c>
      <c r="L78" s="32" t="s">
        <v>1110</v>
      </c>
      <c r="M78" s="31">
        <f>4045</f>
        <v>4045</v>
      </c>
      <c r="N78" s="32" t="s">
        <v>678</v>
      </c>
      <c r="O78" s="31">
        <f>3915</f>
        <v>3915</v>
      </c>
      <c r="P78" s="32" t="s">
        <v>1110</v>
      </c>
      <c r="Q78" s="31">
        <f>4000</f>
        <v>4000</v>
      </c>
      <c r="R78" s="32" t="s">
        <v>883</v>
      </c>
      <c r="S78" s="33">
        <f>3978.5</f>
        <v>3978.5</v>
      </c>
      <c r="T78" s="30">
        <f>578098</f>
        <v>578098</v>
      </c>
      <c r="U78" s="30">
        <f>656</f>
        <v>656</v>
      </c>
      <c r="V78" s="30">
        <f>2300175515</f>
        <v>2300175515</v>
      </c>
      <c r="W78" s="30">
        <f>2576620</f>
        <v>2576620</v>
      </c>
      <c r="X78" s="34">
        <f>20</f>
        <v>20</v>
      </c>
    </row>
    <row r="79" spans="1:24" x14ac:dyDescent="0.15">
      <c r="A79" s="25" t="s">
        <v>1128</v>
      </c>
      <c r="B79" s="25" t="s">
        <v>222</v>
      </c>
      <c r="C79" s="25" t="s">
        <v>223</v>
      </c>
      <c r="D79" s="25" t="s">
        <v>224</v>
      </c>
      <c r="E79" s="26" t="s">
        <v>43</v>
      </c>
      <c r="F79" s="27" t="s">
        <v>43</v>
      </c>
      <c r="G79" s="28" t="s">
        <v>43</v>
      </c>
      <c r="H79" s="29"/>
      <c r="I79" s="29" t="s">
        <v>44</v>
      </c>
      <c r="J79" s="30">
        <v>1</v>
      </c>
      <c r="K79" s="31">
        <f>9868</f>
        <v>9868</v>
      </c>
      <c r="L79" s="32" t="s">
        <v>1110</v>
      </c>
      <c r="M79" s="31">
        <f>12200</f>
        <v>12200</v>
      </c>
      <c r="N79" s="32" t="s">
        <v>883</v>
      </c>
      <c r="O79" s="31">
        <f>9854</f>
        <v>9854</v>
      </c>
      <c r="P79" s="32" t="s">
        <v>1110</v>
      </c>
      <c r="Q79" s="31">
        <f>11845</f>
        <v>11845</v>
      </c>
      <c r="R79" s="32" t="s">
        <v>883</v>
      </c>
      <c r="S79" s="33">
        <f>10714</f>
        <v>10714</v>
      </c>
      <c r="T79" s="30">
        <f>254206</f>
        <v>254206</v>
      </c>
      <c r="U79" s="30" t="str">
        <f>"－"</f>
        <v>－</v>
      </c>
      <c r="V79" s="30">
        <f>2748104090</f>
        <v>2748104090</v>
      </c>
      <c r="W79" s="30" t="str">
        <f>"－"</f>
        <v>－</v>
      </c>
      <c r="X79" s="34">
        <f>20</f>
        <v>20</v>
      </c>
    </row>
    <row r="80" spans="1:24" x14ac:dyDescent="0.15">
      <c r="A80" s="25" t="s">
        <v>1128</v>
      </c>
      <c r="B80" s="25" t="s">
        <v>225</v>
      </c>
      <c r="C80" s="25" t="s">
        <v>226</v>
      </c>
      <c r="D80" s="25" t="s">
        <v>227</v>
      </c>
      <c r="E80" s="26" t="s">
        <v>43</v>
      </c>
      <c r="F80" s="27" t="s">
        <v>43</v>
      </c>
      <c r="G80" s="28" t="s">
        <v>43</v>
      </c>
      <c r="H80" s="29"/>
      <c r="I80" s="29" t="s">
        <v>44</v>
      </c>
      <c r="J80" s="30">
        <v>1</v>
      </c>
      <c r="K80" s="31">
        <f>42000</f>
        <v>42000</v>
      </c>
      <c r="L80" s="32" t="s">
        <v>1110</v>
      </c>
      <c r="M80" s="31">
        <f>45780</f>
        <v>45780</v>
      </c>
      <c r="N80" s="32" t="s">
        <v>1115</v>
      </c>
      <c r="O80" s="31">
        <f>41750</f>
        <v>41750</v>
      </c>
      <c r="P80" s="32" t="s">
        <v>1110</v>
      </c>
      <c r="Q80" s="31">
        <f>43900</f>
        <v>43900</v>
      </c>
      <c r="R80" s="32" t="s">
        <v>883</v>
      </c>
      <c r="S80" s="33">
        <f>43554</f>
        <v>43554</v>
      </c>
      <c r="T80" s="30">
        <f>7644</f>
        <v>7644</v>
      </c>
      <c r="U80" s="30">
        <f>1</f>
        <v>1</v>
      </c>
      <c r="V80" s="30">
        <f>337053050</f>
        <v>337053050</v>
      </c>
      <c r="W80" s="30">
        <f>43630</f>
        <v>43630</v>
      </c>
      <c r="X80" s="34">
        <f>20</f>
        <v>20</v>
      </c>
    </row>
    <row r="81" spans="1:24" x14ac:dyDescent="0.15">
      <c r="A81" s="25" t="s">
        <v>1128</v>
      </c>
      <c r="B81" s="25" t="s">
        <v>228</v>
      </c>
      <c r="C81" s="25" t="s">
        <v>779</v>
      </c>
      <c r="D81" s="25" t="s">
        <v>780</v>
      </c>
      <c r="E81" s="26" t="s">
        <v>43</v>
      </c>
      <c r="F81" s="27" t="s">
        <v>43</v>
      </c>
      <c r="G81" s="28" t="s">
        <v>43</v>
      </c>
      <c r="H81" s="29"/>
      <c r="I81" s="29" t="s">
        <v>44</v>
      </c>
      <c r="J81" s="30">
        <v>1</v>
      </c>
      <c r="K81" s="31">
        <f>27405</f>
        <v>27405</v>
      </c>
      <c r="L81" s="32" t="s">
        <v>1110</v>
      </c>
      <c r="M81" s="31">
        <f>28230</f>
        <v>28230</v>
      </c>
      <c r="N81" s="32" t="s">
        <v>874</v>
      </c>
      <c r="O81" s="31">
        <f>26755</f>
        <v>26755</v>
      </c>
      <c r="P81" s="32" t="s">
        <v>684</v>
      </c>
      <c r="Q81" s="31">
        <f>27970</f>
        <v>27970</v>
      </c>
      <c r="R81" s="32" t="s">
        <v>883</v>
      </c>
      <c r="S81" s="33">
        <f>27562.75</f>
        <v>27562.75</v>
      </c>
      <c r="T81" s="30">
        <f>1237521</f>
        <v>1237521</v>
      </c>
      <c r="U81" s="30">
        <f>5572</f>
        <v>5572</v>
      </c>
      <c r="V81" s="30">
        <f>34141886874</f>
        <v>34141886874</v>
      </c>
      <c r="W81" s="30">
        <f>153706584</f>
        <v>153706584</v>
      </c>
      <c r="X81" s="34">
        <f>20</f>
        <v>20</v>
      </c>
    </row>
    <row r="82" spans="1:24" x14ac:dyDescent="0.15">
      <c r="A82" s="25" t="s">
        <v>1128</v>
      </c>
      <c r="B82" s="25" t="s">
        <v>229</v>
      </c>
      <c r="C82" s="25" t="s">
        <v>781</v>
      </c>
      <c r="D82" s="25" t="s">
        <v>782</v>
      </c>
      <c r="E82" s="26" t="s">
        <v>43</v>
      </c>
      <c r="F82" s="27" t="s">
        <v>43</v>
      </c>
      <c r="G82" s="28" t="s">
        <v>43</v>
      </c>
      <c r="H82" s="29"/>
      <c r="I82" s="29" t="s">
        <v>44</v>
      </c>
      <c r="J82" s="30">
        <v>1</v>
      </c>
      <c r="K82" s="31">
        <f>57180</f>
        <v>57180</v>
      </c>
      <c r="L82" s="32" t="s">
        <v>1110</v>
      </c>
      <c r="M82" s="31">
        <f>59160</f>
        <v>59160</v>
      </c>
      <c r="N82" s="32" t="s">
        <v>874</v>
      </c>
      <c r="O82" s="31">
        <f>55550</f>
        <v>55550</v>
      </c>
      <c r="P82" s="32" t="s">
        <v>684</v>
      </c>
      <c r="Q82" s="31">
        <f>58850</f>
        <v>58850</v>
      </c>
      <c r="R82" s="32" t="s">
        <v>883</v>
      </c>
      <c r="S82" s="33">
        <f>57312</f>
        <v>57312</v>
      </c>
      <c r="T82" s="30">
        <f>63475</f>
        <v>63475</v>
      </c>
      <c r="U82" s="30">
        <f>3000</f>
        <v>3000</v>
      </c>
      <c r="V82" s="30">
        <f>3665126066</f>
        <v>3665126066</v>
      </c>
      <c r="W82" s="30">
        <f>169809466</f>
        <v>169809466</v>
      </c>
      <c r="X82" s="34">
        <f>20</f>
        <v>20</v>
      </c>
    </row>
    <row r="83" spans="1:24" x14ac:dyDescent="0.15">
      <c r="A83" s="25" t="s">
        <v>1128</v>
      </c>
      <c r="B83" s="25" t="s">
        <v>230</v>
      </c>
      <c r="C83" s="25" t="s">
        <v>231</v>
      </c>
      <c r="D83" s="25" t="s">
        <v>232</v>
      </c>
      <c r="E83" s="26" t="s">
        <v>43</v>
      </c>
      <c r="F83" s="27" t="s">
        <v>43</v>
      </c>
      <c r="G83" s="28" t="s">
        <v>43</v>
      </c>
      <c r="H83" s="29"/>
      <c r="I83" s="29" t="s">
        <v>44</v>
      </c>
      <c r="J83" s="30">
        <v>10</v>
      </c>
      <c r="K83" s="31">
        <f>8293</f>
        <v>8293</v>
      </c>
      <c r="L83" s="32" t="s">
        <v>1110</v>
      </c>
      <c r="M83" s="31">
        <f>8685</f>
        <v>8685</v>
      </c>
      <c r="N83" s="32" t="s">
        <v>883</v>
      </c>
      <c r="O83" s="31">
        <f>8153</f>
        <v>8153</v>
      </c>
      <c r="P83" s="32" t="s">
        <v>684</v>
      </c>
      <c r="Q83" s="31">
        <f>8618</f>
        <v>8618</v>
      </c>
      <c r="R83" s="32" t="s">
        <v>883</v>
      </c>
      <c r="S83" s="33">
        <f>8416.2</f>
        <v>8416.2000000000007</v>
      </c>
      <c r="T83" s="30">
        <f>1097130</f>
        <v>1097130</v>
      </c>
      <c r="U83" s="30">
        <f>125410</f>
        <v>125410</v>
      </c>
      <c r="V83" s="30">
        <f>9213856867</f>
        <v>9213856867</v>
      </c>
      <c r="W83" s="30">
        <f>1053529437</f>
        <v>1053529437</v>
      </c>
      <c r="X83" s="34">
        <f>20</f>
        <v>20</v>
      </c>
    </row>
    <row r="84" spans="1:24" x14ac:dyDescent="0.15">
      <c r="A84" s="25" t="s">
        <v>1128</v>
      </c>
      <c r="B84" s="25" t="s">
        <v>233</v>
      </c>
      <c r="C84" s="25" t="s">
        <v>234</v>
      </c>
      <c r="D84" s="25" t="s">
        <v>235</v>
      </c>
      <c r="E84" s="26" t="s">
        <v>43</v>
      </c>
      <c r="F84" s="27" t="s">
        <v>43</v>
      </c>
      <c r="G84" s="28" t="s">
        <v>43</v>
      </c>
      <c r="H84" s="29"/>
      <c r="I84" s="29" t="s">
        <v>44</v>
      </c>
      <c r="J84" s="30">
        <v>10</v>
      </c>
      <c r="K84" s="31">
        <f>5163</f>
        <v>5163</v>
      </c>
      <c r="L84" s="32" t="s">
        <v>1110</v>
      </c>
      <c r="M84" s="31">
        <f>5409</f>
        <v>5409</v>
      </c>
      <c r="N84" s="32" t="s">
        <v>883</v>
      </c>
      <c r="O84" s="31">
        <f>5102</f>
        <v>5102</v>
      </c>
      <c r="P84" s="32" t="s">
        <v>684</v>
      </c>
      <c r="Q84" s="31">
        <f>5402</f>
        <v>5402</v>
      </c>
      <c r="R84" s="32" t="s">
        <v>883</v>
      </c>
      <c r="S84" s="33">
        <f>5255.2</f>
        <v>5255.2</v>
      </c>
      <c r="T84" s="30">
        <f>125040</f>
        <v>125040</v>
      </c>
      <c r="U84" s="30" t="str">
        <f>"－"</f>
        <v>－</v>
      </c>
      <c r="V84" s="30">
        <f>660679760</f>
        <v>660679760</v>
      </c>
      <c r="W84" s="30" t="str">
        <f>"－"</f>
        <v>－</v>
      </c>
      <c r="X84" s="34">
        <f>20</f>
        <v>20</v>
      </c>
    </row>
    <row r="85" spans="1:24" x14ac:dyDescent="0.15">
      <c r="A85" s="25" t="s">
        <v>1128</v>
      </c>
      <c r="B85" s="25" t="s">
        <v>236</v>
      </c>
      <c r="C85" s="25" t="s">
        <v>854</v>
      </c>
      <c r="D85" s="25" t="s">
        <v>855</v>
      </c>
      <c r="E85" s="26" t="s">
        <v>43</v>
      </c>
      <c r="F85" s="27" t="s">
        <v>43</v>
      </c>
      <c r="G85" s="28" t="s">
        <v>43</v>
      </c>
      <c r="H85" s="29"/>
      <c r="I85" s="29" t="s">
        <v>44</v>
      </c>
      <c r="J85" s="30">
        <v>10</v>
      </c>
      <c r="K85" s="31">
        <f>5100</f>
        <v>5100</v>
      </c>
      <c r="L85" s="32" t="s">
        <v>1110</v>
      </c>
      <c r="M85" s="31">
        <f>5248</f>
        <v>5248</v>
      </c>
      <c r="N85" s="32" t="s">
        <v>1113</v>
      </c>
      <c r="O85" s="31">
        <f>5005</f>
        <v>5005</v>
      </c>
      <c r="P85" s="32" t="s">
        <v>677</v>
      </c>
      <c r="Q85" s="31">
        <f>5219</f>
        <v>5219</v>
      </c>
      <c r="R85" s="32" t="s">
        <v>883</v>
      </c>
      <c r="S85" s="33">
        <f>5139.8</f>
        <v>5139.8</v>
      </c>
      <c r="T85" s="30">
        <f>8680</f>
        <v>8680</v>
      </c>
      <c r="U85" s="30" t="str">
        <f>"－"</f>
        <v>－</v>
      </c>
      <c r="V85" s="30">
        <f>44750590</f>
        <v>44750590</v>
      </c>
      <c r="W85" s="30" t="str">
        <f>"－"</f>
        <v>－</v>
      </c>
      <c r="X85" s="34">
        <f>20</f>
        <v>20</v>
      </c>
    </row>
    <row r="86" spans="1:24" x14ac:dyDescent="0.15">
      <c r="A86" s="25" t="s">
        <v>1128</v>
      </c>
      <c r="B86" s="25" t="s">
        <v>241</v>
      </c>
      <c r="C86" s="25" t="s">
        <v>242</v>
      </c>
      <c r="D86" s="25" t="s">
        <v>243</v>
      </c>
      <c r="E86" s="26" t="s">
        <v>43</v>
      </c>
      <c r="F86" s="27" t="s">
        <v>43</v>
      </c>
      <c r="G86" s="28" t="s">
        <v>43</v>
      </c>
      <c r="H86" s="29"/>
      <c r="I86" s="29" t="s">
        <v>44</v>
      </c>
      <c r="J86" s="30">
        <v>10</v>
      </c>
      <c r="K86" s="31">
        <f>4244</f>
        <v>4244</v>
      </c>
      <c r="L86" s="32" t="s">
        <v>1110</v>
      </c>
      <c r="M86" s="31">
        <f>4430</f>
        <v>4430</v>
      </c>
      <c r="N86" s="32" t="s">
        <v>883</v>
      </c>
      <c r="O86" s="31">
        <f>4191</f>
        <v>4191</v>
      </c>
      <c r="P86" s="32" t="s">
        <v>684</v>
      </c>
      <c r="Q86" s="31">
        <f>4426</f>
        <v>4426</v>
      </c>
      <c r="R86" s="32" t="s">
        <v>883</v>
      </c>
      <c r="S86" s="33">
        <f>4313.7</f>
        <v>4313.7</v>
      </c>
      <c r="T86" s="30">
        <f>112320</f>
        <v>112320</v>
      </c>
      <c r="U86" s="30" t="str">
        <f>"－"</f>
        <v>－</v>
      </c>
      <c r="V86" s="30">
        <f>483538750</f>
        <v>483538750</v>
      </c>
      <c r="W86" s="30" t="str">
        <f>"－"</f>
        <v>－</v>
      </c>
      <c r="X86" s="34">
        <f>20</f>
        <v>20</v>
      </c>
    </row>
    <row r="87" spans="1:24" x14ac:dyDescent="0.15">
      <c r="A87" s="25" t="s">
        <v>1128</v>
      </c>
      <c r="B87" s="25" t="s">
        <v>244</v>
      </c>
      <c r="C87" s="25" t="s">
        <v>971</v>
      </c>
      <c r="D87" s="25" t="s">
        <v>245</v>
      </c>
      <c r="E87" s="26" t="s">
        <v>43</v>
      </c>
      <c r="F87" s="27" t="s">
        <v>43</v>
      </c>
      <c r="G87" s="28" t="s">
        <v>43</v>
      </c>
      <c r="H87" s="29"/>
      <c r="I87" s="29" t="s">
        <v>44</v>
      </c>
      <c r="J87" s="30">
        <v>10</v>
      </c>
      <c r="K87" s="31">
        <f>2050</f>
        <v>2050</v>
      </c>
      <c r="L87" s="32" t="s">
        <v>1110</v>
      </c>
      <c r="M87" s="31">
        <f>2300</f>
        <v>2300</v>
      </c>
      <c r="N87" s="32" t="s">
        <v>883</v>
      </c>
      <c r="O87" s="31">
        <f>2050</f>
        <v>2050</v>
      </c>
      <c r="P87" s="32" t="s">
        <v>1110</v>
      </c>
      <c r="Q87" s="31">
        <f>2282</f>
        <v>2282</v>
      </c>
      <c r="R87" s="32" t="s">
        <v>883</v>
      </c>
      <c r="S87" s="33">
        <f>2157.5</f>
        <v>2157.5</v>
      </c>
      <c r="T87" s="30">
        <f>126710</f>
        <v>126710</v>
      </c>
      <c r="U87" s="30">
        <f>120</f>
        <v>120</v>
      </c>
      <c r="V87" s="30">
        <f>273202390</f>
        <v>273202390</v>
      </c>
      <c r="W87" s="30">
        <f>233630</f>
        <v>233630</v>
      </c>
      <c r="X87" s="34">
        <f>20</f>
        <v>20</v>
      </c>
    </row>
    <row r="88" spans="1:24" x14ac:dyDescent="0.15">
      <c r="A88" s="25" t="s">
        <v>1128</v>
      </c>
      <c r="B88" s="25" t="s">
        <v>246</v>
      </c>
      <c r="C88" s="25" t="s">
        <v>247</v>
      </c>
      <c r="D88" s="25" t="s">
        <v>248</v>
      </c>
      <c r="E88" s="26" t="s">
        <v>43</v>
      </c>
      <c r="F88" s="27" t="s">
        <v>43</v>
      </c>
      <c r="G88" s="28" t="s">
        <v>43</v>
      </c>
      <c r="H88" s="29"/>
      <c r="I88" s="29" t="s">
        <v>44</v>
      </c>
      <c r="J88" s="30">
        <v>1</v>
      </c>
      <c r="K88" s="31">
        <f>76260</f>
        <v>76260</v>
      </c>
      <c r="L88" s="32" t="s">
        <v>1110</v>
      </c>
      <c r="M88" s="31">
        <f>79900</f>
        <v>79900</v>
      </c>
      <c r="N88" s="32" t="s">
        <v>883</v>
      </c>
      <c r="O88" s="31">
        <f>74990</f>
        <v>74990</v>
      </c>
      <c r="P88" s="32" t="s">
        <v>684</v>
      </c>
      <c r="Q88" s="31">
        <f>79330</f>
        <v>79330</v>
      </c>
      <c r="R88" s="32" t="s">
        <v>883</v>
      </c>
      <c r="S88" s="33">
        <f>77250.5</f>
        <v>77250.5</v>
      </c>
      <c r="T88" s="30">
        <f>81369</f>
        <v>81369</v>
      </c>
      <c r="U88" s="30">
        <f>136</f>
        <v>136</v>
      </c>
      <c r="V88" s="30">
        <f>6285742306</f>
        <v>6285742306</v>
      </c>
      <c r="W88" s="30">
        <f>10369156</f>
        <v>10369156</v>
      </c>
      <c r="X88" s="34">
        <f>20</f>
        <v>20</v>
      </c>
    </row>
    <row r="89" spans="1:24" x14ac:dyDescent="0.15">
      <c r="A89" s="25" t="s">
        <v>1128</v>
      </c>
      <c r="B89" s="25" t="s">
        <v>249</v>
      </c>
      <c r="C89" s="25" t="s">
        <v>250</v>
      </c>
      <c r="D89" s="25" t="s">
        <v>251</v>
      </c>
      <c r="E89" s="26" t="s">
        <v>43</v>
      </c>
      <c r="F89" s="27" t="s">
        <v>43</v>
      </c>
      <c r="G89" s="28" t="s">
        <v>43</v>
      </c>
      <c r="H89" s="29"/>
      <c r="I89" s="29" t="s">
        <v>44</v>
      </c>
      <c r="J89" s="30">
        <v>1</v>
      </c>
      <c r="K89" s="31">
        <f>3240</f>
        <v>3240</v>
      </c>
      <c r="L89" s="32" t="s">
        <v>1110</v>
      </c>
      <c r="M89" s="31">
        <f>3300</f>
        <v>3300</v>
      </c>
      <c r="N89" s="32" t="s">
        <v>675</v>
      </c>
      <c r="O89" s="31">
        <f>3200</f>
        <v>3200</v>
      </c>
      <c r="P89" s="32" t="s">
        <v>684</v>
      </c>
      <c r="Q89" s="31">
        <f>3215</f>
        <v>3215</v>
      </c>
      <c r="R89" s="32" t="s">
        <v>883</v>
      </c>
      <c r="S89" s="33">
        <f>3248.5</f>
        <v>3248.5</v>
      </c>
      <c r="T89" s="30">
        <f>7749</f>
        <v>7749</v>
      </c>
      <c r="U89" s="30" t="str">
        <f>"－"</f>
        <v>－</v>
      </c>
      <c r="V89" s="30">
        <f>25181020</f>
        <v>25181020</v>
      </c>
      <c r="W89" s="30" t="str">
        <f>"－"</f>
        <v>－</v>
      </c>
      <c r="X89" s="34">
        <f>20</f>
        <v>20</v>
      </c>
    </row>
    <row r="90" spans="1:24" x14ac:dyDescent="0.15">
      <c r="A90" s="25" t="s">
        <v>1128</v>
      </c>
      <c r="B90" s="25" t="s">
        <v>252</v>
      </c>
      <c r="C90" s="25" t="s">
        <v>253</v>
      </c>
      <c r="D90" s="25" t="s">
        <v>254</v>
      </c>
      <c r="E90" s="26" t="s">
        <v>43</v>
      </c>
      <c r="F90" s="27" t="s">
        <v>43</v>
      </c>
      <c r="G90" s="28" t="s">
        <v>43</v>
      </c>
      <c r="H90" s="29"/>
      <c r="I90" s="29" t="s">
        <v>44</v>
      </c>
      <c r="J90" s="30">
        <v>1</v>
      </c>
      <c r="K90" s="31">
        <f>4790</f>
        <v>4790</v>
      </c>
      <c r="L90" s="32" t="s">
        <v>1110</v>
      </c>
      <c r="M90" s="31">
        <f>4790</f>
        <v>4790</v>
      </c>
      <c r="N90" s="32" t="s">
        <v>1110</v>
      </c>
      <c r="O90" s="31">
        <f>4520</f>
        <v>4520</v>
      </c>
      <c r="P90" s="32" t="s">
        <v>677</v>
      </c>
      <c r="Q90" s="31">
        <f>4680</f>
        <v>4680</v>
      </c>
      <c r="R90" s="32" t="s">
        <v>883</v>
      </c>
      <c r="S90" s="33">
        <f>4697.25</f>
        <v>4697.25</v>
      </c>
      <c r="T90" s="30">
        <f>5060</f>
        <v>5060</v>
      </c>
      <c r="U90" s="30" t="str">
        <f>"－"</f>
        <v>－</v>
      </c>
      <c r="V90" s="30">
        <f>23649590</f>
        <v>23649590</v>
      </c>
      <c r="W90" s="30" t="str">
        <f>"－"</f>
        <v>－</v>
      </c>
      <c r="X90" s="34">
        <f>20</f>
        <v>20</v>
      </c>
    </row>
    <row r="91" spans="1:24" x14ac:dyDescent="0.15">
      <c r="A91" s="25" t="s">
        <v>1128</v>
      </c>
      <c r="B91" s="25" t="s">
        <v>255</v>
      </c>
      <c r="C91" s="25" t="s">
        <v>856</v>
      </c>
      <c r="D91" s="25" t="s">
        <v>857</v>
      </c>
      <c r="E91" s="26" t="s">
        <v>43</v>
      </c>
      <c r="F91" s="27" t="s">
        <v>43</v>
      </c>
      <c r="G91" s="28" t="s">
        <v>43</v>
      </c>
      <c r="H91" s="29"/>
      <c r="I91" s="29" t="s">
        <v>44</v>
      </c>
      <c r="J91" s="30">
        <v>1</v>
      </c>
      <c r="K91" s="31">
        <f>2813</f>
        <v>2813</v>
      </c>
      <c r="L91" s="32" t="s">
        <v>1110</v>
      </c>
      <c r="M91" s="31">
        <f>2839</f>
        <v>2839</v>
      </c>
      <c r="N91" s="32" t="s">
        <v>675</v>
      </c>
      <c r="O91" s="31">
        <f>2513</f>
        <v>2513</v>
      </c>
      <c r="P91" s="32" t="s">
        <v>875</v>
      </c>
      <c r="Q91" s="31">
        <f>2593</f>
        <v>2593</v>
      </c>
      <c r="R91" s="32" t="s">
        <v>883</v>
      </c>
      <c r="S91" s="33">
        <f>2634.5</f>
        <v>2634.5</v>
      </c>
      <c r="T91" s="30">
        <f>1539483</f>
        <v>1539483</v>
      </c>
      <c r="U91" s="30">
        <f>267110</f>
        <v>267110</v>
      </c>
      <c r="V91" s="30">
        <f>4077798751</f>
        <v>4077798751</v>
      </c>
      <c r="W91" s="30">
        <f>700007024</f>
        <v>700007024</v>
      </c>
      <c r="X91" s="34">
        <f>20</f>
        <v>20</v>
      </c>
    </row>
    <row r="92" spans="1:24" x14ac:dyDescent="0.15">
      <c r="A92" s="25" t="s">
        <v>1128</v>
      </c>
      <c r="B92" s="25" t="s">
        <v>256</v>
      </c>
      <c r="C92" s="25" t="s">
        <v>257</v>
      </c>
      <c r="D92" s="25" t="s">
        <v>258</v>
      </c>
      <c r="E92" s="26" t="s">
        <v>43</v>
      </c>
      <c r="F92" s="27" t="s">
        <v>43</v>
      </c>
      <c r="G92" s="28" t="s">
        <v>43</v>
      </c>
      <c r="H92" s="29"/>
      <c r="I92" s="29" t="s">
        <v>44</v>
      </c>
      <c r="J92" s="30">
        <v>1</v>
      </c>
      <c r="K92" s="31">
        <f>49560</f>
        <v>49560</v>
      </c>
      <c r="L92" s="32" t="s">
        <v>1110</v>
      </c>
      <c r="M92" s="31">
        <f>49840</f>
        <v>49840</v>
      </c>
      <c r="N92" s="32" t="s">
        <v>874</v>
      </c>
      <c r="O92" s="31">
        <f>48550</f>
        <v>48550</v>
      </c>
      <c r="P92" s="32" t="s">
        <v>677</v>
      </c>
      <c r="Q92" s="31">
        <f>49680</f>
        <v>49680</v>
      </c>
      <c r="R92" s="32" t="s">
        <v>883</v>
      </c>
      <c r="S92" s="33">
        <f>49379.5</f>
        <v>49379.5</v>
      </c>
      <c r="T92" s="30">
        <f>14965</f>
        <v>14965</v>
      </c>
      <c r="U92" s="30">
        <f>603</f>
        <v>603</v>
      </c>
      <c r="V92" s="30">
        <f>740039450</f>
        <v>740039450</v>
      </c>
      <c r="W92" s="30">
        <f>29982800</f>
        <v>29982800</v>
      </c>
      <c r="X92" s="34">
        <f>20</f>
        <v>20</v>
      </c>
    </row>
    <row r="93" spans="1:24" x14ac:dyDescent="0.15">
      <c r="A93" s="25" t="s">
        <v>1128</v>
      </c>
      <c r="B93" s="25" t="s">
        <v>259</v>
      </c>
      <c r="C93" s="25" t="s">
        <v>260</v>
      </c>
      <c r="D93" s="25" t="s">
        <v>261</v>
      </c>
      <c r="E93" s="26" t="s">
        <v>43</v>
      </c>
      <c r="F93" s="27" t="s">
        <v>43</v>
      </c>
      <c r="G93" s="28" t="s">
        <v>43</v>
      </c>
      <c r="H93" s="29"/>
      <c r="I93" s="29" t="s">
        <v>44</v>
      </c>
      <c r="J93" s="30">
        <v>10</v>
      </c>
      <c r="K93" s="31">
        <f>46500</f>
        <v>46500</v>
      </c>
      <c r="L93" s="32" t="s">
        <v>1110</v>
      </c>
      <c r="M93" s="31">
        <f>51520</f>
        <v>51520</v>
      </c>
      <c r="N93" s="32" t="s">
        <v>874</v>
      </c>
      <c r="O93" s="31">
        <f>44340</f>
        <v>44340</v>
      </c>
      <c r="P93" s="32" t="s">
        <v>677</v>
      </c>
      <c r="Q93" s="31">
        <f>50630</f>
        <v>50630</v>
      </c>
      <c r="R93" s="32" t="s">
        <v>883</v>
      </c>
      <c r="S93" s="33">
        <f>48339</f>
        <v>48339</v>
      </c>
      <c r="T93" s="30">
        <f>2731400</f>
        <v>2731400</v>
      </c>
      <c r="U93" s="30">
        <f>140</f>
        <v>140</v>
      </c>
      <c r="V93" s="30">
        <f>131862559400</f>
        <v>131862559400</v>
      </c>
      <c r="W93" s="30">
        <f>6035300</f>
        <v>6035300</v>
      </c>
      <c r="X93" s="34">
        <f>20</f>
        <v>20</v>
      </c>
    </row>
    <row r="94" spans="1:24" x14ac:dyDescent="0.15">
      <c r="A94" s="25" t="s">
        <v>1128</v>
      </c>
      <c r="B94" s="25" t="s">
        <v>262</v>
      </c>
      <c r="C94" s="25" t="s">
        <v>263</v>
      </c>
      <c r="D94" s="25" t="s">
        <v>264</v>
      </c>
      <c r="E94" s="26" t="s">
        <v>43</v>
      </c>
      <c r="F94" s="27" t="s">
        <v>43</v>
      </c>
      <c r="G94" s="28" t="s">
        <v>43</v>
      </c>
      <c r="H94" s="29"/>
      <c r="I94" s="29" t="s">
        <v>44</v>
      </c>
      <c r="J94" s="30">
        <v>10</v>
      </c>
      <c r="K94" s="31">
        <f>1378</f>
        <v>1378</v>
      </c>
      <c r="L94" s="32" t="s">
        <v>1110</v>
      </c>
      <c r="M94" s="31">
        <f>1406</f>
        <v>1406</v>
      </c>
      <c r="N94" s="32" t="s">
        <v>677</v>
      </c>
      <c r="O94" s="31">
        <f>1302.5</f>
        <v>1302.5</v>
      </c>
      <c r="P94" s="32" t="s">
        <v>874</v>
      </c>
      <c r="Q94" s="31">
        <f>1312.5</f>
        <v>1312.5</v>
      </c>
      <c r="R94" s="32" t="s">
        <v>883</v>
      </c>
      <c r="S94" s="33">
        <f>1347.3</f>
        <v>1347.3</v>
      </c>
      <c r="T94" s="30">
        <f>6244720</f>
        <v>6244720</v>
      </c>
      <c r="U94" s="30">
        <f>5220030</f>
        <v>5220030</v>
      </c>
      <c r="V94" s="30">
        <f>8565869020</f>
        <v>8565869020</v>
      </c>
      <c r="W94" s="30">
        <f>7186570395</f>
        <v>7186570395</v>
      </c>
      <c r="X94" s="34">
        <f>20</f>
        <v>20</v>
      </c>
    </row>
    <row r="95" spans="1:24" x14ac:dyDescent="0.15">
      <c r="A95" s="25" t="s">
        <v>1128</v>
      </c>
      <c r="B95" s="25" t="s">
        <v>265</v>
      </c>
      <c r="C95" s="25" t="s">
        <v>266</v>
      </c>
      <c r="D95" s="25" t="s">
        <v>267</v>
      </c>
      <c r="E95" s="26" t="s">
        <v>43</v>
      </c>
      <c r="F95" s="27" t="s">
        <v>43</v>
      </c>
      <c r="G95" s="28" t="s">
        <v>43</v>
      </c>
      <c r="H95" s="29"/>
      <c r="I95" s="29" t="s">
        <v>44</v>
      </c>
      <c r="J95" s="30">
        <v>1</v>
      </c>
      <c r="K95" s="31">
        <f>29005</f>
        <v>29005</v>
      </c>
      <c r="L95" s="32" t="s">
        <v>1110</v>
      </c>
      <c r="M95" s="31">
        <f>31600</f>
        <v>31600</v>
      </c>
      <c r="N95" s="32" t="s">
        <v>874</v>
      </c>
      <c r="O95" s="31">
        <f>27450</f>
        <v>27450</v>
      </c>
      <c r="P95" s="32" t="s">
        <v>677</v>
      </c>
      <c r="Q95" s="31">
        <f>30990</f>
        <v>30990</v>
      </c>
      <c r="R95" s="32" t="s">
        <v>883</v>
      </c>
      <c r="S95" s="33">
        <f>29785</f>
        <v>29785</v>
      </c>
      <c r="T95" s="30">
        <f>106995110</f>
        <v>106995110</v>
      </c>
      <c r="U95" s="30">
        <f>636548</f>
        <v>636548</v>
      </c>
      <c r="V95" s="30">
        <f>3171367828186</f>
        <v>3171367828186</v>
      </c>
      <c r="W95" s="30">
        <f>18302683871</f>
        <v>18302683871</v>
      </c>
      <c r="X95" s="34">
        <f>20</f>
        <v>20</v>
      </c>
    </row>
    <row r="96" spans="1:24" x14ac:dyDescent="0.15">
      <c r="A96" s="25" t="s">
        <v>1128</v>
      </c>
      <c r="B96" s="25" t="s">
        <v>268</v>
      </c>
      <c r="C96" s="25" t="s">
        <v>269</v>
      </c>
      <c r="D96" s="25" t="s">
        <v>270</v>
      </c>
      <c r="E96" s="26" t="s">
        <v>43</v>
      </c>
      <c r="F96" s="27" t="s">
        <v>43</v>
      </c>
      <c r="G96" s="28" t="s">
        <v>43</v>
      </c>
      <c r="H96" s="29"/>
      <c r="I96" s="29" t="s">
        <v>44</v>
      </c>
      <c r="J96" s="30">
        <v>1</v>
      </c>
      <c r="K96" s="31">
        <f>627</f>
        <v>627</v>
      </c>
      <c r="L96" s="32" t="s">
        <v>1110</v>
      </c>
      <c r="M96" s="31">
        <f>643</f>
        <v>643</v>
      </c>
      <c r="N96" s="32" t="s">
        <v>677</v>
      </c>
      <c r="O96" s="31">
        <f>597</f>
        <v>597</v>
      </c>
      <c r="P96" s="32" t="s">
        <v>874</v>
      </c>
      <c r="Q96" s="31">
        <f>604</f>
        <v>604</v>
      </c>
      <c r="R96" s="32" t="s">
        <v>883</v>
      </c>
      <c r="S96" s="33">
        <f>617.15</f>
        <v>617.15</v>
      </c>
      <c r="T96" s="30">
        <f>88665151</f>
        <v>88665151</v>
      </c>
      <c r="U96" s="30">
        <f>11485245</f>
        <v>11485245</v>
      </c>
      <c r="V96" s="30">
        <f>54744763201</f>
        <v>54744763201</v>
      </c>
      <c r="W96" s="30">
        <f>7093490891</f>
        <v>7093490891</v>
      </c>
      <c r="X96" s="34">
        <f>20</f>
        <v>20</v>
      </c>
    </row>
    <row r="97" spans="1:24" x14ac:dyDescent="0.15">
      <c r="A97" s="25" t="s">
        <v>1128</v>
      </c>
      <c r="B97" s="25" t="s">
        <v>271</v>
      </c>
      <c r="C97" s="25" t="s">
        <v>272</v>
      </c>
      <c r="D97" s="25" t="s">
        <v>273</v>
      </c>
      <c r="E97" s="26" t="s">
        <v>43</v>
      </c>
      <c r="F97" s="27" t="s">
        <v>43</v>
      </c>
      <c r="G97" s="28" t="s">
        <v>43</v>
      </c>
      <c r="H97" s="29"/>
      <c r="I97" s="29" t="s">
        <v>44</v>
      </c>
      <c r="J97" s="30">
        <v>10</v>
      </c>
      <c r="K97" s="31">
        <f>3361</f>
        <v>3361</v>
      </c>
      <c r="L97" s="32" t="s">
        <v>1110</v>
      </c>
      <c r="M97" s="31">
        <f>3720</f>
        <v>3720</v>
      </c>
      <c r="N97" s="32" t="s">
        <v>1112</v>
      </c>
      <c r="O97" s="31">
        <f>3200</f>
        <v>3200</v>
      </c>
      <c r="P97" s="32" t="s">
        <v>674</v>
      </c>
      <c r="Q97" s="31">
        <f>3584</f>
        <v>3584</v>
      </c>
      <c r="R97" s="32" t="s">
        <v>883</v>
      </c>
      <c r="S97" s="33">
        <f>3510.25</f>
        <v>3510.25</v>
      </c>
      <c r="T97" s="30">
        <f>627970</f>
        <v>627970</v>
      </c>
      <c r="U97" s="30">
        <f>20</f>
        <v>20</v>
      </c>
      <c r="V97" s="30">
        <f>2206080650</f>
        <v>2206080650</v>
      </c>
      <c r="W97" s="30">
        <f>69700</f>
        <v>69700</v>
      </c>
      <c r="X97" s="34">
        <f>20</f>
        <v>20</v>
      </c>
    </row>
    <row r="98" spans="1:24" x14ac:dyDescent="0.15">
      <c r="A98" s="25" t="s">
        <v>1128</v>
      </c>
      <c r="B98" s="25" t="s">
        <v>274</v>
      </c>
      <c r="C98" s="25" t="s">
        <v>275</v>
      </c>
      <c r="D98" s="25" t="s">
        <v>276</v>
      </c>
      <c r="E98" s="26" t="s">
        <v>43</v>
      </c>
      <c r="F98" s="27" t="s">
        <v>43</v>
      </c>
      <c r="G98" s="28" t="s">
        <v>43</v>
      </c>
      <c r="H98" s="29"/>
      <c r="I98" s="29" t="s">
        <v>44</v>
      </c>
      <c r="J98" s="30">
        <v>10</v>
      </c>
      <c r="K98" s="31">
        <f>13345</f>
        <v>13345</v>
      </c>
      <c r="L98" s="32" t="s">
        <v>1110</v>
      </c>
      <c r="M98" s="31">
        <f>13665</f>
        <v>13665</v>
      </c>
      <c r="N98" s="32" t="s">
        <v>674</v>
      </c>
      <c r="O98" s="31">
        <f>12310</f>
        <v>12310</v>
      </c>
      <c r="P98" s="32" t="s">
        <v>1123</v>
      </c>
      <c r="Q98" s="31">
        <f>12960</f>
        <v>12960</v>
      </c>
      <c r="R98" s="32" t="s">
        <v>883</v>
      </c>
      <c r="S98" s="33">
        <f>12978.25</f>
        <v>12978.25</v>
      </c>
      <c r="T98" s="30">
        <f>54470</f>
        <v>54470</v>
      </c>
      <c r="U98" s="30">
        <f>200</f>
        <v>200</v>
      </c>
      <c r="V98" s="30">
        <f>711153200</f>
        <v>711153200</v>
      </c>
      <c r="W98" s="30">
        <f>2624000</f>
        <v>2624000</v>
      </c>
      <c r="X98" s="34">
        <f>20</f>
        <v>20</v>
      </c>
    </row>
    <row r="99" spans="1:24" x14ac:dyDescent="0.15">
      <c r="A99" s="25" t="s">
        <v>1128</v>
      </c>
      <c r="B99" s="25" t="s">
        <v>277</v>
      </c>
      <c r="C99" s="25" t="s">
        <v>278</v>
      </c>
      <c r="D99" s="25" t="s">
        <v>972</v>
      </c>
      <c r="E99" s="26" t="s">
        <v>43</v>
      </c>
      <c r="F99" s="27" t="s">
        <v>43</v>
      </c>
      <c r="G99" s="28" t="s">
        <v>43</v>
      </c>
      <c r="H99" s="29"/>
      <c r="I99" s="29" t="s">
        <v>44</v>
      </c>
      <c r="J99" s="30">
        <v>1</v>
      </c>
      <c r="K99" s="31">
        <f>35750</f>
        <v>35750</v>
      </c>
      <c r="L99" s="32" t="s">
        <v>1110</v>
      </c>
      <c r="M99" s="31">
        <f>38230</f>
        <v>38230</v>
      </c>
      <c r="N99" s="32" t="s">
        <v>1111</v>
      </c>
      <c r="O99" s="31">
        <f>34990</f>
        <v>34990</v>
      </c>
      <c r="P99" s="32" t="s">
        <v>677</v>
      </c>
      <c r="Q99" s="31">
        <f>38170</f>
        <v>38170</v>
      </c>
      <c r="R99" s="32" t="s">
        <v>883</v>
      </c>
      <c r="S99" s="33">
        <f>36738</f>
        <v>36738</v>
      </c>
      <c r="T99" s="30">
        <f>187748</f>
        <v>187748</v>
      </c>
      <c r="U99" s="30">
        <f>112124</f>
        <v>112124</v>
      </c>
      <c r="V99" s="30">
        <f>6849908063</f>
        <v>6849908063</v>
      </c>
      <c r="W99" s="30">
        <f>4083782083</f>
        <v>4083782083</v>
      </c>
      <c r="X99" s="34">
        <f>20</f>
        <v>20</v>
      </c>
    </row>
    <row r="100" spans="1:24" x14ac:dyDescent="0.15">
      <c r="A100" s="25" t="s">
        <v>1128</v>
      </c>
      <c r="B100" s="25" t="s">
        <v>279</v>
      </c>
      <c r="C100" s="25" t="s">
        <v>280</v>
      </c>
      <c r="D100" s="25" t="s">
        <v>281</v>
      </c>
      <c r="E100" s="26" t="s">
        <v>43</v>
      </c>
      <c r="F100" s="27" t="s">
        <v>43</v>
      </c>
      <c r="G100" s="28" t="s">
        <v>43</v>
      </c>
      <c r="H100" s="29"/>
      <c r="I100" s="29" t="s">
        <v>44</v>
      </c>
      <c r="J100" s="30">
        <v>1</v>
      </c>
      <c r="K100" s="31">
        <f>3130</f>
        <v>3130</v>
      </c>
      <c r="L100" s="32" t="s">
        <v>1110</v>
      </c>
      <c r="M100" s="31">
        <f>3275</f>
        <v>3275</v>
      </c>
      <c r="N100" s="32" t="s">
        <v>874</v>
      </c>
      <c r="O100" s="31">
        <f>3050</f>
        <v>3050</v>
      </c>
      <c r="P100" s="32" t="s">
        <v>677</v>
      </c>
      <c r="Q100" s="31">
        <f>3245</f>
        <v>3245</v>
      </c>
      <c r="R100" s="32" t="s">
        <v>883</v>
      </c>
      <c r="S100" s="33">
        <f>3179.75</f>
        <v>3179.75</v>
      </c>
      <c r="T100" s="30">
        <f>114924</f>
        <v>114924</v>
      </c>
      <c r="U100" s="30">
        <f>1</f>
        <v>1</v>
      </c>
      <c r="V100" s="30">
        <f>365882490</f>
        <v>365882490</v>
      </c>
      <c r="W100" s="30">
        <f>3195</f>
        <v>3195</v>
      </c>
      <c r="X100" s="34">
        <f>20</f>
        <v>20</v>
      </c>
    </row>
    <row r="101" spans="1:24" x14ac:dyDescent="0.15">
      <c r="A101" s="25" t="s">
        <v>1128</v>
      </c>
      <c r="B101" s="25" t="s">
        <v>282</v>
      </c>
      <c r="C101" s="25" t="s">
        <v>283</v>
      </c>
      <c r="D101" s="25" t="s">
        <v>284</v>
      </c>
      <c r="E101" s="26" t="s">
        <v>43</v>
      </c>
      <c r="F101" s="27" t="s">
        <v>43</v>
      </c>
      <c r="G101" s="28" t="s">
        <v>43</v>
      </c>
      <c r="H101" s="29"/>
      <c r="I101" s="29" t="s">
        <v>44</v>
      </c>
      <c r="J101" s="30">
        <v>10</v>
      </c>
      <c r="K101" s="31">
        <f>31030</f>
        <v>31030</v>
      </c>
      <c r="L101" s="32" t="s">
        <v>1110</v>
      </c>
      <c r="M101" s="31">
        <f>33770</f>
        <v>33770</v>
      </c>
      <c r="N101" s="32" t="s">
        <v>874</v>
      </c>
      <c r="O101" s="31">
        <f>29330</f>
        <v>29330</v>
      </c>
      <c r="P101" s="32" t="s">
        <v>677</v>
      </c>
      <c r="Q101" s="31">
        <f>33110</f>
        <v>33110</v>
      </c>
      <c r="R101" s="32" t="s">
        <v>883</v>
      </c>
      <c r="S101" s="33">
        <f>31830.75</f>
        <v>31830.75</v>
      </c>
      <c r="T101" s="30">
        <f>8564540</f>
        <v>8564540</v>
      </c>
      <c r="U101" s="30">
        <f>2590</f>
        <v>2590</v>
      </c>
      <c r="V101" s="30">
        <f>271595369450</f>
        <v>271595369450</v>
      </c>
      <c r="W101" s="30">
        <f>82947000</f>
        <v>82947000</v>
      </c>
      <c r="X101" s="34">
        <f>20</f>
        <v>20</v>
      </c>
    </row>
    <row r="102" spans="1:24" x14ac:dyDescent="0.15">
      <c r="A102" s="25" t="s">
        <v>1128</v>
      </c>
      <c r="B102" s="25" t="s">
        <v>285</v>
      </c>
      <c r="C102" s="25" t="s">
        <v>286</v>
      </c>
      <c r="D102" s="25" t="s">
        <v>287</v>
      </c>
      <c r="E102" s="26" t="s">
        <v>43</v>
      </c>
      <c r="F102" s="27" t="s">
        <v>43</v>
      </c>
      <c r="G102" s="28" t="s">
        <v>43</v>
      </c>
      <c r="H102" s="29"/>
      <c r="I102" s="29" t="s">
        <v>44</v>
      </c>
      <c r="J102" s="30">
        <v>10</v>
      </c>
      <c r="K102" s="31">
        <f>1662.5</f>
        <v>1662.5</v>
      </c>
      <c r="L102" s="32" t="s">
        <v>1110</v>
      </c>
      <c r="M102" s="31">
        <f>1705.5</f>
        <v>1705.5</v>
      </c>
      <c r="N102" s="32" t="s">
        <v>677</v>
      </c>
      <c r="O102" s="31">
        <f>1585</f>
        <v>1585</v>
      </c>
      <c r="P102" s="32" t="s">
        <v>874</v>
      </c>
      <c r="Q102" s="31">
        <f>1599.5</f>
        <v>1599.5</v>
      </c>
      <c r="R102" s="32" t="s">
        <v>883</v>
      </c>
      <c r="S102" s="33">
        <f>1637.4</f>
        <v>1637.4</v>
      </c>
      <c r="T102" s="30">
        <f>6341340</f>
        <v>6341340</v>
      </c>
      <c r="U102" s="30">
        <f>2387120</f>
        <v>2387120</v>
      </c>
      <c r="V102" s="30">
        <f>10537972844</f>
        <v>10537972844</v>
      </c>
      <c r="W102" s="30">
        <f>4013759859</f>
        <v>4013759859</v>
      </c>
      <c r="X102" s="34">
        <f>20</f>
        <v>20</v>
      </c>
    </row>
    <row r="103" spans="1:24" x14ac:dyDescent="0.15">
      <c r="A103" s="25" t="s">
        <v>1128</v>
      </c>
      <c r="B103" s="25" t="s">
        <v>288</v>
      </c>
      <c r="C103" s="25" t="s">
        <v>922</v>
      </c>
      <c r="D103" s="25" t="s">
        <v>923</v>
      </c>
      <c r="E103" s="26" t="s">
        <v>43</v>
      </c>
      <c r="F103" s="27" t="s">
        <v>43</v>
      </c>
      <c r="G103" s="28" t="s">
        <v>43</v>
      </c>
      <c r="H103" s="29"/>
      <c r="I103" s="29" t="s">
        <v>44</v>
      </c>
      <c r="J103" s="30">
        <v>10</v>
      </c>
      <c r="K103" s="31">
        <f>1866</f>
        <v>1866</v>
      </c>
      <c r="L103" s="32" t="s">
        <v>1110</v>
      </c>
      <c r="M103" s="31">
        <f>1958</f>
        <v>1958</v>
      </c>
      <c r="N103" s="32" t="s">
        <v>874</v>
      </c>
      <c r="O103" s="31">
        <f>1815</f>
        <v>1815</v>
      </c>
      <c r="P103" s="32" t="s">
        <v>677</v>
      </c>
      <c r="Q103" s="31">
        <f>1933.5</f>
        <v>1933.5</v>
      </c>
      <c r="R103" s="32" t="s">
        <v>883</v>
      </c>
      <c r="S103" s="33">
        <f>1892.98</f>
        <v>1892.98</v>
      </c>
      <c r="T103" s="30">
        <f>21110</f>
        <v>21110</v>
      </c>
      <c r="U103" s="30">
        <f>40</f>
        <v>40</v>
      </c>
      <c r="V103" s="30">
        <f>40031800</f>
        <v>40031800</v>
      </c>
      <c r="W103" s="30">
        <f>76120</f>
        <v>76120</v>
      </c>
      <c r="X103" s="34">
        <f>20</f>
        <v>20</v>
      </c>
    </row>
    <row r="104" spans="1:24" x14ac:dyDescent="0.15">
      <c r="A104" s="25" t="s">
        <v>1128</v>
      </c>
      <c r="B104" s="25" t="s">
        <v>289</v>
      </c>
      <c r="C104" s="25" t="s">
        <v>290</v>
      </c>
      <c r="D104" s="25" t="s">
        <v>291</v>
      </c>
      <c r="E104" s="26" t="s">
        <v>43</v>
      </c>
      <c r="F104" s="27" t="s">
        <v>43</v>
      </c>
      <c r="G104" s="28" t="s">
        <v>43</v>
      </c>
      <c r="H104" s="29"/>
      <c r="I104" s="29" t="s">
        <v>44</v>
      </c>
      <c r="J104" s="30">
        <v>1</v>
      </c>
      <c r="K104" s="31">
        <f>2180</f>
        <v>2180</v>
      </c>
      <c r="L104" s="32" t="s">
        <v>1110</v>
      </c>
      <c r="M104" s="31">
        <f>2290</f>
        <v>2290</v>
      </c>
      <c r="N104" s="32" t="s">
        <v>679</v>
      </c>
      <c r="O104" s="31">
        <f>2120</f>
        <v>2120</v>
      </c>
      <c r="P104" s="32" t="s">
        <v>1123</v>
      </c>
      <c r="Q104" s="31">
        <f>2264</f>
        <v>2264</v>
      </c>
      <c r="R104" s="32" t="s">
        <v>883</v>
      </c>
      <c r="S104" s="33">
        <f>2214.4</f>
        <v>2214.4</v>
      </c>
      <c r="T104" s="30">
        <f>4479</f>
        <v>4479</v>
      </c>
      <c r="U104" s="30">
        <f>4</f>
        <v>4</v>
      </c>
      <c r="V104" s="30">
        <f>9831717</f>
        <v>9831717</v>
      </c>
      <c r="W104" s="30">
        <f>9082</f>
        <v>9082</v>
      </c>
      <c r="X104" s="34">
        <f>20</f>
        <v>20</v>
      </c>
    </row>
    <row r="105" spans="1:24" x14ac:dyDescent="0.15">
      <c r="A105" s="25" t="s">
        <v>1128</v>
      </c>
      <c r="B105" s="25" t="s">
        <v>292</v>
      </c>
      <c r="C105" s="25" t="s">
        <v>293</v>
      </c>
      <c r="D105" s="25" t="s">
        <v>294</v>
      </c>
      <c r="E105" s="26" t="s">
        <v>43</v>
      </c>
      <c r="F105" s="27" t="s">
        <v>43</v>
      </c>
      <c r="G105" s="28" t="s">
        <v>43</v>
      </c>
      <c r="H105" s="29"/>
      <c r="I105" s="29" t="s">
        <v>44</v>
      </c>
      <c r="J105" s="30">
        <v>1</v>
      </c>
      <c r="K105" s="31">
        <f>24300</f>
        <v>24300</v>
      </c>
      <c r="L105" s="32" t="s">
        <v>1110</v>
      </c>
      <c r="M105" s="31">
        <f>25615</f>
        <v>25615</v>
      </c>
      <c r="N105" s="32" t="s">
        <v>874</v>
      </c>
      <c r="O105" s="31">
        <f>23790</f>
        <v>23790</v>
      </c>
      <c r="P105" s="32" t="s">
        <v>677</v>
      </c>
      <c r="Q105" s="31">
        <f>25485</f>
        <v>25485</v>
      </c>
      <c r="R105" s="32" t="s">
        <v>883</v>
      </c>
      <c r="S105" s="33">
        <f>24812.75</f>
        <v>24812.75</v>
      </c>
      <c r="T105" s="30">
        <f>143897</f>
        <v>143897</v>
      </c>
      <c r="U105" s="30">
        <f>83530</f>
        <v>83530</v>
      </c>
      <c r="V105" s="30">
        <f>3576272768</f>
        <v>3576272768</v>
      </c>
      <c r="W105" s="30">
        <f>2098694558</f>
        <v>2098694558</v>
      </c>
      <c r="X105" s="34">
        <f>20</f>
        <v>20</v>
      </c>
    </row>
    <row r="106" spans="1:24" x14ac:dyDescent="0.15">
      <c r="A106" s="25" t="s">
        <v>1128</v>
      </c>
      <c r="B106" s="25" t="s">
        <v>295</v>
      </c>
      <c r="C106" s="25" t="s">
        <v>296</v>
      </c>
      <c r="D106" s="25" t="s">
        <v>297</v>
      </c>
      <c r="E106" s="26" t="s">
        <v>43</v>
      </c>
      <c r="F106" s="27" t="s">
        <v>43</v>
      </c>
      <c r="G106" s="28" t="s">
        <v>43</v>
      </c>
      <c r="H106" s="29"/>
      <c r="I106" s="29" t="s">
        <v>44</v>
      </c>
      <c r="J106" s="30">
        <v>1</v>
      </c>
      <c r="K106" s="31">
        <f>2235</f>
        <v>2235</v>
      </c>
      <c r="L106" s="32" t="s">
        <v>1110</v>
      </c>
      <c r="M106" s="31">
        <f>2340</f>
        <v>2340</v>
      </c>
      <c r="N106" s="32" t="s">
        <v>874</v>
      </c>
      <c r="O106" s="31">
        <f>2173</f>
        <v>2173</v>
      </c>
      <c r="P106" s="32" t="s">
        <v>677</v>
      </c>
      <c r="Q106" s="31">
        <f>2322</f>
        <v>2322</v>
      </c>
      <c r="R106" s="32" t="s">
        <v>883</v>
      </c>
      <c r="S106" s="33">
        <f>2265.6</f>
        <v>2265.6</v>
      </c>
      <c r="T106" s="30">
        <f>113215</f>
        <v>113215</v>
      </c>
      <c r="U106" s="30">
        <f>25000</f>
        <v>25000</v>
      </c>
      <c r="V106" s="30">
        <f>253810075</f>
        <v>253810075</v>
      </c>
      <c r="W106" s="30">
        <f>55225000</f>
        <v>55225000</v>
      </c>
      <c r="X106" s="34">
        <f>20</f>
        <v>20</v>
      </c>
    </row>
    <row r="107" spans="1:24" x14ac:dyDescent="0.15">
      <c r="A107" s="25" t="s">
        <v>1128</v>
      </c>
      <c r="B107" s="25" t="s">
        <v>298</v>
      </c>
      <c r="C107" s="25" t="s">
        <v>299</v>
      </c>
      <c r="D107" s="25" t="s">
        <v>300</v>
      </c>
      <c r="E107" s="26" t="s">
        <v>43</v>
      </c>
      <c r="F107" s="27" t="s">
        <v>43</v>
      </c>
      <c r="G107" s="28" t="s">
        <v>43</v>
      </c>
      <c r="H107" s="29"/>
      <c r="I107" s="29" t="s">
        <v>44</v>
      </c>
      <c r="J107" s="30">
        <v>1</v>
      </c>
      <c r="K107" s="31">
        <f>24805</f>
        <v>24805</v>
      </c>
      <c r="L107" s="32" t="s">
        <v>1110</v>
      </c>
      <c r="M107" s="31">
        <f>26115</f>
        <v>26115</v>
      </c>
      <c r="N107" s="32" t="s">
        <v>874</v>
      </c>
      <c r="O107" s="31">
        <f>24280</f>
        <v>24280</v>
      </c>
      <c r="P107" s="32" t="s">
        <v>677</v>
      </c>
      <c r="Q107" s="31">
        <f>26020</f>
        <v>26020</v>
      </c>
      <c r="R107" s="32" t="s">
        <v>883</v>
      </c>
      <c r="S107" s="33">
        <f>25324.75</f>
        <v>25324.75</v>
      </c>
      <c r="T107" s="30">
        <f>76682</f>
        <v>76682</v>
      </c>
      <c r="U107" s="30">
        <f>33800</f>
        <v>33800</v>
      </c>
      <c r="V107" s="30">
        <f>1912783685</f>
        <v>1912783685</v>
      </c>
      <c r="W107" s="30">
        <f>853667980</f>
        <v>853667980</v>
      </c>
      <c r="X107" s="34">
        <f>20</f>
        <v>20</v>
      </c>
    </row>
    <row r="108" spans="1:24" x14ac:dyDescent="0.15">
      <c r="A108" s="25" t="s">
        <v>1128</v>
      </c>
      <c r="B108" s="25" t="s">
        <v>301</v>
      </c>
      <c r="C108" s="25" t="s">
        <v>302</v>
      </c>
      <c r="D108" s="25" t="s">
        <v>303</v>
      </c>
      <c r="E108" s="26" t="s">
        <v>43</v>
      </c>
      <c r="F108" s="27" t="s">
        <v>43</v>
      </c>
      <c r="G108" s="28" t="s">
        <v>43</v>
      </c>
      <c r="H108" s="29"/>
      <c r="I108" s="29" t="s">
        <v>44</v>
      </c>
      <c r="J108" s="30">
        <v>10</v>
      </c>
      <c r="K108" s="31">
        <f>1746</f>
        <v>1746</v>
      </c>
      <c r="L108" s="32" t="s">
        <v>1110</v>
      </c>
      <c r="M108" s="31">
        <f>1880</f>
        <v>1880</v>
      </c>
      <c r="N108" s="32" t="s">
        <v>1114</v>
      </c>
      <c r="O108" s="31">
        <f>1704</f>
        <v>1704</v>
      </c>
      <c r="P108" s="32" t="s">
        <v>1123</v>
      </c>
      <c r="Q108" s="31">
        <f>1849</f>
        <v>1849</v>
      </c>
      <c r="R108" s="32" t="s">
        <v>883</v>
      </c>
      <c r="S108" s="33">
        <f>1786.43</f>
        <v>1786.43</v>
      </c>
      <c r="T108" s="30">
        <f>7378870</f>
        <v>7378870</v>
      </c>
      <c r="U108" s="30">
        <f>829370</f>
        <v>829370</v>
      </c>
      <c r="V108" s="30">
        <f>13492248150</f>
        <v>13492248150</v>
      </c>
      <c r="W108" s="30">
        <f>1524876470</f>
        <v>1524876470</v>
      </c>
      <c r="X108" s="34">
        <f>20</f>
        <v>20</v>
      </c>
    </row>
    <row r="109" spans="1:24" x14ac:dyDescent="0.15">
      <c r="A109" s="25" t="s">
        <v>1128</v>
      </c>
      <c r="B109" s="25" t="s">
        <v>304</v>
      </c>
      <c r="C109" s="25" t="s">
        <v>305</v>
      </c>
      <c r="D109" s="25" t="s">
        <v>306</v>
      </c>
      <c r="E109" s="26" t="s">
        <v>43</v>
      </c>
      <c r="F109" s="27" t="s">
        <v>43</v>
      </c>
      <c r="G109" s="28" t="s">
        <v>43</v>
      </c>
      <c r="H109" s="29"/>
      <c r="I109" s="29" t="s">
        <v>44</v>
      </c>
      <c r="J109" s="30">
        <v>10</v>
      </c>
      <c r="K109" s="31">
        <f>2215</f>
        <v>2215</v>
      </c>
      <c r="L109" s="32" t="s">
        <v>1110</v>
      </c>
      <c r="M109" s="31">
        <f>2311</f>
        <v>2311</v>
      </c>
      <c r="N109" s="32" t="s">
        <v>874</v>
      </c>
      <c r="O109" s="31">
        <f>2215</f>
        <v>2215</v>
      </c>
      <c r="P109" s="32" t="s">
        <v>1110</v>
      </c>
      <c r="Q109" s="31">
        <f>2301</f>
        <v>2301</v>
      </c>
      <c r="R109" s="32" t="s">
        <v>676</v>
      </c>
      <c r="S109" s="33">
        <f>2260.3</f>
        <v>2260.3000000000002</v>
      </c>
      <c r="T109" s="30">
        <f>80</f>
        <v>80</v>
      </c>
      <c r="U109" s="30" t="str">
        <f>"－"</f>
        <v>－</v>
      </c>
      <c r="V109" s="30">
        <f>179465</f>
        <v>179465</v>
      </c>
      <c r="W109" s="30" t="str">
        <f>"－"</f>
        <v>－</v>
      </c>
      <c r="X109" s="34">
        <f>5</f>
        <v>5</v>
      </c>
    </row>
    <row r="110" spans="1:24" x14ac:dyDescent="0.15">
      <c r="A110" s="25" t="s">
        <v>1128</v>
      </c>
      <c r="B110" s="25" t="s">
        <v>307</v>
      </c>
      <c r="C110" s="25" t="s">
        <v>308</v>
      </c>
      <c r="D110" s="25" t="s">
        <v>309</v>
      </c>
      <c r="E110" s="26" t="s">
        <v>43</v>
      </c>
      <c r="F110" s="27" t="s">
        <v>43</v>
      </c>
      <c r="G110" s="28" t="s">
        <v>43</v>
      </c>
      <c r="H110" s="29"/>
      <c r="I110" s="29" t="s">
        <v>44</v>
      </c>
      <c r="J110" s="30">
        <v>10</v>
      </c>
      <c r="K110" s="31">
        <f>1774</f>
        <v>1774</v>
      </c>
      <c r="L110" s="32" t="s">
        <v>1110</v>
      </c>
      <c r="M110" s="31">
        <f>1869.5</f>
        <v>1869.5</v>
      </c>
      <c r="N110" s="32" t="s">
        <v>679</v>
      </c>
      <c r="O110" s="31">
        <f>1697.5</f>
        <v>1697.5</v>
      </c>
      <c r="P110" s="32" t="s">
        <v>1123</v>
      </c>
      <c r="Q110" s="31">
        <f>1842.5</f>
        <v>1842.5</v>
      </c>
      <c r="R110" s="32" t="s">
        <v>883</v>
      </c>
      <c r="S110" s="33">
        <f>1785.75</f>
        <v>1785.75</v>
      </c>
      <c r="T110" s="30">
        <f>5181250</f>
        <v>5181250</v>
      </c>
      <c r="U110" s="30">
        <f>2551570</f>
        <v>2551570</v>
      </c>
      <c r="V110" s="30">
        <f>9198777871</f>
        <v>9198777871</v>
      </c>
      <c r="W110" s="30">
        <f>4547462006</f>
        <v>4547462006</v>
      </c>
      <c r="X110" s="34">
        <f>20</f>
        <v>20</v>
      </c>
    </row>
    <row r="111" spans="1:24" x14ac:dyDescent="0.15">
      <c r="A111" s="25" t="s">
        <v>1128</v>
      </c>
      <c r="B111" s="25" t="s">
        <v>310</v>
      </c>
      <c r="C111" s="25" t="s">
        <v>924</v>
      </c>
      <c r="D111" s="25" t="s">
        <v>925</v>
      </c>
      <c r="E111" s="26" t="s">
        <v>43</v>
      </c>
      <c r="F111" s="27" t="s">
        <v>43</v>
      </c>
      <c r="G111" s="28" t="s">
        <v>43</v>
      </c>
      <c r="H111" s="29"/>
      <c r="I111" s="29" t="s">
        <v>44</v>
      </c>
      <c r="J111" s="30">
        <v>1</v>
      </c>
      <c r="K111" s="31">
        <f>24495</f>
        <v>24495</v>
      </c>
      <c r="L111" s="32" t="s">
        <v>1110</v>
      </c>
      <c r="M111" s="31">
        <f>26000</f>
        <v>26000</v>
      </c>
      <c r="N111" s="32" t="s">
        <v>874</v>
      </c>
      <c r="O111" s="31">
        <f>24075</f>
        <v>24075</v>
      </c>
      <c r="P111" s="32" t="s">
        <v>677</v>
      </c>
      <c r="Q111" s="31">
        <f>25755</f>
        <v>25755</v>
      </c>
      <c r="R111" s="32" t="s">
        <v>883</v>
      </c>
      <c r="S111" s="33">
        <f>25158.75</f>
        <v>25158.75</v>
      </c>
      <c r="T111" s="30">
        <f>11019</f>
        <v>11019</v>
      </c>
      <c r="U111" s="30" t="str">
        <f>"－"</f>
        <v>－</v>
      </c>
      <c r="V111" s="30">
        <f>273325240</f>
        <v>273325240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1128</v>
      </c>
      <c r="B112" s="25" t="s">
        <v>1143</v>
      </c>
      <c r="C112" s="25" t="s">
        <v>1142</v>
      </c>
      <c r="D112" s="25" t="s">
        <v>1141</v>
      </c>
      <c r="E112" s="26" t="s">
        <v>672</v>
      </c>
      <c r="F112" s="27" t="s">
        <v>673</v>
      </c>
      <c r="G112" s="28" t="s">
        <v>1140</v>
      </c>
      <c r="H112" s="29"/>
      <c r="I112" s="29" t="s">
        <v>44</v>
      </c>
      <c r="J112" s="30">
        <v>10</v>
      </c>
      <c r="K112" s="31">
        <f>508.9</f>
        <v>508.9</v>
      </c>
      <c r="L112" s="32" t="s">
        <v>678</v>
      </c>
      <c r="M112" s="31">
        <f>536.1</f>
        <v>536.1</v>
      </c>
      <c r="N112" s="32" t="s">
        <v>1112</v>
      </c>
      <c r="O112" s="31">
        <f>507</f>
        <v>507</v>
      </c>
      <c r="P112" s="32" t="s">
        <v>678</v>
      </c>
      <c r="Q112" s="31">
        <f>522</f>
        <v>522</v>
      </c>
      <c r="R112" s="32" t="s">
        <v>883</v>
      </c>
      <c r="S112" s="33">
        <f>521.34</f>
        <v>521.34</v>
      </c>
      <c r="T112" s="30">
        <f>1703740</f>
        <v>1703740</v>
      </c>
      <c r="U112" s="30">
        <f>187000</f>
        <v>187000</v>
      </c>
      <c r="V112" s="30">
        <f>885670313</f>
        <v>885670313</v>
      </c>
      <c r="W112" s="30">
        <f>95744000</f>
        <v>95744000</v>
      </c>
      <c r="X112" s="34">
        <f>9</f>
        <v>9</v>
      </c>
    </row>
    <row r="113" spans="1:24" x14ac:dyDescent="0.15">
      <c r="A113" s="25" t="s">
        <v>1128</v>
      </c>
      <c r="B113" s="25" t="s">
        <v>311</v>
      </c>
      <c r="C113" s="25" t="s">
        <v>312</v>
      </c>
      <c r="D113" s="25" t="s">
        <v>313</v>
      </c>
      <c r="E113" s="26" t="s">
        <v>43</v>
      </c>
      <c r="F113" s="27" t="s">
        <v>43</v>
      </c>
      <c r="G113" s="28" t="s">
        <v>43</v>
      </c>
      <c r="H113" s="29"/>
      <c r="I113" s="29" t="s">
        <v>44</v>
      </c>
      <c r="J113" s="30">
        <v>100</v>
      </c>
      <c r="K113" s="31">
        <f>312.1</f>
        <v>312.10000000000002</v>
      </c>
      <c r="L113" s="32" t="s">
        <v>1110</v>
      </c>
      <c r="M113" s="31">
        <f>340</f>
        <v>340</v>
      </c>
      <c r="N113" s="32" t="s">
        <v>1113</v>
      </c>
      <c r="O113" s="31">
        <f>311.6</f>
        <v>311.60000000000002</v>
      </c>
      <c r="P113" s="32" t="s">
        <v>1110</v>
      </c>
      <c r="Q113" s="31">
        <f>332.8</f>
        <v>332.8</v>
      </c>
      <c r="R113" s="32" t="s">
        <v>883</v>
      </c>
      <c r="S113" s="33">
        <f>325.42</f>
        <v>325.42</v>
      </c>
      <c r="T113" s="30">
        <f>186020500</f>
        <v>186020500</v>
      </c>
      <c r="U113" s="30">
        <f>20953800</f>
        <v>20953800</v>
      </c>
      <c r="V113" s="30">
        <f>60488126276</f>
        <v>60488126276</v>
      </c>
      <c r="W113" s="30">
        <f>6863742916</f>
        <v>6863742916</v>
      </c>
      <c r="X113" s="34">
        <f>20</f>
        <v>20</v>
      </c>
    </row>
    <row r="114" spans="1:24" x14ac:dyDescent="0.15">
      <c r="A114" s="25" t="s">
        <v>1128</v>
      </c>
      <c r="B114" s="25" t="s">
        <v>314</v>
      </c>
      <c r="C114" s="25" t="s">
        <v>315</v>
      </c>
      <c r="D114" s="25" t="s">
        <v>316</v>
      </c>
      <c r="E114" s="26" t="s">
        <v>43</v>
      </c>
      <c r="F114" s="27" t="s">
        <v>43</v>
      </c>
      <c r="G114" s="28" t="s">
        <v>43</v>
      </c>
      <c r="H114" s="29"/>
      <c r="I114" s="29" t="s">
        <v>44</v>
      </c>
      <c r="J114" s="30">
        <v>1</v>
      </c>
      <c r="K114" s="31">
        <f>37440</f>
        <v>37440</v>
      </c>
      <c r="L114" s="32" t="s">
        <v>1110</v>
      </c>
      <c r="M114" s="31">
        <f>39550</f>
        <v>39550</v>
      </c>
      <c r="N114" s="32" t="s">
        <v>1114</v>
      </c>
      <c r="O114" s="31">
        <f>36200</f>
        <v>36200</v>
      </c>
      <c r="P114" s="32" t="s">
        <v>677</v>
      </c>
      <c r="Q114" s="31">
        <f>38080</f>
        <v>38080</v>
      </c>
      <c r="R114" s="32" t="s">
        <v>883</v>
      </c>
      <c r="S114" s="33">
        <f>37244.5</f>
        <v>37244.5</v>
      </c>
      <c r="T114" s="30">
        <f>8391</f>
        <v>8391</v>
      </c>
      <c r="U114" s="30">
        <f>3000</f>
        <v>3000</v>
      </c>
      <c r="V114" s="30">
        <f>311305290</f>
        <v>311305290</v>
      </c>
      <c r="W114" s="30">
        <f>111288900</f>
        <v>111288900</v>
      </c>
      <c r="X114" s="34">
        <f>20</f>
        <v>20</v>
      </c>
    </row>
    <row r="115" spans="1:24" x14ac:dyDescent="0.15">
      <c r="A115" s="25" t="s">
        <v>1128</v>
      </c>
      <c r="B115" s="25" t="s">
        <v>317</v>
      </c>
      <c r="C115" s="25" t="s">
        <v>318</v>
      </c>
      <c r="D115" s="25" t="s">
        <v>319</v>
      </c>
      <c r="E115" s="26" t="s">
        <v>43</v>
      </c>
      <c r="F115" s="27" t="s">
        <v>43</v>
      </c>
      <c r="G115" s="28" t="s">
        <v>43</v>
      </c>
      <c r="H115" s="29"/>
      <c r="I115" s="29" t="s">
        <v>44</v>
      </c>
      <c r="J115" s="30">
        <v>1</v>
      </c>
      <c r="K115" s="31">
        <f>19620</f>
        <v>19620</v>
      </c>
      <c r="L115" s="32" t="s">
        <v>1110</v>
      </c>
      <c r="M115" s="31">
        <f>22385</f>
        <v>22385</v>
      </c>
      <c r="N115" s="32" t="s">
        <v>883</v>
      </c>
      <c r="O115" s="31">
        <f>19620</f>
        <v>19620</v>
      </c>
      <c r="P115" s="32" t="s">
        <v>1110</v>
      </c>
      <c r="Q115" s="31">
        <f>22280</f>
        <v>22280</v>
      </c>
      <c r="R115" s="32" t="s">
        <v>883</v>
      </c>
      <c r="S115" s="33">
        <f>21008.25</f>
        <v>21008.25</v>
      </c>
      <c r="T115" s="30">
        <f>15547</f>
        <v>15547</v>
      </c>
      <c r="U115" s="30" t="str">
        <f>"－"</f>
        <v>－</v>
      </c>
      <c r="V115" s="30">
        <f>325826705</f>
        <v>325826705</v>
      </c>
      <c r="W115" s="30" t="str">
        <f>"－"</f>
        <v>－</v>
      </c>
      <c r="X115" s="34">
        <f>20</f>
        <v>20</v>
      </c>
    </row>
    <row r="116" spans="1:24" x14ac:dyDescent="0.15">
      <c r="A116" s="25" t="s">
        <v>1128</v>
      </c>
      <c r="B116" s="25" t="s">
        <v>320</v>
      </c>
      <c r="C116" s="25" t="s">
        <v>321</v>
      </c>
      <c r="D116" s="25" t="s">
        <v>322</v>
      </c>
      <c r="E116" s="26" t="s">
        <v>43</v>
      </c>
      <c r="F116" s="27" t="s">
        <v>43</v>
      </c>
      <c r="G116" s="28" t="s">
        <v>43</v>
      </c>
      <c r="H116" s="29"/>
      <c r="I116" s="29" t="s">
        <v>44</v>
      </c>
      <c r="J116" s="30">
        <v>1</v>
      </c>
      <c r="K116" s="31">
        <f>28870</f>
        <v>28870</v>
      </c>
      <c r="L116" s="32" t="s">
        <v>1110</v>
      </c>
      <c r="M116" s="31">
        <f>31380</f>
        <v>31380</v>
      </c>
      <c r="N116" s="32" t="s">
        <v>1114</v>
      </c>
      <c r="O116" s="31">
        <f>28870</f>
        <v>28870</v>
      </c>
      <c r="P116" s="32" t="s">
        <v>1110</v>
      </c>
      <c r="Q116" s="31">
        <f>31200</f>
        <v>31200</v>
      </c>
      <c r="R116" s="32" t="s">
        <v>883</v>
      </c>
      <c r="S116" s="33">
        <f>30102.75</f>
        <v>30102.75</v>
      </c>
      <c r="T116" s="30">
        <f>5827</f>
        <v>5827</v>
      </c>
      <c r="U116" s="30">
        <f>1</f>
        <v>1</v>
      </c>
      <c r="V116" s="30">
        <f>174424620</f>
        <v>174424620</v>
      </c>
      <c r="W116" s="30">
        <f>31200</f>
        <v>31200</v>
      </c>
      <c r="X116" s="34">
        <f>20</f>
        <v>20</v>
      </c>
    </row>
    <row r="117" spans="1:24" x14ac:dyDescent="0.15">
      <c r="A117" s="25" t="s">
        <v>1128</v>
      </c>
      <c r="B117" s="25" t="s">
        <v>323</v>
      </c>
      <c r="C117" s="25" t="s">
        <v>324</v>
      </c>
      <c r="D117" s="25" t="s">
        <v>325</v>
      </c>
      <c r="E117" s="26" t="s">
        <v>43</v>
      </c>
      <c r="F117" s="27" t="s">
        <v>43</v>
      </c>
      <c r="G117" s="28" t="s">
        <v>43</v>
      </c>
      <c r="H117" s="29"/>
      <c r="I117" s="29" t="s">
        <v>44</v>
      </c>
      <c r="J117" s="30">
        <v>1</v>
      </c>
      <c r="K117" s="31">
        <f>30500</f>
        <v>30500</v>
      </c>
      <c r="L117" s="32" t="s">
        <v>1110</v>
      </c>
      <c r="M117" s="31">
        <f>32110</f>
        <v>32110</v>
      </c>
      <c r="N117" s="32" t="s">
        <v>874</v>
      </c>
      <c r="O117" s="31">
        <f>29900</f>
        <v>29900</v>
      </c>
      <c r="P117" s="32" t="s">
        <v>677</v>
      </c>
      <c r="Q117" s="31">
        <f>31560</f>
        <v>31560</v>
      </c>
      <c r="R117" s="32" t="s">
        <v>883</v>
      </c>
      <c r="S117" s="33">
        <f>31148</f>
        <v>31148</v>
      </c>
      <c r="T117" s="30">
        <f>3499</f>
        <v>3499</v>
      </c>
      <c r="U117" s="30" t="str">
        <f>"－"</f>
        <v>－</v>
      </c>
      <c r="V117" s="30">
        <f>108740525</f>
        <v>108740525</v>
      </c>
      <c r="W117" s="30" t="str">
        <f>"－"</f>
        <v>－</v>
      </c>
      <c r="X117" s="34">
        <f>20</f>
        <v>20</v>
      </c>
    </row>
    <row r="118" spans="1:24" x14ac:dyDescent="0.15">
      <c r="A118" s="25" t="s">
        <v>1128</v>
      </c>
      <c r="B118" s="25" t="s">
        <v>326</v>
      </c>
      <c r="C118" s="25" t="s">
        <v>327</v>
      </c>
      <c r="D118" s="25" t="s">
        <v>328</v>
      </c>
      <c r="E118" s="26" t="s">
        <v>43</v>
      </c>
      <c r="F118" s="27" t="s">
        <v>43</v>
      </c>
      <c r="G118" s="28" t="s">
        <v>43</v>
      </c>
      <c r="H118" s="29"/>
      <c r="I118" s="29" t="s">
        <v>44</v>
      </c>
      <c r="J118" s="30">
        <v>1</v>
      </c>
      <c r="K118" s="31">
        <f>28470</f>
        <v>28470</v>
      </c>
      <c r="L118" s="32" t="s">
        <v>1110</v>
      </c>
      <c r="M118" s="31">
        <f>28795</f>
        <v>28795</v>
      </c>
      <c r="N118" s="32" t="s">
        <v>1114</v>
      </c>
      <c r="O118" s="31">
        <f>27565</f>
        <v>27565</v>
      </c>
      <c r="P118" s="32" t="s">
        <v>1117</v>
      </c>
      <c r="Q118" s="31">
        <f>28020</f>
        <v>28020</v>
      </c>
      <c r="R118" s="32" t="s">
        <v>883</v>
      </c>
      <c r="S118" s="33">
        <f>28219</f>
        <v>28219</v>
      </c>
      <c r="T118" s="30">
        <f>19683</f>
        <v>19683</v>
      </c>
      <c r="U118" s="30">
        <f>5200</f>
        <v>5200</v>
      </c>
      <c r="V118" s="30">
        <f>556449278</f>
        <v>556449278</v>
      </c>
      <c r="W118" s="30">
        <f>146944668</f>
        <v>146944668</v>
      </c>
      <c r="X118" s="34">
        <f>20</f>
        <v>20</v>
      </c>
    </row>
    <row r="119" spans="1:24" x14ac:dyDescent="0.15">
      <c r="A119" s="25" t="s">
        <v>1128</v>
      </c>
      <c r="B119" s="25" t="s">
        <v>329</v>
      </c>
      <c r="C119" s="25" t="s">
        <v>330</v>
      </c>
      <c r="D119" s="25" t="s">
        <v>331</v>
      </c>
      <c r="E119" s="26" t="s">
        <v>43</v>
      </c>
      <c r="F119" s="27" t="s">
        <v>43</v>
      </c>
      <c r="G119" s="28" t="s">
        <v>43</v>
      </c>
      <c r="H119" s="29"/>
      <c r="I119" s="29" t="s">
        <v>44</v>
      </c>
      <c r="J119" s="30">
        <v>1</v>
      </c>
      <c r="K119" s="31">
        <f>36600</f>
        <v>36600</v>
      </c>
      <c r="L119" s="32" t="s">
        <v>1110</v>
      </c>
      <c r="M119" s="31">
        <f>39650</f>
        <v>39650</v>
      </c>
      <c r="N119" s="32" t="s">
        <v>1112</v>
      </c>
      <c r="O119" s="31">
        <f>34490</f>
        <v>34490</v>
      </c>
      <c r="P119" s="32" t="s">
        <v>677</v>
      </c>
      <c r="Q119" s="31">
        <f>38810</f>
        <v>38810</v>
      </c>
      <c r="R119" s="32" t="s">
        <v>883</v>
      </c>
      <c r="S119" s="33">
        <f>37092.5</f>
        <v>37092.5</v>
      </c>
      <c r="T119" s="30">
        <f>31759</f>
        <v>31759</v>
      </c>
      <c r="U119" s="30">
        <f>11600</f>
        <v>11600</v>
      </c>
      <c r="V119" s="30">
        <f>1151383900</f>
        <v>1151383900</v>
      </c>
      <c r="W119" s="30">
        <f>407154120</f>
        <v>407154120</v>
      </c>
      <c r="X119" s="34">
        <f>20</f>
        <v>20</v>
      </c>
    </row>
    <row r="120" spans="1:24" x14ac:dyDescent="0.15">
      <c r="A120" s="25" t="s">
        <v>1128</v>
      </c>
      <c r="B120" s="25" t="s">
        <v>332</v>
      </c>
      <c r="C120" s="25" t="s">
        <v>333</v>
      </c>
      <c r="D120" s="25" t="s">
        <v>334</v>
      </c>
      <c r="E120" s="26" t="s">
        <v>43</v>
      </c>
      <c r="F120" s="27" t="s">
        <v>43</v>
      </c>
      <c r="G120" s="28" t="s">
        <v>43</v>
      </c>
      <c r="H120" s="29"/>
      <c r="I120" s="29" t="s">
        <v>44</v>
      </c>
      <c r="J120" s="30">
        <v>1</v>
      </c>
      <c r="K120" s="31">
        <f>25910</f>
        <v>25910</v>
      </c>
      <c r="L120" s="32" t="s">
        <v>1110</v>
      </c>
      <c r="M120" s="31">
        <f>28000</f>
        <v>28000</v>
      </c>
      <c r="N120" s="32" t="s">
        <v>679</v>
      </c>
      <c r="O120" s="31">
        <f>25180</f>
        <v>25180</v>
      </c>
      <c r="P120" s="32" t="s">
        <v>677</v>
      </c>
      <c r="Q120" s="31">
        <f>27565</f>
        <v>27565</v>
      </c>
      <c r="R120" s="32" t="s">
        <v>883</v>
      </c>
      <c r="S120" s="33">
        <f>26575.5</f>
        <v>26575.5</v>
      </c>
      <c r="T120" s="30">
        <f>7547</f>
        <v>7547</v>
      </c>
      <c r="U120" s="30" t="str">
        <f>"－"</f>
        <v>－</v>
      </c>
      <c r="V120" s="30">
        <f>199936690</f>
        <v>199936690</v>
      </c>
      <c r="W120" s="30" t="str">
        <f>"－"</f>
        <v>－</v>
      </c>
      <c r="X120" s="34">
        <f>20</f>
        <v>20</v>
      </c>
    </row>
    <row r="121" spans="1:24" x14ac:dyDescent="0.15">
      <c r="A121" s="25" t="s">
        <v>1128</v>
      </c>
      <c r="B121" s="25" t="s">
        <v>335</v>
      </c>
      <c r="C121" s="25" t="s">
        <v>336</v>
      </c>
      <c r="D121" s="25" t="s">
        <v>337</v>
      </c>
      <c r="E121" s="26" t="s">
        <v>43</v>
      </c>
      <c r="F121" s="27" t="s">
        <v>43</v>
      </c>
      <c r="G121" s="28" t="s">
        <v>43</v>
      </c>
      <c r="H121" s="29"/>
      <c r="I121" s="29" t="s">
        <v>44</v>
      </c>
      <c r="J121" s="30">
        <v>1</v>
      </c>
      <c r="K121" s="31">
        <f>56200</f>
        <v>56200</v>
      </c>
      <c r="L121" s="32" t="s">
        <v>1110</v>
      </c>
      <c r="M121" s="31">
        <f>59900</f>
        <v>59900</v>
      </c>
      <c r="N121" s="32" t="s">
        <v>883</v>
      </c>
      <c r="O121" s="31">
        <f>54650</f>
        <v>54650</v>
      </c>
      <c r="P121" s="32" t="s">
        <v>1117</v>
      </c>
      <c r="Q121" s="31">
        <f>59900</f>
        <v>59900</v>
      </c>
      <c r="R121" s="32" t="s">
        <v>883</v>
      </c>
      <c r="S121" s="33">
        <f>57396.5</f>
        <v>57396.5</v>
      </c>
      <c r="T121" s="30">
        <f>2540</f>
        <v>2540</v>
      </c>
      <c r="U121" s="30" t="str">
        <f>"－"</f>
        <v>－</v>
      </c>
      <c r="V121" s="30">
        <f>145862200</f>
        <v>145862200</v>
      </c>
      <c r="W121" s="30" t="str">
        <f>"－"</f>
        <v>－</v>
      </c>
      <c r="X121" s="34">
        <f>20</f>
        <v>20</v>
      </c>
    </row>
    <row r="122" spans="1:24" x14ac:dyDescent="0.15">
      <c r="A122" s="25" t="s">
        <v>1128</v>
      </c>
      <c r="B122" s="25" t="s">
        <v>338</v>
      </c>
      <c r="C122" s="25" t="s">
        <v>339</v>
      </c>
      <c r="D122" s="25" t="s">
        <v>340</v>
      </c>
      <c r="E122" s="26" t="s">
        <v>43</v>
      </c>
      <c r="F122" s="27" t="s">
        <v>43</v>
      </c>
      <c r="G122" s="28" t="s">
        <v>43</v>
      </c>
      <c r="H122" s="29"/>
      <c r="I122" s="29" t="s">
        <v>44</v>
      </c>
      <c r="J122" s="30">
        <v>1</v>
      </c>
      <c r="K122" s="31">
        <f>37410</f>
        <v>37410</v>
      </c>
      <c r="L122" s="32" t="s">
        <v>1110</v>
      </c>
      <c r="M122" s="31">
        <f>39150</f>
        <v>39150</v>
      </c>
      <c r="N122" s="32" t="s">
        <v>874</v>
      </c>
      <c r="O122" s="31">
        <f>36280</f>
        <v>36280</v>
      </c>
      <c r="P122" s="32" t="s">
        <v>677</v>
      </c>
      <c r="Q122" s="31">
        <f>38470</f>
        <v>38470</v>
      </c>
      <c r="R122" s="32" t="s">
        <v>883</v>
      </c>
      <c r="S122" s="33">
        <f>37976.5</f>
        <v>37976.5</v>
      </c>
      <c r="T122" s="30">
        <f>25424</f>
        <v>25424</v>
      </c>
      <c r="U122" s="30">
        <f>9000</f>
        <v>9000</v>
      </c>
      <c r="V122" s="30">
        <f>965404450</f>
        <v>965404450</v>
      </c>
      <c r="W122" s="30">
        <f>341351400</f>
        <v>341351400</v>
      </c>
      <c r="X122" s="34">
        <f>20</f>
        <v>20</v>
      </c>
    </row>
    <row r="123" spans="1:24" x14ac:dyDescent="0.15">
      <c r="A123" s="25" t="s">
        <v>1128</v>
      </c>
      <c r="B123" s="25" t="s">
        <v>341</v>
      </c>
      <c r="C123" s="25" t="s">
        <v>342</v>
      </c>
      <c r="D123" s="25" t="s">
        <v>343</v>
      </c>
      <c r="E123" s="26" t="s">
        <v>43</v>
      </c>
      <c r="F123" s="27" t="s">
        <v>43</v>
      </c>
      <c r="G123" s="28" t="s">
        <v>43</v>
      </c>
      <c r="H123" s="29"/>
      <c r="I123" s="29" t="s">
        <v>44</v>
      </c>
      <c r="J123" s="30">
        <v>1</v>
      </c>
      <c r="K123" s="31">
        <f>34200</f>
        <v>34200</v>
      </c>
      <c r="L123" s="32" t="s">
        <v>1110</v>
      </c>
      <c r="M123" s="31">
        <f>35440</f>
        <v>35440</v>
      </c>
      <c r="N123" s="32" t="s">
        <v>1114</v>
      </c>
      <c r="O123" s="31">
        <f>33450</f>
        <v>33450</v>
      </c>
      <c r="P123" s="32" t="s">
        <v>1117</v>
      </c>
      <c r="Q123" s="31">
        <f>34630</f>
        <v>34630</v>
      </c>
      <c r="R123" s="32" t="s">
        <v>883</v>
      </c>
      <c r="S123" s="33">
        <f>34330.5</f>
        <v>34330.5</v>
      </c>
      <c r="T123" s="30">
        <f>7029</f>
        <v>7029</v>
      </c>
      <c r="U123" s="30" t="str">
        <f>"－"</f>
        <v>－</v>
      </c>
      <c r="V123" s="30">
        <f>238514410</f>
        <v>238514410</v>
      </c>
      <c r="W123" s="30" t="str">
        <f>"－"</f>
        <v>－</v>
      </c>
      <c r="X123" s="34">
        <f>20</f>
        <v>20</v>
      </c>
    </row>
    <row r="124" spans="1:24" x14ac:dyDescent="0.15">
      <c r="A124" s="25" t="s">
        <v>1128</v>
      </c>
      <c r="B124" s="25" t="s">
        <v>344</v>
      </c>
      <c r="C124" s="25" t="s">
        <v>345</v>
      </c>
      <c r="D124" s="25" t="s">
        <v>346</v>
      </c>
      <c r="E124" s="26" t="s">
        <v>43</v>
      </c>
      <c r="F124" s="27" t="s">
        <v>43</v>
      </c>
      <c r="G124" s="28" t="s">
        <v>43</v>
      </c>
      <c r="H124" s="29"/>
      <c r="I124" s="29" t="s">
        <v>44</v>
      </c>
      <c r="J124" s="30">
        <v>1</v>
      </c>
      <c r="K124" s="31">
        <f>8386</f>
        <v>8386</v>
      </c>
      <c r="L124" s="32" t="s">
        <v>1110</v>
      </c>
      <c r="M124" s="31">
        <f>9445</f>
        <v>9445</v>
      </c>
      <c r="N124" s="32" t="s">
        <v>883</v>
      </c>
      <c r="O124" s="31">
        <f>8244</f>
        <v>8244</v>
      </c>
      <c r="P124" s="32" t="s">
        <v>674</v>
      </c>
      <c r="Q124" s="31">
        <f>9394</f>
        <v>9394</v>
      </c>
      <c r="R124" s="32" t="s">
        <v>883</v>
      </c>
      <c r="S124" s="33">
        <f>8850.7</f>
        <v>8850.7000000000007</v>
      </c>
      <c r="T124" s="30">
        <f>73599</f>
        <v>73599</v>
      </c>
      <c r="U124" s="30">
        <f>7000</f>
        <v>7000</v>
      </c>
      <c r="V124" s="30">
        <f>651435753</f>
        <v>651435753</v>
      </c>
      <c r="W124" s="30">
        <f>63465500</f>
        <v>63465500</v>
      </c>
      <c r="X124" s="34">
        <f>20</f>
        <v>20</v>
      </c>
    </row>
    <row r="125" spans="1:24" x14ac:dyDescent="0.15">
      <c r="A125" s="25" t="s">
        <v>1128</v>
      </c>
      <c r="B125" s="25" t="s">
        <v>347</v>
      </c>
      <c r="C125" s="25" t="s">
        <v>348</v>
      </c>
      <c r="D125" s="25" t="s">
        <v>349</v>
      </c>
      <c r="E125" s="26" t="s">
        <v>43</v>
      </c>
      <c r="F125" s="27" t="s">
        <v>43</v>
      </c>
      <c r="G125" s="28" t="s">
        <v>43</v>
      </c>
      <c r="H125" s="29"/>
      <c r="I125" s="29" t="s">
        <v>44</v>
      </c>
      <c r="J125" s="30">
        <v>1</v>
      </c>
      <c r="K125" s="31">
        <f>19410</f>
        <v>19410</v>
      </c>
      <c r="L125" s="32" t="s">
        <v>1110</v>
      </c>
      <c r="M125" s="31">
        <f>19625</f>
        <v>19625</v>
      </c>
      <c r="N125" s="32" t="s">
        <v>679</v>
      </c>
      <c r="O125" s="31">
        <f>18620</f>
        <v>18620</v>
      </c>
      <c r="P125" s="32" t="s">
        <v>677</v>
      </c>
      <c r="Q125" s="31">
        <f>19045</f>
        <v>19045</v>
      </c>
      <c r="R125" s="32" t="s">
        <v>883</v>
      </c>
      <c r="S125" s="33">
        <f>19192.75</f>
        <v>19192.75</v>
      </c>
      <c r="T125" s="30">
        <f>14775</f>
        <v>14775</v>
      </c>
      <c r="U125" s="30">
        <f>1</f>
        <v>1</v>
      </c>
      <c r="V125" s="30">
        <f>283210555</f>
        <v>283210555</v>
      </c>
      <c r="W125" s="30">
        <f>19320</f>
        <v>19320</v>
      </c>
      <c r="X125" s="34">
        <f>20</f>
        <v>20</v>
      </c>
    </row>
    <row r="126" spans="1:24" x14ac:dyDescent="0.15">
      <c r="A126" s="25" t="s">
        <v>1128</v>
      </c>
      <c r="B126" s="25" t="s">
        <v>350</v>
      </c>
      <c r="C126" s="25" t="s">
        <v>351</v>
      </c>
      <c r="D126" s="25" t="s">
        <v>352</v>
      </c>
      <c r="E126" s="26" t="s">
        <v>43</v>
      </c>
      <c r="F126" s="27" t="s">
        <v>43</v>
      </c>
      <c r="G126" s="28" t="s">
        <v>43</v>
      </c>
      <c r="H126" s="29"/>
      <c r="I126" s="29" t="s">
        <v>44</v>
      </c>
      <c r="J126" s="30">
        <v>1</v>
      </c>
      <c r="K126" s="31">
        <f>83610</f>
        <v>83610</v>
      </c>
      <c r="L126" s="32" t="s">
        <v>1110</v>
      </c>
      <c r="M126" s="31">
        <f>89630</f>
        <v>89630</v>
      </c>
      <c r="N126" s="32" t="s">
        <v>874</v>
      </c>
      <c r="O126" s="31">
        <f>80010</f>
        <v>80010</v>
      </c>
      <c r="P126" s="32" t="s">
        <v>677</v>
      </c>
      <c r="Q126" s="31">
        <f>89200</f>
        <v>89200</v>
      </c>
      <c r="R126" s="32" t="s">
        <v>883</v>
      </c>
      <c r="S126" s="33">
        <f>85716.5</f>
        <v>85716.5</v>
      </c>
      <c r="T126" s="30">
        <f>25026</f>
        <v>25026</v>
      </c>
      <c r="U126" s="30">
        <f>1212</f>
        <v>1212</v>
      </c>
      <c r="V126" s="30">
        <f>2140055460</f>
        <v>2140055460</v>
      </c>
      <c r="W126" s="30">
        <f>98980890</f>
        <v>98980890</v>
      </c>
      <c r="X126" s="34">
        <f>20</f>
        <v>20</v>
      </c>
    </row>
    <row r="127" spans="1:24" x14ac:dyDescent="0.15">
      <c r="A127" s="25" t="s">
        <v>1128</v>
      </c>
      <c r="B127" s="25" t="s">
        <v>1139</v>
      </c>
      <c r="C127" s="25" t="s">
        <v>1138</v>
      </c>
      <c r="D127" s="25" t="s">
        <v>1137</v>
      </c>
      <c r="E127" s="26" t="s">
        <v>672</v>
      </c>
      <c r="F127" s="27" t="s">
        <v>673</v>
      </c>
      <c r="G127" s="28" t="s">
        <v>1133</v>
      </c>
      <c r="H127" s="29"/>
      <c r="I127" s="29" t="s">
        <v>465</v>
      </c>
      <c r="J127" s="30">
        <v>1</v>
      </c>
      <c r="K127" s="31">
        <f>10280</f>
        <v>10280</v>
      </c>
      <c r="L127" s="32" t="s">
        <v>874</v>
      </c>
      <c r="M127" s="31">
        <f>10300</f>
        <v>10300</v>
      </c>
      <c r="N127" s="32" t="s">
        <v>1114</v>
      </c>
      <c r="O127" s="31">
        <f>10090</f>
        <v>10090</v>
      </c>
      <c r="P127" s="32" t="s">
        <v>679</v>
      </c>
      <c r="Q127" s="31">
        <f>10155</f>
        <v>10155</v>
      </c>
      <c r="R127" s="32" t="s">
        <v>883</v>
      </c>
      <c r="S127" s="33">
        <f>10163.33</f>
        <v>10163.33</v>
      </c>
      <c r="T127" s="30">
        <f>50171</f>
        <v>50171</v>
      </c>
      <c r="U127" s="30" t="str">
        <f>"－"</f>
        <v>－</v>
      </c>
      <c r="V127" s="30">
        <f>512632865</f>
        <v>512632865</v>
      </c>
      <c r="W127" s="30" t="str">
        <f>"－"</f>
        <v>－</v>
      </c>
      <c r="X127" s="34">
        <f>6</f>
        <v>6</v>
      </c>
    </row>
    <row r="128" spans="1:24" x14ac:dyDescent="0.15">
      <c r="A128" s="25" t="s">
        <v>1128</v>
      </c>
      <c r="B128" s="25" t="s">
        <v>353</v>
      </c>
      <c r="C128" s="25" t="s">
        <v>354</v>
      </c>
      <c r="D128" s="25" t="s">
        <v>355</v>
      </c>
      <c r="E128" s="26" t="s">
        <v>43</v>
      </c>
      <c r="F128" s="27" t="s">
        <v>43</v>
      </c>
      <c r="G128" s="28" t="s">
        <v>43</v>
      </c>
      <c r="H128" s="29"/>
      <c r="I128" s="29" t="s">
        <v>44</v>
      </c>
      <c r="J128" s="30">
        <v>1</v>
      </c>
      <c r="K128" s="31">
        <f>29015</f>
        <v>29015</v>
      </c>
      <c r="L128" s="32" t="s">
        <v>1110</v>
      </c>
      <c r="M128" s="31">
        <f>31170</f>
        <v>31170</v>
      </c>
      <c r="N128" s="32" t="s">
        <v>1114</v>
      </c>
      <c r="O128" s="31">
        <f>28900</f>
        <v>28900</v>
      </c>
      <c r="P128" s="32" t="s">
        <v>677</v>
      </c>
      <c r="Q128" s="31">
        <f>30740</f>
        <v>30740</v>
      </c>
      <c r="R128" s="32" t="s">
        <v>883</v>
      </c>
      <c r="S128" s="33">
        <f>29835.25</f>
        <v>29835.25</v>
      </c>
      <c r="T128" s="30">
        <f>11060</f>
        <v>11060</v>
      </c>
      <c r="U128" s="30">
        <f>6510</f>
        <v>6510</v>
      </c>
      <c r="V128" s="30">
        <f>335750307</f>
        <v>335750307</v>
      </c>
      <c r="W128" s="30">
        <f>199437832</f>
        <v>199437832</v>
      </c>
      <c r="X128" s="34">
        <f>20</f>
        <v>20</v>
      </c>
    </row>
    <row r="129" spans="1:24" x14ac:dyDescent="0.15">
      <c r="A129" s="25" t="s">
        <v>1128</v>
      </c>
      <c r="B129" s="25" t="s">
        <v>356</v>
      </c>
      <c r="C129" s="25" t="s">
        <v>357</v>
      </c>
      <c r="D129" s="25" t="s">
        <v>358</v>
      </c>
      <c r="E129" s="26" t="s">
        <v>43</v>
      </c>
      <c r="F129" s="27" t="s">
        <v>43</v>
      </c>
      <c r="G129" s="28" t="s">
        <v>43</v>
      </c>
      <c r="H129" s="29"/>
      <c r="I129" s="29" t="s">
        <v>44</v>
      </c>
      <c r="J129" s="30">
        <v>1</v>
      </c>
      <c r="K129" s="31">
        <f>16460</f>
        <v>16460</v>
      </c>
      <c r="L129" s="32" t="s">
        <v>1110</v>
      </c>
      <c r="M129" s="31">
        <f>18000</f>
        <v>18000</v>
      </c>
      <c r="N129" s="32" t="s">
        <v>1113</v>
      </c>
      <c r="O129" s="31">
        <f>16380</f>
        <v>16380</v>
      </c>
      <c r="P129" s="32" t="s">
        <v>1110</v>
      </c>
      <c r="Q129" s="31">
        <f>17445</f>
        <v>17445</v>
      </c>
      <c r="R129" s="32" t="s">
        <v>883</v>
      </c>
      <c r="S129" s="33">
        <f>17122</f>
        <v>17122</v>
      </c>
      <c r="T129" s="30">
        <f>144575</f>
        <v>144575</v>
      </c>
      <c r="U129" s="30">
        <f>27700</f>
        <v>27700</v>
      </c>
      <c r="V129" s="30">
        <f>2470564455</f>
        <v>2470564455</v>
      </c>
      <c r="W129" s="30">
        <f>466481390</f>
        <v>466481390</v>
      </c>
      <c r="X129" s="34">
        <f>20</f>
        <v>20</v>
      </c>
    </row>
    <row r="130" spans="1:24" x14ac:dyDescent="0.15">
      <c r="A130" s="25" t="s">
        <v>1128</v>
      </c>
      <c r="B130" s="25" t="s">
        <v>359</v>
      </c>
      <c r="C130" s="25" t="s">
        <v>360</v>
      </c>
      <c r="D130" s="25" t="s">
        <v>361</v>
      </c>
      <c r="E130" s="26" t="s">
        <v>43</v>
      </c>
      <c r="F130" s="27" t="s">
        <v>43</v>
      </c>
      <c r="G130" s="28" t="s">
        <v>43</v>
      </c>
      <c r="H130" s="29"/>
      <c r="I130" s="29" t="s">
        <v>44</v>
      </c>
      <c r="J130" s="30">
        <v>1</v>
      </c>
      <c r="K130" s="31">
        <f>24020</f>
        <v>24020</v>
      </c>
      <c r="L130" s="32" t="s">
        <v>1110</v>
      </c>
      <c r="M130" s="31">
        <f>26445</f>
        <v>26445</v>
      </c>
      <c r="N130" s="32" t="s">
        <v>1114</v>
      </c>
      <c r="O130" s="31">
        <f>23820</f>
        <v>23820</v>
      </c>
      <c r="P130" s="32" t="s">
        <v>677</v>
      </c>
      <c r="Q130" s="31">
        <f>26090</f>
        <v>26090</v>
      </c>
      <c r="R130" s="32" t="s">
        <v>883</v>
      </c>
      <c r="S130" s="33">
        <f>25094.5</f>
        <v>25094.5</v>
      </c>
      <c r="T130" s="30">
        <f>21350</f>
        <v>21350</v>
      </c>
      <c r="U130" s="30" t="str">
        <f>"－"</f>
        <v>－</v>
      </c>
      <c r="V130" s="30">
        <f>530338925</f>
        <v>530338925</v>
      </c>
      <c r="W130" s="30" t="str">
        <f>"－"</f>
        <v>－</v>
      </c>
      <c r="X130" s="34">
        <f>20</f>
        <v>20</v>
      </c>
    </row>
    <row r="131" spans="1:24" x14ac:dyDescent="0.15">
      <c r="A131" s="25" t="s">
        <v>1128</v>
      </c>
      <c r="B131" s="25" t="s">
        <v>362</v>
      </c>
      <c r="C131" s="25" t="s">
        <v>363</v>
      </c>
      <c r="D131" s="25" t="s">
        <v>364</v>
      </c>
      <c r="E131" s="26" t="s">
        <v>43</v>
      </c>
      <c r="F131" s="27" t="s">
        <v>43</v>
      </c>
      <c r="G131" s="28" t="s">
        <v>43</v>
      </c>
      <c r="H131" s="29"/>
      <c r="I131" s="29" t="s">
        <v>44</v>
      </c>
      <c r="J131" s="30">
        <v>1</v>
      </c>
      <c r="K131" s="31">
        <f>37210</f>
        <v>37210</v>
      </c>
      <c r="L131" s="32" t="s">
        <v>1110</v>
      </c>
      <c r="M131" s="31">
        <f>46300</f>
        <v>46300</v>
      </c>
      <c r="N131" s="32" t="s">
        <v>883</v>
      </c>
      <c r="O131" s="31">
        <f>36880</f>
        <v>36880</v>
      </c>
      <c r="P131" s="32" t="s">
        <v>677</v>
      </c>
      <c r="Q131" s="31">
        <f>43950</f>
        <v>43950</v>
      </c>
      <c r="R131" s="32" t="s">
        <v>883</v>
      </c>
      <c r="S131" s="33">
        <f>40005</f>
        <v>40005</v>
      </c>
      <c r="T131" s="30">
        <f>19418</f>
        <v>19418</v>
      </c>
      <c r="U131" s="30">
        <f>5950</f>
        <v>5950</v>
      </c>
      <c r="V131" s="30">
        <f>809805485</f>
        <v>809805485</v>
      </c>
      <c r="W131" s="30">
        <f>248200085</f>
        <v>248200085</v>
      </c>
      <c r="X131" s="34">
        <f>20</f>
        <v>20</v>
      </c>
    </row>
    <row r="132" spans="1:24" x14ac:dyDescent="0.15">
      <c r="A132" s="25" t="s">
        <v>1128</v>
      </c>
      <c r="B132" s="25" t="s">
        <v>1136</v>
      </c>
      <c r="C132" s="25" t="s">
        <v>1135</v>
      </c>
      <c r="D132" s="25" t="s">
        <v>1134</v>
      </c>
      <c r="E132" s="26" t="s">
        <v>672</v>
      </c>
      <c r="F132" s="27" t="s">
        <v>673</v>
      </c>
      <c r="G132" s="28" t="s">
        <v>1133</v>
      </c>
      <c r="H132" s="29"/>
      <c r="I132" s="29" t="s">
        <v>465</v>
      </c>
      <c r="J132" s="30">
        <v>1</v>
      </c>
      <c r="K132" s="31">
        <f>10440</f>
        <v>10440</v>
      </c>
      <c r="L132" s="32" t="s">
        <v>874</v>
      </c>
      <c r="M132" s="31">
        <f>10460</f>
        <v>10460</v>
      </c>
      <c r="N132" s="32" t="s">
        <v>874</v>
      </c>
      <c r="O132" s="31">
        <f>10215</f>
        <v>10215</v>
      </c>
      <c r="P132" s="32" t="s">
        <v>679</v>
      </c>
      <c r="Q132" s="31">
        <f>10430</f>
        <v>10430</v>
      </c>
      <c r="R132" s="32" t="s">
        <v>883</v>
      </c>
      <c r="S132" s="33">
        <f>10347.5</f>
        <v>10347.5</v>
      </c>
      <c r="T132" s="30">
        <f>441764</f>
        <v>441764</v>
      </c>
      <c r="U132" s="30" t="str">
        <f>"－"</f>
        <v>－</v>
      </c>
      <c r="V132" s="30">
        <f>4566736875</f>
        <v>4566736875</v>
      </c>
      <c r="W132" s="30" t="str">
        <f>"－"</f>
        <v>－</v>
      </c>
      <c r="X132" s="34">
        <f>6</f>
        <v>6</v>
      </c>
    </row>
    <row r="133" spans="1:24" x14ac:dyDescent="0.15">
      <c r="A133" s="25" t="s">
        <v>1128</v>
      </c>
      <c r="B133" s="25" t="s">
        <v>365</v>
      </c>
      <c r="C133" s="25" t="s">
        <v>926</v>
      </c>
      <c r="D133" s="25" t="s">
        <v>927</v>
      </c>
      <c r="E133" s="26" t="s">
        <v>43</v>
      </c>
      <c r="F133" s="27" t="s">
        <v>43</v>
      </c>
      <c r="G133" s="28" t="s">
        <v>43</v>
      </c>
      <c r="H133" s="29"/>
      <c r="I133" s="29" t="s">
        <v>44</v>
      </c>
      <c r="J133" s="30">
        <v>10</v>
      </c>
      <c r="K133" s="31">
        <f>1941</f>
        <v>1941</v>
      </c>
      <c r="L133" s="32" t="s">
        <v>1110</v>
      </c>
      <c r="M133" s="31">
        <f>2063</f>
        <v>2063</v>
      </c>
      <c r="N133" s="32" t="s">
        <v>874</v>
      </c>
      <c r="O133" s="31">
        <f>1898</f>
        <v>1898</v>
      </c>
      <c r="P133" s="32" t="s">
        <v>677</v>
      </c>
      <c r="Q133" s="31">
        <f>2049</f>
        <v>2049</v>
      </c>
      <c r="R133" s="32" t="s">
        <v>883</v>
      </c>
      <c r="S133" s="33">
        <f>1990.88</f>
        <v>1990.88</v>
      </c>
      <c r="T133" s="30">
        <f>2646920</f>
        <v>2646920</v>
      </c>
      <c r="U133" s="30">
        <f>1936630</f>
        <v>1936630</v>
      </c>
      <c r="V133" s="30">
        <f>5224200655</f>
        <v>5224200655</v>
      </c>
      <c r="W133" s="30">
        <f>3821992560</f>
        <v>3821992560</v>
      </c>
      <c r="X133" s="34">
        <f>20</f>
        <v>20</v>
      </c>
    </row>
    <row r="134" spans="1:24" x14ac:dyDescent="0.15">
      <c r="A134" s="25" t="s">
        <v>1128</v>
      </c>
      <c r="B134" s="25" t="s">
        <v>366</v>
      </c>
      <c r="C134" s="25" t="s">
        <v>928</v>
      </c>
      <c r="D134" s="25" t="s">
        <v>929</v>
      </c>
      <c r="E134" s="26" t="s">
        <v>43</v>
      </c>
      <c r="F134" s="27" t="s">
        <v>43</v>
      </c>
      <c r="G134" s="28" t="s">
        <v>43</v>
      </c>
      <c r="H134" s="29"/>
      <c r="I134" s="29" t="s">
        <v>44</v>
      </c>
      <c r="J134" s="30">
        <v>10</v>
      </c>
      <c r="K134" s="31">
        <f>3108</f>
        <v>3108</v>
      </c>
      <c r="L134" s="32" t="s">
        <v>1110</v>
      </c>
      <c r="M134" s="31">
        <f>3247</f>
        <v>3247</v>
      </c>
      <c r="N134" s="32" t="s">
        <v>1111</v>
      </c>
      <c r="O134" s="31">
        <f>3033</f>
        <v>3033</v>
      </c>
      <c r="P134" s="32" t="s">
        <v>677</v>
      </c>
      <c r="Q134" s="31">
        <f>3196</f>
        <v>3196</v>
      </c>
      <c r="R134" s="32" t="s">
        <v>883</v>
      </c>
      <c r="S134" s="33">
        <f>3141.22</f>
        <v>3141.22</v>
      </c>
      <c r="T134" s="30">
        <f>47180</f>
        <v>47180</v>
      </c>
      <c r="U134" s="30">
        <f>40000</f>
        <v>40000</v>
      </c>
      <c r="V134" s="30">
        <f>145067290</f>
        <v>145067290</v>
      </c>
      <c r="W134" s="30">
        <f>122168000</f>
        <v>122168000</v>
      </c>
      <c r="X134" s="34">
        <f>18</f>
        <v>18</v>
      </c>
    </row>
    <row r="135" spans="1:24" x14ac:dyDescent="0.15">
      <c r="A135" s="25" t="s">
        <v>1128</v>
      </c>
      <c r="B135" s="25" t="s">
        <v>367</v>
      </c>
      <c r="C135" s="25" t="s">
        <v>930</v>
      </c>
      <c r="D135" s="25" t="s">
        <v>931</v>
      </c>
      <c r="E135" s="26" t="s">
        <v>43</v>
      </c>
      <c r="F135" s="27" t="s">
        <v>43</v>
      </c>
      <c r="G135" s="28" t="s">
        <v>43</v>
      </c>
      <c r="H135" s="29"/>
      <c r="I135" s="29" t="s">
        <v>44</v>
      </c>
      <c r="J135" s="30">
        <v>10</v>
      </c>
      <c r="K135" s="31">
        <f>3380</f>
        <v>3380</v>
      </c>
      <c r="L135" s="32" t="s">
        <v>1110</v>
      </c>
      <c r="M135" s="31">
        <f>3546</f>
        <v>3546</v>
      </c>
      <c r="N135" s="32" t="s">
        <v>1111</v>
      </c>
      <c r="O135" s="31">
        <f>3300</f>
        <v>3300</v>
      </c>
      <c r="P135" s="32" t="s">
        <v>684</v>
      </c>
      <c r="Q135" s="31">
        <f>3528</f>
        <v>3528</v>
      </c>
      <c r="R135" s="32" t="s">
        <v>883</v>
      </c>
      <c r="S135" s="33">
        <f>3457</f>
        <v>3457</v>
      </c>
      <c r="T135" s="30">
        <f>21180</f>
        <v>21180</v>
      </c>
      <c r="U135" s="30" t="str">
        <f>"－"</f>
        <v>－</v>
      </c>
      <c r="V135" s="30">
        <f>71910440</f>
        <v>71910440</v>
      </c>
      <c r="W135" s="30" t="str">
        <f>"－"</f>
        <v>－</v>
      </c>
      <c r="X135" s="34">
        <f>17</f>
        <v>17</v>
      </c>
    </row>
    <row r="136" spans="1:24" x14ac:dyDescent="0.15">
      <c r="A136" s="25" t="s">
        <v>1128</v>
      </c>
      <c r="B136" s="25" t="s">
        <v>368</v>
      </c>
      <c r="C136" s="25" t="s">
        <v>932</v>
      </c>
      <c r="D136" s="25" t="s">
        <v>933</v>
      </c>
      <c r="E136" s="26" t="s">
        <v>43</v>
      </c>
      <c r="F136" s="27" t="s">
        <v>43</v>
      </c>
      <c r="G136" s="28" t="s">
        <v>43</v>
      </c>
      <c r="H136" s="29"/>
      <c r="I136" s="29" t="s">
        <v>44</v>
      </c>
      <c r="J136" s="30">
        <v>10</v>
      </c>
      <c r="K136" s="31">
        <f>2159</f>
        <v>2159</v>
      </c>
      <c r="L136" s="32" t="s">
        <v>674</v>
      </c>
      <c r="M136" s="31">
        <f>2285.5</f>
        <v>2285.5</v>
      </c>
      <c r="N136" s="32" t="s">
        <v>1111</v>
      </c>
      <c r="O136" s="31">
        <f>2103.5</f>
        <v>2103.5</v>
      </c>
      <c r="P136" s="32" t="s">
        <v>1123</v>
      </c>
      <c r="Q136" s="31">
        <f>2245.5</f>
        <v>2245.5</v>
      </c>
      <c r="R136" s="32" t="s">
        <v>1111</v>
      </c>
      <c r="S136" s="33">
        <f>2177.44</f>
        <v>2177.44</v>
      </c>
      <c r="T136" s="30">
        <f>25280</f>
        <v>25280</v>
      </c>
      <c r="U136" s="30" t="str">
        <f>"－"</f>
        <v>－</v>
      </c>
      <c r="V136" s="30">
        <f>54580935</f>
        <v>54580935</v>
      </c>
      <c r="W136" s="30" t="str">
        <f>"－"</f>
        <v>－</v>
      </c>
      <c r="X136" s="34">
        <f>16</f>
        <v>16</v>
      </c>
    </row>
    <row r="137" spans="1:24" x14ac:dyDescent="0.15">
      <c r="A137" s="25" t="s">
        <v>1128</v>
      </c>
      <c r="B137" s="25" t="s">
        <v>369</v>
      </c>
      <c r="C137" s="25" t="s">
        <v>370</v>
      </c>
      <c r="D137" s="25" t="s">
        <v>371</v>
      </c>
      <c r="E137" s="26" t="s">
        <v>43</v>
      </c>
      <c r="F137" s="27" t="s">
        <v>43</v>
      </c>
      <c r="G137" s="28" t="s">
        <v>43</v>
      </c>
      <c r="H137" s="29"/>
      <c r="I137" s="29" t="s">
        <v>44</v>
      </c>
      <c r="J137" s="30">
        <v>10</v>
      </c>
      <c r="K137" s="31">
        <f>549.4</f>
        <v>549.4</v>
      </c>
      <c r="L137" s="32" t="s">
        <v>1110</v>
      </c>
      <c r="M137" s="31">
        <f>576</f>
        <v>576</v>
      </c>
      <c r="N137" s="32" t="s">
        <v>883</v>
      </c>
      <c r="O137" s="31">
        <f>540.2</f>
        <v>540.20000000000005</v>
      </c>
      <c r="P137" s="32" t="s">
        <v>684</v>
      </c>
      <c r="Q137" s="31">
        <f>573.1</f>
        <v>573.1</v>
      </c>
      <c r="R137" s="32" t="s">
        <v>883</v>
      </c>
      <c r="S137" s="33">
        <f>557.28</f>
        <v>557.28</v>
      </c>
      <c r="T137" s="30">
        <f>46864150</f>
        <v>46864150</v>
      </c>
      <c r="U137" s="30">
        <f>24740</f>
        <v>24740</v>
      </c>
      <c r="V137" s="30">
        <f>26194806579</f>
        <v>26194806579</v>
      </c>
      <c r="W137" s="30">
        <f>14119406</f>
        <v>14119406</v>
      </c>
      <c r="X137" s="34">
        <f>20</f>
        <v>20</v>
      </c>
    </row>
    <row r="138" spans="1:24" x14ac:dyDescent="0.15">
      <c r="A138" s="25" t="s">
        <v>1128</v>
      </c>
      <c r="B138" s="25" t="s">
        <v>372</v>
      </c>
      <c r="C138" s="25" t="s">
        <v>373</v>
      </c>
      <c r="D138" s="25" t="s">
        <v>374</v>
      </c>
      <c r="E138" s="26" t="s">
        <v>43</v>
      </c>
      <c r="F138" s="27" t="s">
        <v>43</v>
      </c>
      <c r="G138" s="28" t="s">
        <v>43</v>
      </c>
      <c r="H138" s="29"/>
      <c r="I138" s="29" t="s">
        <v>44</v>
      </c>
      <c r="J138" s="30">
        <v>10</v>
      </c>
      <c r="K138" s="31">
        <f>294.3</f>
        <v>294.3</v>
      </c>
      <c r="L138" s="32" t="s">
        <v>1110</v>
      </c>
      <c r="M138" s="31">
        <f>300.4</f>
        <v>300.39999999999998</v>
      </c>
      <c r="N138" s="32" t="s">
        <v>883</v>
      </c>
      <c r="O138" s="31">
        <f>290.8</f>
        <v>290.8</v>
      </c>
      <c r="P138" s="32" t="s">
        <v>875</v>
      </c>
      <c r="Q138" s="31">
        <f>299.2</f>
        <v>299.2</v>
      </c>
      <c r="R138" s="32" t="s">
        <v>883</v>
      </c>
      <c r="S138" s="33">
        <f>295.73</f>
        <v>295.73</v>
      </c>
      <c r="T138" s="30">
        <f>39022590</f>
        <v>39022590</v>
      </c>
      <c r="U138" s="30">
        <f>29420020</f>
        <v>29420020</v>
      </c>
      <c r="V138" s="30">
        <f>11519756182</f>
        <v>11519756182</v>
      </c>
      <c r="W138" s="30">
        <f>8686019318</f>
        <v>8686019318</v>
      </c>
      <c r="X138" s="34">
        <f>20</f>
        <v>20</v>
      </c>
    </row>
    <row r="139" spans="1:24" x14ac:dyDescent="0.15">
      <c r="A139" s="25" t="s">
        <v>1128</v>
      </c>
      <c r="B139" s="25" t="s">
        <v>375</v>
      </c>
      <c r="C139" s="25" t="s">
        <v>973</v>
      </c>
      <c r="D139" s="25" t="s">
        <v>376</v>
      </c>
      <c r="E139" s="26" t="s">
        <v>43</v>
      </c>
      <c r="F139" s="27" t="s">
        <v>43</v>
      </c>
      <c r="G139" s="28" t="s">
        <v>43</v>
      </c>
      <c r="H139" s="29"/>
      <c r="I139" s="29" t="s">
        <v>44</v>
      </c>
      <c r="J139" s="30">
        <v>1</v>
      </c>
      <c r="K139" s="31">
        <f>4620</f>
        <v>4620</v>
      </c>
      <c r="L139" s="32" t="s">
        <v>1110</v>
      </c>
      <c r="M139" s="31">
        <f>4900</f>
        <v>4900</v>
      </c>
      <c r="N139" s="32" t="s">
        <v>883</v>
      </c>
      <c r="O139" s="31">
        <f>4565</f>
        <v>4565</v>
      </c>
      <c r="P139" s="32" t="s">
        <v>684</v>
      </c>
      <c r="Q139" s="31">
        <f>4820</f>
        <v>4820</v>
      </c>
      <c r="R139" s="32" t="s">
        <v>883</v>
      </c>
      <c r="S139" s="33">
        <f>4697.75</f>
        <v>4697.75</v>
      </c>
      <c r="T139" s="30">
        <f>138404</f>
        <v>138404</v>
      </c>
      <c r="U139" s="30">
        <f>92622</f>
        <v>92622</v>
      </c>
      <c r="V139" s="30">
        <f>651037747</f>
        <v>651037747</v>
      </c>
      <c r="W139" s="30">
        <f>437180427</f>
        <v>437180427</v>
      </c>
      <c r="X139" s="34">
        <f>20</f>
        <v>20</v>
      </c>
    </row>
    <row r="140" spans="1:24" x14ac:dyDescent="0.15">
      <c r="A140" s="25" t="s">
        <v>1128</v>
      </c>
      <c r="B140" s="25" t="s">
        <v>377</v>
      </c>
      <c r="C140" s="25" t="s">
        <v>378</v>
      </c>
      <c r="D140" s="25" t="s">
        <v>379</v>
      </c>
      <c r="E140" s="26" t="s">
        <v>43</v>
      </c>
      <c r="F140" s="27" t="s">
        <v>43</v>
      </c>
      <c r="G140" s="28" t="s">
        <v>43</v>
      </c>
      <c r="H140" s="29"/>
      <c r="I140" s="29" t="s">
        <v>44</v>
      </c>
      <c r="J140" s="30">
        <v>1</v>
      </c>
      <c r="K140" s="31">
        <f>2550</f>
        <v>2550</v>
      </c>
      <c r="L140" s="32" t="s">
        <v>1110</v>
      </c>
      <c r="M140" s="31">
        <f>2639</f>
        <v>2639</v>
      </c>
      <c r="N140" s="32" t="s">
        <v>874</v>
      </c>
      <c r="O140" s="31">
        <f>2500</f>
        <v>2500</v>
      </c>
      <c r="P140" s="32" t="s">
        <v>1124</v>
      </c>
      <c r="Q140" s="31">
        <f>2629</f>
        <v>2629</v>
      </c>
      <c r="R140" s="32" t="s">
        <v>883</v>
      </c>
      <c r="S140" s="33">
        <f>2576.5</f>
        <v>2576.5</v>
      </c>
      <c r="T140" s="30">
        <f>94319</f>
        <v>94319</v>
      </c>
      <c r="U140" s="30">
        <f>3831</f>
        <v>3831</v>
      </c>
      <c r="V140" s="30">
        <f>243270753</f>
        <v>243270753</v>
      </c>
      <c r="W140" s="30">
        <f>9991248</f>
        <v>9991248</v>
      </c>
      <c r="X140" s="34">
        <f>20</f>
        <v>20</v>
      </c>
    </row>
    <row r="141" spans="1:24" x14ac:dyDescent="0.15">
      <c r="A141" s="25" t="s">
        <v>1128</v>
      </c>
      <c r="B141" s="25" t="s">
        <v>380</v>
      </c>
      <c r="C141" s="25" t="s">
        <v>381</v>
      </c>
      <c r="D141" s="25" t="s">
        <v>382</v>
      </c>
      <c r="E141" s="26" t="s">
        <v>43</v>
      </c>
      <c r="F141" s="27" t="s">
        <v>43</v>
      </c>
      <c r="G141" s="28" t="s">
        <v>43</v>
      </c>
      <c r="H141" s="29"/>
      <c r="I141" s="29" t="s">
        <v>44</v>
      </c>
      <c r="J141" s="30">
        <v>1</v>
      </c>
      <c r="K141" s="31">
        <f>2944</f>
        <v>2944</v>
      </c>
      <c r="L141" s="32" t="s">
        <v>1110</v>
      </c>
      <c r="M141" s="31">
        <f>3045</f>
        <v>3045</v>
      </c>
      <c r="N141" s="32" t="s">
        <v>883</v>
      </c>
      <c r="O141" s="31">
        <f>2903</f>
        <v>2903</v>
      </c>
      <c r="P141" s="32" t="s">
        <v>875</v>
      </c>
      <c r="Q141" s="31">
        <f>3010</f>
        <v>3010</v>
      </c>
      <c r="R141" s="32" t="s">
        <v>883</v>
      </c>
      <c r="S141" s="33">
        <f>2960.25</f>
        <v>2960.25</v>
      </c>
      <c r="T141" s="30">
        <f>204105</f>
        <v>204105</v>
      </c>
      <c r="U141" s="30">
        <f>73552</f>
        <v>73552</v>
      </c>
      <c r="V141" s="30">
        <f>608688532</f>
        <v>608688532</v>
      </c>
      <c r="W141" s="30">
        <f>221305175</f>
        <v>221305175</v>
      </c>
      <c r="X141" s="34">
        <f>20</f>
        <v>20</v>
      </c>
    </row>
    <row r="142" spans="1:24" x14ac:dyDescent="0.15">
      <c r="A142" s="25" t="s">
        <v>1128</v>
      </c>
      <c r="B142" s="25" t="s">
        <v>383</v>
      </c>
      <c r="C142" s="25" t="s">
        <v>384</v>
      </c>
      <c r="D142" s="25" t="s">
        <v>385</v>
      </c>
      <c r="E142" s="26" t="s">
        <v>43</v>
      </c>
      <c r="F142" s="27" t="s">
        <v>43</v>
      </c>
      <c r="G142" s="28" t="s">
        <v>43</v>
      </c>
      <c r="H142" s="29"/>
      <c r="I142" s="29" t="s">
        <v>44</v>
      </c>
      <c r="J142" s="30">
        <v>1</v>
      </c>
      <c r="K142" s="31">
        <f>9893</f>
        <v>9893</v>
      </c>
      <c r="L142" s="32" t="s">
        <v>1110</v>
      </c>
      <c r="M142" s="31">
        <f>10540</f>
        <v>10540</v>
      </c>
      <c r="N142" s="32" t="s">
        <v>679</v>
      </c>
      <c r="O142" s="31">
        <f>9639</f>
        <v>9639</v>
      </c>
      <c r="P142" s="32" t="s">
        <v>1123</v>
      </c>
      <c r="Q142" s="31">
        <f>10425</f>
        <v>10425</v>
      </c>
      <c r="R142" s="32" t="s">
        <v>883</v>
      </c>
      <c r="S142" s="33">
        <f>10085.2</f>
        <v>10085.200000000001</v>
      </c>
      <c r="T142" s="30">
        <f>183242</f>
        <v>183242</v>
      </c>
      <c r="U142" s="30">
        <f>64400</f>
        <v>64400</v>
      </c>
      <c r="V142" s="30">
        <f>1827653457</f>
        <v>1827653457</v>
      </c>
      <c r="W142" s="30">
        <f>644522515</f>
        <v>644522515</v>
      </c>
      <c r="X142" s="34">
        <f>20</f>
        <v>20</v>
      </c>
    </row>
    <row r="143" spans="1:24" x14ac:dyDescent="0.15">
      <c r="A143" s="25" t="s">
        <v>1128</v>
      </c>
      <c r="B143" s="25" t="s">
        <v>386</v>
      </c>
      <c r="C143" s="25" t="s">
        <v>387</v>
      </c>
      <c r="D143" s="25" t="s">
        <v>388</v>
      </c>
      <c r="E143" s="26" t="s">
        <v>43</v>
      </c>
      <c r="F143" s="27" t="s">
        <v>43</v>
      </c>
      <c r="G143" s="28" t="s">
        <v>43</v>
      </c>
      <c r="H143" s="29"/>
      <c r="I143" s="29" t="s">
        <v>44</v>
      </c>
      <c r="J143" s="30">
        <v>1</v>
      </c>
      <c r="K143" s="31">
        <f>3030</f>
        <v>3030</v>
      </c>
      <c r="L143" s="32" t="s">
        <v>1110</v>
      </c>
      <c r="M143" s="31">
        <f>3275</f>
        <v>3275</v>
      </c>
      <c r="N143" s="32" t="s">
        <v>883</v>
      </c>
      <c r="O143" s="31">
        <f>2934</f>
        <v>2934</v>
      </c>
      <c r="P143" s="32" t="s">
        <v>684</v>
      </c>
      <c r="Q143" s="31">
        <f>3265</f>
        <v>3265</v>
      </c>
      <c r="R143" s="32" t="s">
        <v>883</v>
      </c>
      <c r="S143" s="33">
        <f>3112.5</f>
        <v>3112.5</v>
      </c>
      <c r="T143" s="30">
        <f>3040437</f>
        <v>3040437</v>
      </c>
      <c r="U143" s="30">
        <f>1409</f>
        <v>1409</v>
      </c>
      <c r="V143" s="30">
        <f>9474508393</f>
        <v>9474508393</v>
      </c>
      <c r="W143" s="30">
        <f>4473649</f>
        <v>4473649</v>
      </c>
      <c r="X143" s="34">
        <f>20</f>
        <v>20</v>
      </c>
    </row>
    <row r="144" spans="1:24" x14ac:dyDescent="0.15">
      <c r="A144" s="25" t="s">
        <v>1128</v>
      </c>
      <c r="B144" s="25" t="s">
        <v>389</v>
      </c>
      <c r="C144" s="25" t="s">
        <v>390</v>
      </c>
      <c r="D144" s="25" t="s">
        <v>391</v>
      </c>
      <c r="E144" s="26" t="s">
        <v>43</v>
      </c>
      <c r="F144" s="27" t="s">
        <v>43</v>
      </c>
      <c r="G144" s="28" t="s">
        <v>43</v>
      </c>
      <c r="H144" s="29"/>
      <c r="I144" s="29" t="s">
        <v>44</v>
      </c>
      <c r="J144" s="30">
        <v>1</v>
      </c>
      <c r="K144" s="31">
        <f>28535</f>
        <v>28535</v>
      </c>
      <c r="L144" s="32" t="s">
        <v>1110</v>
      </c>
      <c r="M144" s="31">
        <f>34160</f>
        <v>34160</v>
      </c>
      <c r="N144" s="32" t="s">
        <v>883</v>
      </c>
      <c r="O144" s="31">
        <f>28535</f>
        <v>28535</v>
      </c>
      <c r="P144" s="32" t="s">
        <v>1110</v>
      </c>
      <c r="Q144" s="31">
        <f>32340</f>
        <v>32340</v>
      </c>
      <c r="R144" s="32" t="s">
        <v>883</v>
      </c>
      <c r="S144" s="33">
        <f>30299.75</f>
        <v>30299.75</v>
      </c>
      <c r="T144" s="30">
        <f>11015</f>
        <v>11015</v>
      </c>
      <c r="U144" s="30" t="str">
        <f>"－"</f>
        <v>－</v>
      </c>
      <c r="V144" s="30">
        <f>333863745</f>
        <v>333863745</v>
      </c>
      <c r="W144" s="30" t="str">
        <f>"－"</f>
        <v>－</v>
      </c>
      <c r="X144" s="34">
        <f>20</f>
        <v>20</v>
      </c>
    </row>
    <row r="145" spans="1:24" x14ac:dyDescent="0.15">
      <c r="A145" s="25" t="s">
        <v>1128</v>
      </c>
      <c r="B145" s="25" t="s">
        <v>392</v>
      </c>
      <c r="C145" s="25" t="s">
        <v>393</v>
      </c>
      <c r="D145" s="25" t="s">
        <v>394</v>
      </c>
      <c r="E145" s="26" t="s">
        <v>43</v>
      </c>
      <c r="F145" s="27" t="s">
        <v>43</v>
      </c>
      <c r="G145" s="28" t="s">
        <v>43</v>
      </c>
      <c r="H145" s="29"/>
      <c r="I145" s="29" t="s">
        <v>44</v>
      </c>
      <c r="J145" s="30">
        <v>10</v>
      </c>
      <c r="K145" s="31">
        <f>3104</f>
        <v>3104</v>
      </c>
      <c r="L145" s="32" t="s">
        <v>1110</v>
      </c>
      <c r="M145" s="31">
        <f>3623</f>
        <v>3623</v>
      </c>
      <c r="N145" s="32" t="s">
        <v>679</v>
      </c>
      <c r="O145" s="31">
        <f>3104</f>
        <v>3104</v>
      </c>
      <c r="P145" s="32" t="s">
        <v>1110</v>
      </c>
      <c r="Q145" s="31">
        <f>3526</f>
        <v>3526</v>
      </c>
      <c r="R145" s="32" t="s">
        <v>883</v>
      </c>
      <c r="S145" s="33">
        <f>3369.5</f>
        <v>3369.5</v>
      </c>
      <c r="T145" s="30">
        <f>46160</f>
        <v>46160</v>
      </c>
      <c r="U145" s="30" t="str">
        <f>"－"</f>
        <v>－</v>
      </c>
      <c r="V145" s="30">
        <f>155257790</f>
        <v>155257790</v>
      </c>
      <c r="W145" s="30" t="str">
        <f>"－"</f>
        <v>－</v>
      </c>
      <c r="X145" s="34">
        <f>20</f>
        <v>20</v>
      </c>
    </row>
    <row r="146" spans="1:24" x14ac:dyDescent="0.15">
      <c r="A146" s="25" t="s">
        <v>1128</v>
      </c>
      <c r="B146" s="25" t="s">
        <v>395</v>
      </c>
      <c r="C146" s="25" t="s">
        <v>396</v>
      </c>
      <c r="D146" s="25" t="s">
        <v>397</v>
      </c>
      <c r="E146" s="26" t="s">
        <v>43</v>
      </c>
      <c r="F146" s="27" t="s">
        <v>43</v>
      </c>
      <c r="G146" s="28" t="s">
        <v>43</v>
      </c>
      <c r="H146" s="29"/>
      <c r="I146" s="29" t="s">
        <v>44</v>
      </c>
      <c r="J146" s="30">
        <v>1</v>
      </c>
      <c r="K146" s="31">
        <f>12205</f>
        <v>12205</v>
      </c>
      <c r="L146" s="32" t="s">
        <v>1110</v>
      </c>
      <c r="M146" s="31">
        <f>12850</f>
        <v>12850</v>
      </c>
      <c r="N146" s="32" t="s">
        <v>678</v>
      </c>
      <c r="O146" s="31">
        <f>12200</f>
        <v>12200</v>
      </c>
      <c r="P146" s="32" t="s">
        <v>1110</v>
      </c>
      <c r="Q146" s="31">
        <f>12780</f>
        <v>12780</v>
      </c>
      <c r="R146" s="32" t="s">
        <v>883</v>
      </c>
      <c r="S146" s="33">
        <f>12553.5</f>
        <v>12553.5</v>
      </c>
      <c r="T146" s="30">
        <f>9001</f>
        <v>9001</v>
      </c>
      <c r="U146" s="30" t="str">
        <f>"－"</f>
        <v>－</v>
      </c>
      <c r="V146" s="30">
        <f>113187055</f>
        <v>113187055</v>
      </c>
      <c r="W146" s="30" t="str">
        <f>"－"</f>
        <v>－</v>
      </c>
      <c r="X146" s="34">
        <f>20</f>
        <v>20</v>
      </c>
    </row>
    <row r="147" spans="1:24" x14ac:dyDescent="0.15">
      <c r="A147" s="25" t="s">
        <v>1128</v>
      </c>
      <c r="B147" s="25" t="s">
        <v>398</v>
      </c>
      <c r="C147" s="25" t="s">
        <v>399</v>
      </c>
      <c r="D147" s="25" t="s">
        <v>400</v>
      </c>
      <c r="E147" s="26" t="s">
        <v>43</v>
      </c>
      <c r="F147" s="27" t="s">
        <v>43</v>
      </c>
      <c r="G147" s="28" t="s">
        <v>43</v>
      </c>
      <c r="H147" s="29"/>
      <c r="I147" s="29" t="s">
        <v>44</v>
      </c>
      <c r="J147" s="30">
        <v>1</v>
      </c>
      <c r="K147" s="31">
        <f>13165</f>
        <v>13165</v>
      </c>
      <c r="L147" s="32" t="s">
        <v>1110</v>
      </c>
      <c r="M147" s="31">
        <f>14900</f>
        <v>14900</v>
      </c>
      <c r="N147" s="32" t="s">
        <v>678</v>
      </c>
      <c r="O147" s="31">
        <f>13075</f>
        <v>13075</v>
      </c>
      <c r="P147" s="32" t="s">
        <v>1110</v>
      </c>
      <c r="Q147" s="31">
        <f>14395</f>
        <v>14395</v>
      </c>
      <c r="R147" s="32" t="s">
        <v>883</v>
      </c>
      <c r="S147" s="33">
        <f>13988.75</f>
        <v>13988.75</v>
      </c>
      <c r="T147" s="30">
        <f>14504</f>
        <v>14504</v>
      </c>
      <c r="U147" s="30" t="str">
        <f>"－"</f>
        <v>－</v>
      </c>
      <c r="V147" s="30">
        <f>205964320</f>
        <v>205964320</v>
      </c>
      <c r="W147" s="30" t="str">
        <f>"－"</f>
        <v>－</v>
      </c>
      <c r="X147" s="34">
        <f>20</f>
        <v>20</v>
      </c>
    </row>
    <row r="148" spans="1:24" x14ac:dyDescent="0.15">
      <c r="A148" s="25" t="s">
        <v>1128</v>
      </c>
      <c r="B148" s="25" t="s">
        <v>401</v>
      </c>
      <c r="C148" s="25" t="s">
        <v>402</v>
      </c>
      <c r="D148" s="25" t="s">
        <v>403</v>
      </c>
      <c r="E148" s="26" t="s">
        <v>43</v>
      </c>
      <c r="F148" s="27" t="s">
        <v>43</v>
      </c>
      <c r="G148" s="28" t="s">
        <v>43</v>
      </c>
      <c r="H148" s="29"/>
      <c r="I148" s="29" t="s">
        <v>44</v>
      </c>
      <c r="J148" s="30">
        <v>1</v>
      </c>
      <c r="K148" s="31">
        <f>19400</f>
        <v>19400</v>
      </c>
      <c r="L148" s="32" t="s">
        <v>675</v>
      </c>
      <c r="M148" s="31">
        <f>20995</f>
        <v>20995</v>
      </c>
      <c r="N148" s="32" t="s">
        <v>1112</v>
      </c>
      <c r="O148" s="31">
        <f>19205</f>
        <v>19205</v>
      </c>
      <c r="P148" s="32" t="s">
        <v>675</v>
      </c>
      <c r="Q148" s="31">
        <f>19615</f>
        <v>19615</v>
      </c>
      <c r="R148" s="32" t="s">
        <v>883</v>
      </c>
      <c r="S148" s="33">
        <f>20080.5</f>
        <v>20080.5</v>
      </c>
      <c r="T148" s="30">
        <f>318</f>
        <v>318</v>
      </c>
      <c r="U148" s="30" t="str">
        <f>"－"</f>
        <v>－</v>
      </c>
      <c r="V148" s="30">
        <f>6362955</f>
        <v>6362955</v>
      </c>
      <c r="W148" s="30" t="str">
        <f>"－"</f>
        <v>－</v>
      </c>
      <c r="X148" s="34">
        <f>10</f>
        <v>10</v>
      </c>
    </row>
    <row r="149" spans="1:24" x14ac:dyDescent="0.15">
      <c r="A149" s="25" t="s">
        <v>1128</v>
      </c>
      <c r="B149" s="25" t="s">
        <v>404</v>
      </c>
      <c r="C149" s="25" t="s">
        <v>405</v>
      </c>
      <c r="D149" s="25" t="s">
        <v>406</v>
      </c>
      <c r="E149" s="26" t="s">
        <v>43</v>
      </c>
      <c r="F149" s="27" t="s">
        <v>43</v>
      </c>
      <c r="G149" s="28" t="s">
        <v>43</v>
      </c>
      <c r="H149" s="29"/>
      <c r="I149" s="29" t="s">
        <v>44</v>
      </c>
      <c r="J149" s="30">
        <v>10</v>
      </c>
      <c r="K149" s="31">
        <f>54900</f>
        <v>54900</v>
      </c>
      <c r="L149" s="32" t="s">
        <v>1110</v>
      </c>
      <c r="M149" s="31">
        <f>55980</f>
        <v>55980</v>
      </c>
      <c r="N149" s="32" t="s">
        <v>676</v>
      </c>
      <c r="O149" s="31">
        <f>54480</f>
        <v>54480</v>
      </c>
      <c r="P149" s="32" t="s">
        <v>680</v>
      </c>
      <c r="Q149" s="31">
        <f>55510</f>
        <v>55510</v>
      </c>
      <c r="R149" s="32" t="s">
        <v>883</v>
      </c>
      <c r="S149" s="33">
        <f>55193.5</f>
        <v>55193.5</v>
      </c>
      <c r="T149" s="30">
        <f>3710</f>
        <v>3710</v>
      </c>
      <c r="U149" s="30" t="str">
        <f>"－"</f>
        <v>－</v>
      </c>
      <c r="V149" s="30">
        <f>204786300</f>
        <v>204786300</v>
      </c>
      <c r="W149" s="30" t="str">
        <f>"－"</f>
        <v>－</v>
      </c>
      <c r="X149" s="34">
        <f>20</f>
        <v>20</v>
      </c>
    </row>
    <row r="150" spans="1:24" x14ac:dyDescent="0.15">
      <c r="A150" s="25" t="s">
        <v>1128</v>
      </c>
      <c r="B150" s="25" t="s">
        <v>407</v>
      </c>
      <c r="C150" s="25" t="s">
        <v>974</v>
      </c>
      <c r="D150" s="25" t="s">
        <v>408</v>
      </c>
      <c r="E150" s="26" t="s">
        <v>43</v>
      </c>
      <c r="F150" s="27" t="s">
        <v>43</v>
      </c>
      <c r="G150" s="28" t="s">
        <v>43</v>
      </c>
      <c r="H150" s="29"/>
      <c r="I150" s="29" t="s">
        <v>44</v>
      </c>
      <c r="J150" s="30">
        <v>10</v>
      </c>
      <c r="K150" s="31">
        <f>351.8</f>
        <v>351.8</v>
      </c>
      <c r="L150" s="32" t="s">
        <v>1110</v>
      </c>
      <c r="M150" s="31">
        <f>356.4</f>
        <v>356.4</v>
      </c>
      <c r="N150" s="32" t="s">
        <v>675</v>
      </c>
      <c r="O150" s="31">
        <f>342.2</f>
        <v>342.2</v>
      </c>
      <c r="P150" s="32" t="s">
        <v>1117</v>
      </c>
      <c r="Q150" s="31">
        <f>354.4</f>
        <v>354.4</v>
      </c>
      <c r="R150" s="32" t="s">
        <v>883</v>
      </c>
      <c r="S150" s="33">
        <f>350.79</f>
        <v>350.79</v>
      </c>
      <c r="T150" s="30">
        <f>47761140</f>
        <v>47761140</v>
      </c>
      <c r="U150" s="30">
        <f>9630</f>
        <v>9630</v>
      </c>
      <c r="V150" s="30">
        <f>16724835585</f>
        <v>16724835585</v>
      </c>
      <c r="W150" s="30">
        <f>3260241</f>
        <v>3260241</v>
      </c>
      <c r="X150" s="34">
        <f>20</f>
        <v>20</v>
      </c>
    </row>
    <row r="151" spans="1:24" x14ac:dyDescent="0.15">
      <c r="A151" s="25" t="s">
        <v>1128</v>
      </c>
      <c r="B151" s="25" t="s">
        <v>409</v>
      </c>
      <c r="C151" s="25" t="s">
        <v>975</v>
      </c>
      <c r="D151" s="25" t="s">
        <v>410</v>
      </c>
      <c r="E151" s="26" t="s">
        <v>43</v>
      </c>
      <c r="F151" s="27" t="s">
        <v>43</v>
      </c>
      <c r="G151" s="28" t="s">
        <v>43</v>
      </c>
      <c r="H151" s="29"/>
      <c r="I151" s="29" t="s">
        <v>44</v>
      </c>
      <c r="J151" s="30">
        <v>10</v>
      </c>
      <c r="K151" s="31">
        <f>48880</f>
        <v>48880</v>
      </c>
      <c r="L151" s="32" t="s">
        <v>1110</v>
      </c>
      <c r="M151" s="31">
        <f>50570</f>
        <v>50570</v>
      </c>
      <c r="N151" s="32" t="s">
        <v>874</v>
      </c>
      <c r="O151" s="31">
        <f>47520</f>
        <v>47520</v>
      </c>
      <c r="P151" s="32" t="s">
        <v>684</v>
      </c>
      <c r="Q151" s="31">
        <f>50260</f>
        <v>50260</v>
      </c>
      <c r="R151" s="32" t="s">
        <v>883</v>
      </c>
      <c r="S151" s="33">
        <f>48965.26</f>
        <v>48965.26</v>
      </c>
      <c r="T151" s="30">
        <f>2570</f>
        <v>2570</v>
      </c>
      <c r="U151" s="30" t="str">
        <f>"－"</f>
        <v>－</v>
      </c>
      <c r="V151" s="30">
        <f>125213400</f>
        <v>125213400</v>
      </c>
      <c r="W151" s="30" t="str">
        <f>"－"</f>
        <v>－</v>
      </c>
      <c r="X151" s="34">
        <f>19</f>
        <v>19</v>
      </c>
    </row>
    <row r="152" spans="1:24" x14ac:dyDescent="0.15">
      <c r="A152" s="25" t="s">
        <v>1128</v>
      </c>
      <c r="B152" s="25" t="s">
        <v>411</v>
      </c>
      <c r="C152" s="25" t="s">
        <v>412</v>
      </c>
      <c r="D152" s="25" t="s">
        <v>976</v>
      </c>
      <c r="E152" s="26" t="s">
        <v>43</v>
      </c>
      <c r="F152" s="27" t="s">
        <v>43</v>
      </c>
      <c r="G152" s="28" t="s">
        <v>43</v>
      </c>
      <c r="H152" s="29"/>
      <c r="I152" s="29" t="s">
        <v>44</v>
      </c>
      <c r="J152" s="30">
        <v>10</v>
      </c>
      <c r="K152" s="31">
        <f>5267</f>
        <v>5267</v>
      </c>
      <c r="L152" s="32" t="s">
        <v>1110</v>
      </c>
      <c r="M152" s="31">
        <f>5506</f>
        <v>5506</v>
      </c>
      <c r="N152" s="32" t="s">
        <v>874</v>
      </c>
      <c r="O152" s="31">
        <f>5213</f>
        <v>5213</v>
      </c>
      <c r="P152" s="32" t="s">
        <v>684</v>
      </c>
      <c r="Q152" s="31">
        <f>5500</f>
        <v>5500</v>
      </c>
      <c r="R152" s="32" t="s">
        <v>883</v>
      </c>
      <c r="S152" s="33">
        <f>5364.45</f>
        <v>5364.45</v>
      </c>
      <c r="T152" s="30">
        <f>68980</f>
        <v>68980</v>
      </c>
      <c r="U152" s="30" t="str">
        <f>"－"</f>
        <v>－</v>
      </c>
      <c r="V152" s="30">
        <f>371937730</f>
        <v>371937730</v>
      </c>
      <c r="W152" s="30" t="str">
        <f>"－"</f>
        <v>－</v>
      </c>
      <c r="X152" s="34">
        <f>20</f>
        <v>20</v>
      </c>
    </row>
    <row r="153" spans="1:24" x14ac:dyDescent="0.15">
      <c r="A153" s="25" t="s">
        <v>1128</v>
      </c>
      <c r="B153" s="25" t="s">
        <v>413</v>
      </c>
      <c r="C153" s="25" t="s">
        <v>977</v>
      </c>
      <c r="D153" s="25" t="s">
        <v>978</v>
      </c>
      <c r="E153" s="26" t="s">
        <v>43</v>
      </c>
      <c r="F153" s="27" t="s">
        <v>43</v>
      </c>
      <c r="G153" s="28" t="s">
        <v>43</v>
      </c>
      <c r="H153" s="29"/>
      <c r="I153" s="29" t="s">
        <v>44</v>
      </c>
      <c r="J153" s="30">
        <v>10</v>
      </c>
      <c r="K153" s="31">
        <f>1888</f>
        <v>1888</v>
      </c>
      <c r="L153" s="32" t="s">
        <v>1110</v>
      </c>
      <c r="M153" s="31">
        <f>1973</f>
        <v>1973</v>
      </c>
      <c r="N153" s="32" t="s">
        <v>874</v>
      </c>
      <c r="O153" s="31">
        <f>1884</f>
        <v>1884</v>
      </c>
      <c r="P153" s="32" t="s">
        <v>1110</v>
      </c>
      <c r="Q153" s="31">
        <f>1958</f>
        <v>1958</v>
      </c>
      <c r="R153" s="32" t="s">
        <v>883</v>
      </c>
      <c r="S153" s="33">
        <f>1925.68</f>
        <v>1925.68</v>
      </c>
      <c r="T153" s="30">
        <f>155850</f>
        <v>155850</v>
      </c>
      <c r="U153" s="30" t="str">
        <f>"－"</f>
        <v>－</v>
      </c>
      <c r="V153" s="30">
        <f>301219330</f>
        <v>301219330</v>
      </c>
      <c r="W153" s="30" t="str">
        <f>"－"</f>
        <v>－</v>
      </c>
      <c r="X153" s="34">
        <f>20</f>
        <v>20</v>
      </c>
    </row>
    <row r="154" spans="1:24" x14ac:dyDescent="0.15">
      <c r="A154" s="25" t="s">
        <v>1128</v>
      </c>
      <c r="B154" s="25" t="s">
        <v>414</v>
      </c>
      <c r="C154" s="25" t="s">
        <v>415</v>
      </c>
      <c r="D154" s="25" t="s">
        <v>416</v>
      </c>
      <c r="E154" s="26" t="s">
        <v>43</v>
      </c>
      <c r="F154" s="27" t="s">
        <v>43</v>
      </c>
      <c r="G154" s="28" t="s">
        <v>43</v>
      </c>
      <c r="H154" s="29"/>
      <c r="I154" s="29" t="s">
        <v>44</v>
      </c>
      <c r="J154" s="30">
        <v>100</v>
      </c>
      <c r="K154" s="31">
        <f>231.1</f>
        <v>231.1</v>
      </c>
      <c r="L154" s="32" t="s">
        <v>1110</v>
      </c>
      <c r="M154" s="31">
        <f>237.8</f>
        <v>237.8</v>
      </c>
      <c r="N154" s="32" t="s">
        <v>1112</v>
      </c>
      <c r="O154" s="31">
        <f>230</f>
        <v>230</v>
      </c>
      <c r="P154" s="32" t="s">
        <v>1110</v>
      </c>
      <c r="Q154" s="31">
        <f>234.1</f>
        <v>234.1</v>
      </c>
      <c r="R154" s="32" t="s">
        <v>883</v>
      </c>
      <c r="S154" s="33">
        <f>234.53</f>
        <v>234.53</v>
      </c>
      <c r="T154" s="30">
        <f>87500</f>
        <v>87500</v>
      </c>
      <c r="U154" s="30" t="str">
        <f>"－"</f>
        <v>－</v>
      </c>
      <c r="V154" s="30">
        <f>20539700</f>
        <v>20539700</v>
      </c>
      <c r="W154" s="30" t="str">
        <f>"－"</f>
        <v>－</v>
      </c>
      <c r="X154" s="34">
        <f>20</f>
        <v>20</v>
      </c>
    </row>
    <row r="155" spans="1:24" x14ac:dyDescent="0.15">
      <c r="A155" s="25" t="s">
        <v>1128</v>
      </c>
      <c r="B155" s="25" t="s">
        <v>417</v>
      </c>
      <c r="C155" s="25" t="s">
        <v>418</v>
      </c>
      <c r="D155" s="25" t="s">
        <v>419</v>
      </c>
      <c r="E155" s="26" t="s">
        <v>43</v>
      </c>
      <c r="F155" s="27" t="s">
        <v>43</v>
      </c>
      <c r="G155" s="28" t="s">
        <v>43</v>
      </c>
      <c r="H155" s="29"/>
      <c r="I155" s="29" t="s">
        <v>44</v>
      </c>
      <c r="J155" s="30">
        <v>10</v>
      </c>
      <c r="K155" s="31">
        <f>1554</f>
        <v>1554</v>
      </c>
      <c r="L155" s="32" t="s">
        <v>1110</v>
      </c>
      <c r="M155" s="31">
        <f>1899.5</f>
        <v>1899.5</v>
      </c>
      <c r="N155" s="32" t="s">
        <v>679</v>
      </c>
      <c r="O155" s="31">
        <f>1554</f>
        <v>1554</v>
      </c>
      <c r="P155" s="32" t="s">
        <v>1110</v>
      </c>
      <c r="Q155" s="31">
        <f>1634.5</f>
        <v>1634.5</v>
      </c>
      <c r="R155" s="32" t="s">
        <v>1111</v>
      </c>
      <c r="S155" s="33">
        <f>1608.05</f>
        <v>1608.05</v>
      </c>
      <c r="T155" s="30">
        <f>1100</f>
        <v>1100</v>
      </c>
      <c r="U155" s="30" t="str">
        <f>"－"</f>
        <v>－</v>
      </c>
      <c r="V155" s="30">
        <f>1766415</f>
        <v>1766415</v>
      </c>
      <c r="W155" s="30" t="str">
        <f>"－"</f>
        <v>－</v>
      </c>
      <c r="X155" s="34">
        <f>10</f>
        <v>10</v>
      </c>
    </row>
    <row r="156" spans="1:24" x14ac:dyDescent="0.15">
      <c r="A156" s="25" t="s">
        <v>1128</v>
      </c>
      <c r="B156" s="25" t="s">
        <v>420</v>
      </c>
      <c r="C156" s="25" t="s">
        <v>421</v>
      </c>
      <c r="D156" s="25" t="s">
        <v>422</v>
      </c>
      <c r="E156" s="26" t="s">
        <v>43</v>
      </c>
      <c r="F156" s="27" t="s">
        <v>43</v>
      </c>
      <c r="G156" s="28" t="s">
        <v>43</v>
      </c>
      <c r="H156" s="29"/>
      <c r="I156" s="29" t="s">
        <v>44</v>
      </c>
      <c r="J156" s="30">
        <v>10</v>
      </c>
      <c r="K156" s="31">
        <f>548.7</f>
        <v>548.70000000000005</v>
      </c>
      <c r="L156" s="32" t="s">
        <v>1110</v>
      </c>
      <c r="M156" s="31">
        <f>573</f>
        <v>573</v>
      </c>
      <c r="N156" s="32" t="s">
        <v>883</v>
      </c>
      <c r="O156" s="31">
        <f>527.9</f>
        <v>527.9</v>
      </c>
      <c r="P156" s="32" t="s">
        <v>677</v>
      </c>
      <c r="Q156" s="31">
        <f>565.5</f>
        <v>565.5</v>
      </c>
      <c r="R156" s="32" t="s">
        <v>883</v>
      </c>
      <c r="S156" s="33">
        <f>554.65</f>
        <v>554.65</v>
      </c>
      <c r="T156" s="30">
        <f>22300</f>
        <v>22300</v>
      </c>
      <c r="U156" s="30" t="str">
        <f>"－"</f>
        <v>－</v>
      </c>
      <c r="V156" s="30">
        <f>12363963</f>
        <v>12363963</v>
      </c>
      <c r="W156" s="30" t="str">
        <f>"－"</f>
        <v>－</v>
      </c>
      <c r="X156" s="34">
        <f>18</f>
        <v>18</v>
      </c>
    </row>
    <row r="157" spans="1:24" x14ac:dyDescent="0.15">
      <c r="A157" s="25" t="s">
        <v>1128</v>
      </c>
      <c r="B157" s="25" t="s">
        <v>423</v>
      </c>
      <c r="C157" s="25" t="s">
        <v>424</v>
      </c>
      <c r="D157" s="25" t="s">
        <v>425</v>
      </c>
      <c r="E157" s="26" t="s">
        <v>43</v>
      </c>
      <c r="F157" s="27" t="s">
        <v>43</v>
      </c>
      <c r="G157" s="28" t="s">
        <v>43</v>
      </c>
      <c r="H157" s="29"/>
      <c r="I157" s="29" t="s">
        <v>44</v>
      </c>
      <c r="J157" s="30">
        <v>10</v>
      </c>
      <c r="K157" s="31">
        <f>2100</f>
        <v>2100</v>
      </c>
      <c r="L157" s="32" t="s">
        <v>1110</v>
      </c>
      <c r="M157" s="31">
        <f>2200</f>
        <v>2200</v>
      </c>
      <c r="N157" s="32" t="s">
        <v>1112</v>
      </c>
      <c r="O157" s="31">
        <f>2084</f>
        <v>2084</v>
      </c>
      <c r="P157" s="32" t="s">
        <v>1113</v>
      </c>
      <c r="Q157" s="31">
        <f>2141.5</f>
        <v>2141.5</v>
      </c>
      <c r="R157" s="32" t="s">
        <v>1111</v>
      </c>
      <c r="S157" s="33">
        <f>2137.76</f>
        <v>2137.7600000000002</v>
      </c>
      <c r="T157" s="30">
        <f>3140</f>
        <v>3140</v>
      </c>
      <c r="U157" s="30" t="str">
        <f>"－"</f>
        <v>－</v>
      </c>
      <c r="V157" s="30">
        <f>6718775</f>
        <v>6718775</v>
      </c>
      <c r="W157" s="30" t="str">
        <f>"－"</f>
        <v>－</v>
      </c>
      <c r="X157" s="34">
        <f>17</f>
        <v>17</v>
      </c>
    </row>
    <row r="158" spans="1:24" x14ac:dyDescent="0.15">
      <c r="A158" s="25" t="s">
        <v>1128</v>
      </c>
      <c r="B158" s="25" t="s">
        <v>426</v>
      </c>
      <c r="C158" s="25" t="s">
        <v>427</v>
      </c>
      <c r="D158" s="25" t="s">
        <v>428</v>
      </c>
      <c r="E158" s="26" t="s">
        <v>43</v>
      </c>
      <c r="F158" s="27" t="s">
        <v>43</v>
      </c>
      <c r="G158" s="28" t="s">
        <v>43</v>
      </c>
      <c r="H158" s="29"/>
      <c r="I158" s="29" t="s">
        <v>44</v>
      </c>
      <c r="J158" s="30">
        <v>10</v>
      </c>
      <c r="K158" s="31">
        <f>901.2</f>
        <v>901.2</v>
      </c>
      <c r="L158" s="32" t="s">
        <v>1110</v>
      </c>
      <c r="M158" s="31">
        <f>931.9</f>
        <v>931.9</v>
      </c>
      <c r="N158" s="32" t="s">
        <v>874</v>
      </c>
      <c r="O158" s="31">
        <f>881.7</f>
        <v>881.7</v>
      </c>
      <c r="P158" s="32" t="s">
        <v>1115</v>
      </c>
      <c r="Q158" s="31">
        <f>928.1</f>
        <v>928.1</v>
      </c>
      <c r="R158" s="32" t="s">
        <v>883</v>
      </c>
      <c r="S158" s="33">
        <f>905.49</f>
        <v>905.49</v>
      </c>
      <c r="T158" s="30">
        <f>38650</f>
        <v>38650</v>
      </c>
      <c r="U158" s="30" t="str">
        <f>"－"</f>
        <v>－</v>
      </c>
      <c r="V158" s="30">
        <f>35058376</f>
        <v>35058376</v>
      </c>
      <c r="W158" s="30" t="str">
        <f>"－"</f>
        <v>－</v>
      </c>
      <c r="X158" s="34">
        <f>20</f>
        <v>20</v>
      </c>
    </row>
    <row r="159" spans="1:24" x14ac:dyDescent="0.15">
      <c r="A159" s="25" t="s">
        <v>1128</v>
      </c>
      <c r="B159" s="25" t="s">
        <v>429</v>
      </c>
      <c r="C159" s="25" t="s">
        <v>430</v>
      </c>
      <c r="D159" s="25" t="s">
        <v>431</v>
      </c>
      <c r="E159" s="26" t="s">
        <v>43</v>
      </c>
      <c r="F159" s="27" t="s">
        <v>43</v>
      </c>
      <c r="G159" s="28" t="s">
        <v>43</v>
      </c>
      <c r="H159" s="29"/>
      <c r="I159" s="29" t="s">
        <v>44</v>
      </c>
      <c r="J159" s="30">
        <v>10</v>
      </c>
      <c r="K159" s="31">
        <f>569.8</f>
        <v>569.79999999999995</v>
      </c>
      <c r="L159" s="32" t="s">
        <v>1110</v>
      </c>
      <c r="M159" s="31">
        <f>589.9</f>
        <v>589.9</v>
      </c>
      <c r="N159" s="32" t="s">
        <v>1112</v>
      </c>
      <c r="O159" s="31">
        <f>552.1</f>
        <v>552.1</v>
      </c>
      <c r="P159" s="32" t="s">
        <v>1115</v>
      </c>
      <c r="Q159" s="31">
        <f>588.5</f>
        <v>588.5</v>
      </c>
      <c r="R159" s="32" t="s">
        <v>883</v>
      </c>
      <c r="S159" s="33">
        <f>571.98</f>
        <v>571.98</v>
      </c>
      <c r="T159" s="30">
        <f>108750</f>
        <v>108750</v>
      </c>
      <c r="U159" s="30" t="str">
        <f>"－"</f>
        <v>－</v>
      </c>
      <c r="V159" s="30">
        <f>62208713</f>
        <v>62208713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1128</v>
      </c>
      <c r="B160" s="25" t="s">
        <v>432</v>
      </c>
      <c r="C160" s="25" t="s">
        <v>433</v>
      </c>
      <c r="D160" s="25" t="s">
        <v>434</v>
      </c>
      <c r="E160" s="26" t="s">
        <v>43</v>
      </c>
      <c r="F160" s="27" t="s">
        <v>43</v>
      </c>
      <c r="G160" s="28" t="s">
        <v>43</v>
      </c>
      <c r="H160" s="29"/>
      <c r="I160" s="29" t="s">
        <v>44</v>
      </c>
      <c r="J160" s="30">
        <v>1</v>
      </c>
      <c r="K160" s="31">
        <f>1302</f>
        <v>1302</v>
      </c>
      <c r="L160" s="32" t="s">
        <v>1110</v>
      </c>
      <c r="M160" s="31">
        <f>1360</f>
        <v>1360</v>
      </c>
      <c r="N160" s="32" t="s">
        <v>1124</v>
      </c>
      <c r="O160" s="31">
        <f>1134</f>
        <v>1134</v>
      </c>
      <c r="P160" s="32" t="s">
        <v>1114</v>
      </c>
      <c r="Q160" s="31">
        <f>1170</f>
        <v>1170</v>
      </c>
      <c r="R160" s="32" t="s">
        <v>883</v>
      </c>
      <c r="S160" s="33">
        <f>1230.15</f>
        <v>1230.1500000000001</v>
      </c>
      <c r="T160" s="30">
        <f>1326948</f>
        <v>1326948</v>
      </c>
      <c r="U160" s="30" t="str">
        <f>"－"</f>
        <v>－</v>
      </c>
      <c r="V160" s="30">
        <f>1623538430</f>
        <v>1623538430</v>
      </c>
      <c r="W160" s="30" t="str">
        <f>"－"</f>
        <v>－</v>
      </c>
      <c r="X160" s="34">
        <f>20</f>
        <v>20</v>
      </c>
    </row>
    <row r="161" spans="1:24" x14ac:dyDescent="0.15">
      <c r="A161" s="25" t="s">
        <v>1128</v>
      </c>
      <c r="B161" s="25" t="s">
        <v>435</v>
      </c>
      <c r="C161" s="25" t="s">
        <v>436</v>
      </c>
      <c r="D161" s="25" t="s">
        <v>437</v>
      </c>
      <c r="E161" s="26" t="s">
        <v>43</v>
      </c>
      <c r="F161" s="27" t="s">
        <v>43</v>
      </c>
      <c r="G161" s="28" t="s">
        <v>43</v>
      </c>
      <c r="H161" s="29"/>
      <c r="I161" s="29" t="s">
        <v>44</v>
      </c>
      <c r="J161" s="30">
        <v>10</v>
      </c>
      <c r="K161" s="31">
        <f>1461.5</f>
        <v>1461.5</v>
      </c>
      <c r="L161" s="32" t="s">
        <v>1110</v>
      </c>
      <c r="M161" s="31">
        <f>1575</f>
        <v>1575</v>
      </c>
      <c r="N161" s="32" t="s">
        <v>883</v>
      </c>
      <c r="O161" s="31">
        <f>1418.5</f>
        <v>1418.5</v>
      </c>
      <c r="P161" s="32" t="s">
        <v>684</v>
      </c>
      <c r="Q161" s="31">
        <f>1575</f>
        <v>1575</v>
      </c>
      <c r="R161" s="32" t="s">
        <v>883</v>
      </c>
      <c r="S161" s="33">
        <f>1499.38</f>
        <v>1499.38</v>
      </c>
      <c r="T161" s="30">
        <f>60430</f>
        <v>60430</v>
      </c>
      <c r="U161" s="30" t="str">
        <f>"－"</f>
        <v>－</v>
      </c>
      <c r="V161" s="30">
        <f>91172990</f>
        <v>91172990</v>
      </c>
      <c r="W161" s="30" t="str">
        <f>"－"</f>
        <v>－</v>
      </c>
      <c r="X161" s="34">
        <f>20</f>
        <v>20</v>
      </c>
    </row>
    <row r="162" spans="1:24" x14ac:dyDescent="0.15">
      <c r="A162" s="25" t="s">
        <v>1128</v>
      </c>
      <c r="B162" s="25" t="s">
        <v>438</v>
      </c>
      <c r="C162" s="25" t="s">
        <v>439</v>
      </c>
      <c r="D162" s="25" t="s">
        <v>440</v>
      </c>
      <c r="E162" s="26" t="s">
        <v>43</v>
      </c>
      <c r="F162" s="27" t="s">
        <v>43</v>
      </c>
      <c r="G162" s="28" t="s">
        <v>43</v>
      </c>
      <c r="H162" s="29"/>
      <c r="I162" s="29" t="s">
        <v>44</v>
      </c>
      <c r="J162" s="30">
        <v>1</v>
      </c>
      <c r="K162" s="31">
        <f>8300</f>
        <v>8300</v>
      </c>
      <c r="L162" s="32" t="s">
        <v>675</v>
      </c>
      <c r="M162" s="31">
        <f>8850</f>
        <v>8850</v>
      </c>
      <c r="N162" s="32" t="s">
        <v>676</v>
      </c>
      <c r="O162" s="31">
        <f>7835</f>
        <v>7835</v>
      </c>
      <c r="P162" s="32" t="s">
        <v>684</v>
      </c>
      <c r="Q162" s="31">
        <f>8699</f>
        <v>8699</v>
      </c>
      <c r="R162" s="32" t="s">
        <v>883</v>
      </c>
      <c r="S162" s="33">
        <f>8472.06</f>
        <v>8472.06</v>
      </c>
      <c r="T162" s="30">
        <f>4318</f>
        <v>4318</v>
      </c>
      <c r="U162" s="30" t="str">
        <f>"－"</f>
        <v>－</v>
      </c>
      <c r="V162" s="30">
        <f>36282938</f>
        <v>36282938</v>
      </c>
      <c r="W162" s="30" t="str">
        <f>"－"</f>
        <v>－</v>
      </c>
      <c r="X162" s="34">
        <f>17</f>
        <v>17</v>
      </c>
    </row>
    <row r="163" spans="1:24" x14ac:dyDescent="0.15">
      <c r="A163" s="25" t="s">
        <v>1128</v>
      </c>
      <c r="B163" s="25" t="s">
        <v>441</v>
      </c>
      <c r="C163" s="25" t="s">
        <v>442</v>
      </c>
      <c r="D163" s="25" t="s">
        <v>443</v>
      </c>
      <c r="E163" s="26" t="s">
        <v>43</v>
      </c>
      <c r="F163" s="27" t="s">
        <v>43</v>
      </c>
      <c r="G163" s="28" t="s">
        <v>43</v>
      </c>
      <c r="H163" s="29"/>
      <c r="I163" s="29" t="s">
        <v>44</v>
      </c>
      <c r="J163" s="30">
        <v>100</v>
      </c>
      <c r="K163" s="31">
        <f>442.7</f>
        <v>442.7</v>
      </c>
      <c r="L163" s="32" t="s">
        <v>1110</v>
      </c>
      <c r="M163" s="31">
        <f>467</f>
        <v>467</v>
      </c>
      <c r="N163" s="32" t="s">
        <v>679</v>
      </c>
      <c r="O163" s="31">
        <f>435</f>
        <v>435</v>
      </c>
      <c r="P163" s="32" t="s">
        <v>684</v>
      </c>
      <c r="Q163" s="31">
        <f>463.6</f>
        <v>463.6</v>
      </c>
      <c r="R163" s="32" t="s">
        <v>883</v>
      </c>
      <c r="S163" s="33">
        <f>448.45</f>
        <v>448.45</v>
      </c>
      <c r="T163" s="30">
        <f>90700</f>
        <v>90700</v>
      </c>
      <c r="U163" s="30" t="str">
        <f>"－"</f>
        <v>－</v>
      </c>
      <c r="V163" s="30">
        <f>40626010</f>
        <v>40626010</v>
      </c>
      <c r="W163" s="30" t="str">
        <f>"－"</f>
        <v>－</v>
      </c>
      <c r="X163" s="34">
        <f>20</f>
        <v>20</v>
      </c>
    </row>
    <row r="164" spans="1:24" x14ac:dyDescent="0.15">
      <c r="A164" s="25" t="s">
        <v>1128</v>
      </c>
      <c r="B164" s="25" t="s">
        <v>444</v>
      </c>
      <c r="C164" s="25" t="s">
        <v>445</v>
      </c>
      <c r="D164" s="25" t="s">
        <v>446</v>
      </c>
      <c r="E164" s="26" t="s">
        <v>43</v>
      </c>
      <c r="F164" s="27" t="s">
        <v>43</v>
      </c>
      <c r="G164" s="28" t="s">
        <v>43</v>
      </c>
      <c r="H164" s="29"/>
      <c r="I164" s="29" t="s">
        <v>44</v>
      </c>
      <c r="J164" s="30">
        <v>10</v>
      </c>
      <c r="K164" s="31">
        <f>5149</f>
        <v>5149</v>
      </c>
      <c r="L164" s="32" t="s">
        <v>1110</v>
      </c>
      <c r="M164" s="31">
        <f>5576</f>
        <v>5576</v>
      </c>
      <c r="N164" s="32" t="s">
        <v>678</v>
      </c>
      <c r="O164" s="31">
        <f>5086</f>
        <v>5086</v>
      </c>
      <c r="P164" s="32" t="s">
        <v>684</v>
      </c>
      <c r="Q164" s="31">
        <f>5436</f>
        <v>5436</v>
      </c>
      <c r="R164" s="32" t="s">
        <v>883</v>
      </c>
      <c r="S164" s="33">
        <f>5315.35</f>
        <v>5315.35</v>
      </c>
      <c r="T164" s="30">
        <f>28430</f>
        <v>28430</v>
      </c>
      <c r="U164" s="30" t="str">
        <f>"－"</f>
        <v>－</v>
      </c>
      <c r="V164" s="30">
        <f>153558760</f>
        <v>153558760</v>
      </c>
      <c r="W164" s="30" t="str">
        <f>"－"</f>
        <v>－</v>
      </c>
      <c r="X164" s="34">
        <f>20</f>
        <v>20</v>
      </c>
    </row>
    <row r="165" spans="1:24" x14ac:dyDescent="0.15">
      <c r="A165" s="25" t="s">
        <v>1128</v>
      </c>
      <c r="B165" s="25" t="s">
        <v>447</v>
      </c>
      <c r="C165" s="25" t="s">
        <v>448</v>
      </c>
      <c r="D165" s="25" t="s">
        <v>449</v>
      </c>
      <c r="E165" s="26" t="s">
        <v>43</v>
      </c>
      <c r="F165" s="27" t="s">
        <v>43</v>
      </c>
      <c r="G165" s="28" t="s">
        <v>43</v>
      </c>
      <c r="H165" s="29"/>
      <c r="I165" s="29" t="s">
        <v>44</v>
      </c>
      <c r="J165" s="30">
        <v>10</v>
      </c>
      <c r="K165" s="31">
        <f>2450</f>
        <v>2450</v>
      </c>
      <c r="L165" s="32" t="s">
        <v>1110</v>
      </c>
      <c r="M165" s="31">
        <f>2510</f>
        <v>2510</v>
      </c>
      <c r="N165" s="32" t="s">
        <v>1123</v>
      </c>
      <c r="O165" s="31">
        <f>2300</f>
        <v>2300</v>
      </c>
      <c r="P165" s="32" t="s">
        <v>1114</v>
      </c>
      <c r="Q165" s="31">
        <f>2330</f>
        <v>2330</v>
      </c>
      <c r="R165" s="32" t="s">
        <v>883</v>
      </c>
      <c r="S165" s="33">
        <f>2413.2</f>
        <v>2413.1999999999998</v>
      </c>
      <c r="T165" s="30">
        <f>32180</f>
        <v>32180</v>
      </c>
      <c r="U165" s="30" t="str">
        <f>"－"</f>
        <v>－</v>
      </c>
      <c r="V165" s="30">
        <f>78200640</f>
        <v>78200640</v>
      </c>
      <c r="W165" s="30" t="str">
        <f>"－"</f>
        <v>－</v>
      </c>
      <c r="X165" s="34">
        <f>20</f>
        <v>20</v>
      </c>
    </row>
    <row r="166" spans="1:24" x14ac:dyDescent="0.15">
      <c r="A166" s="25" t="s">
        <v>1128</v>
      </c>
      <c r="B166" s="25" t="s">
        <v>450</v>
      </c>
      <c r="C166" s="25" t="s">
        <v>451</v>
      </c>
      <c r="D166" s="25" t="s">
        <v>452</v>
      </c>
      <c r="E166" s="26" t="s">
        <v>43</v>
      </c>
      <c r="F166" s="27" t="s">
        <v>43</v>
      </c>
      <c r="G166" s="28" t="s">
        <v>43</v>
      </c>
      <c r="H166" s="29"/>
      <c r="I166" s="29" t="s">
        <v>44</v>
      </c>
      <c r="J166" s="30">
        <v>1</v>
      </c>
      <c r="K166" s="31">
        <f>3585</f>
        <v>3585</v>
      </c>
      <c r="L166" s="32" t="s">
        <v>1110</v>
      </c>
      <c r="M166" s="31">
        <f>3590</f>
        <v>3590</v>
      </c>
      <c r="N166" s="32" t="s">
        <v>1110</v>
      </c>
      <c r="O166" s="31">
        <f>3235</f>
        <v>3235</v>
      </c>
      <c r="P166" s="32" t="s">
        <v>1113</v>
      </c>
      <c r="Q166" s="31">
        <f>3515</f>
        <v>3515</v>
      </c>
      <c r="R166" s="32" t="s">
        <v>883</v>
      </c>
      <c r="S166" s="33">
        <f>3396.5</f>
        <v>3396.5</v>
      </c>
      <c r="T166" s="30">
        <f>254781</f>
        <v>254781</v>
      </c>
      <c r="U166" s="30" t="str">
        <f>"－"</f>
        <v>－</v>
      </c>
      <c r="V166" s="30">
        <f>865148775</f>
        <v>865148775</v>
      </c>
      <c r="W166" s="30" t="str">
        <f>"－"</f>
        <v>－</v>
      </c>
      <c r="X166" s="34">
        <f>20</f>
        <v>20</v>
      </c>
    </row>
    <row r="167" spans="1:24" x14ac:dyDescent="0.15">
      <c r="A167" s="25" t="s">
        <v>1128</v>
      </c>
      <c r="B167" s="25" t="s">
        <v>453</v>
      </c>
      <c r="C167" s="25" t="s">
        <v>454</v>
      </c>
      <c r="D167" s="25" t="s">
        <v>455</v>
      </c>
      <c r="E167" s="26" t="s">
        <v>43</v>
      </c>
      <c r="F167" s="27" t="s">
        <v>43</v>
      </c>
      <c r="G167" s="28" t="s">
        <v>43</v>
      </c>
      <c r="H167" s="29"/>
      <c r="I167" s="29" t="s">
        <v>44</v>
      </c>
      <c r="J167" s="30">
        <v>1</v>
      </c>
      <c r="K167" s="31">
        <f>3230</f>
        <v>3230</v>
      </c>
      <c r="L167" s="32" t="s">
        <v>1110</v>
      </c>
      <c r="M167" s="31">
        <f>3370</f>
        <v>3370</v>
      </c>
      <c r="N167" s="32" t="s">
        <v>883</v>
      </c>
      <c r="O167" s="31">
        <f>3150</f>
        <v>3150</v>
      </c>
      <c r="P167" s="32" t="s">
        <v>675</v>
      </c>
      <c r="Q167" s="31">
        <f>3345</f>
        <v>3345</v>
      </c>
      <c r="R167" s="32" t="s">
        <v>883</v>
      </c>
      <c r="S167" s="33">
        <f>3253.75</f>
        <v>3253.75</v>
      </c>
      <c r="T167" s="30">
        <f>24024</f>
        <v>24024</v>
      </c>
      <c r="U167" s="30" t="str">
        <f>"－"</f>
        <v>－</v>
      </c>
      <c r="V167" s="30">
        <f>78185385</f>
        <v>78185385</v>
      </c>
      <c r="W167" s="30" t="str">
        <f>"－"</f>
        <v>－</v>
      </c>
      <c r="X167" s="34">
        <f>20</f>
        <v>20</v>
      </c>
    </row>
    <row r="168" spans="1:24" x14ac:dyDescent="0.15">
      <c r="A168" s="25" t="s">
        <v>1128</v>
      </c>
      <c r="B168" s="25" t="s">
        <v>456</v>
      </c>
      <c r="C168" s="25" t="s">
        <v>457</v>
      </c>
      <c r="D168" s="25" t="s">
        <v>458</v>
      </c>
      <c r="E168" s="26" t="s">
        <v>43</v>
      </c>
      <c r="F168" s="27" t="s">
        <v>43</v>
      </c>
      <c r="G168" s="28" t="s">
        <v>43</v>
      </c>
      <c r="H168" s="29"/>
      <c r="I168" s="29" t="s">
        <v>44</v>
      </c>
      <c r="J168" s="30">
        <v>10</v>
      </c>
      <c r="K168" s="31">
        <f>4121</f>
        <v>4121</v>
      </c>
      <c r="L168" s="32" t="s">
        <v>1110</v>
      </c>
      <c r="M168" s="31">
        <f>4409</f>
        <v>4409</v>
      </c>
      <c r="N168" s="32" t="s">
        <v>1112</v>
      </c>
      <c r="O168" s="31">
        <f>4081</f>
        <v>4081</v>
      </c>
      <c r="P168" s="32" t="s">
        <v>1115</v>
      </c>
      <c r="Q168" s="31">
        <f>4268</f>
        <v>4268</v>
      </c>
      <c r="R168" s="32" t="s">
        <v>883</v>
      </c>
      <c r="S168" s="33">
        <f>4238.05</f>
        <v>4238.05</v>
      </c>
      <c r="T168" s="30">
        <f>19330</f>
        <v>19330</v>
      </c>
      <c r="U168" s="30" t="str">
        <f>"－"</f>
        <v>－</v>
      </c>
      <c r="V168" s="30">
        <f>82080820</f>
        <v>82080820</v>
      </c>
      <c r="W168" s="30" t="str">
        <f>"－"</f>
        <v>－</v>
      </c>
      <c r="X168" s="34">
        <f>20</f>
        <v>20</v>
      </c>
    </row>
    <row r="169" spans="1:24" x14ac:dyDescent="0.15">
      <c r="A169" s="25" t="s">
        <v>1128</v>
      </c>
      <c r="B169" s="25" t="s">
        <v>459</v>
      </c>
      <c r="C169" s="25" t="s">
        <v>460</v>
      </c>
      <c r="D169" s="25" t="s">
        <v>979</v>
      </c>
      <c r="E169" s="26" t="s">
        <v>43</v>
      </c>
      <c r="F169" s="27" t="s">
        <v>43</v>
      </c>
      <c r="G169" s="28" t="s">
        <v>43</v>
      </c>
      <c r="H169" s="29"/>
      <c r="I169" s="29" t="s">
        <v>44</v>
      </c>
      <c r="J169" s="30">
        <v>10</v>
      </c>
      <c r="K169" s="31">
        <f>2885</f>
        <v>2885</v>
      </c>
      <c r="L169" s="32" t="s">
        <v>1110</v>
      </c>
      <c r="M169" s="31">
        <f>3048</f>
        <v>3048</v>
      </c>
      <c r="N169" s="32" t="s">
        <v>1114</v>
      </c>
      <c r="O169" s="31">
        <f>2817</f>
        <v>2817</v>
      </c>
      <c r="P169" s="32" t="s">
        <v>677</v>
      </c>
      <c r="Q169" s="31">
        <f>3048</f>
        <v>3048</v>
      </c>
      <c r="R169" s="32" t="s">
        <v>883</v>
      </c>
      <c r="S169" s="33">
        <f>2944.85</f>
        <v>2944.85</v>
      </c>
      <c r="T169" s="30">
        <f>845770</f>
        <v>845770</v>
      </c>
      <c r="U169" s="30">
        <f>559940</f>
        <v>559940</v>
      </c>
      <c r="V169" s="30">
        <f>2495060691</f>
        <v>2495060691</v>
      </c>
      <c r="W169" s="30">
        <f>1654209501</f>
        <v>1654209501</v>
      </c>
      <c r="X169" s="34">
        <f>20</f>
        <v>20</v>
      </c>
    </row>
    <row r="170" spans="1:24" x14ac:dyDescent="0.15">
      <c r="A170" s="25" t="s">
        <v>1128</v>
      </c>
      <c r="B170" s="25" t="s">
        <v>461</v>
      </c>
      <c r="C170" s="25" t="s">
        <v>980</v>
      </c>
      <c r="D170" s="25" t="s">
        <v>981</v>
      </c>
      <c r="E170" s="26" t="s">
        <v>43</v>
      </c>
      <c r="F170" s="27" t="s">
        <v>43</v>
      </c>
      <c r="G170" s="28" t="s">
        <v>43</v>
      </c>
      <c r="H170" s="29"/>
      <c r="I170" s="29" t="s">
        <v>44</v>
      </c>
      <c r="J170" s="30">
        <v>10</v>
      </c>
      <c r="K170" s="31">
        <f>401.7</f>
        <v>401.7</v>
      </c>
      <c r="L170" s="32" t="s">
        <v>1110</v>
      </c>
      <c r="M170" s="31">
        <f>434.3</f>
        <v>434.3</v>
      </c>
      <c r="N170" s="32" t="s">
        <v>883</v>
      </c>
      <c r="O170" s="31">
        <f>391</f>
        <v>391</v>
      </c>
      <c r="P170" s="32" t="s">
        <v>684</v>
      </c>
      <c r="Q170" s="31">
        <f>433.6</f>
        <v>433.6</v>
      </c>
      <c r="R170" s="32" t="s">
        <v>883</v>
      </c>
      <c r="S170" s="33">
        <f>414.04</f>
        <v>414.04</v>
      </c>
      <c r="T170" s="30">
        <f>28592920</f>
        <v>28592920</v>
      </c>
      <c r="U170" s="30">
        <f>12000670</f>
        <v>12000670</v>
      </c>
      <c r="V170" s="30">
        <f>11838780598</f>
        <v>11838780598</v>
      </c>
      <c r="W170" s="30">
        <f>4875887318</f>
        <v>4875887318</v>
      </c>
      <c r="X170" s="34">
        <f>20</f>
        <v>20</v>
      </c>
    </row>
    <row r="171" spans="1:24" x14ac:dyDescent="0.15">
      <c r="A171" s="25" t="s">
        <v>1128</v>
      </c>
      <c r="B171" s="25" t="s">
        <v>1132</v>
      </c>
      <c r="C171" s="25" t="s">
        <v>1131</v>
      </c>
      <c r="D171" s="25" t="s">
        <v>1130</v>
      </c>
      <c r="E171" s="26" t="s">
        <v>672</v>
      </c>
      <c r="F171" s="27" t="s">
        <v>673</v>
      </c>
      <c r="G171" s="28" t="s">
        <v>1129</v>
      </c>
      <c r="H171" s="29"/>
      <c r="I171" s="29" t="s">
        <v>44</v>
      </c>
      <c r="J171" s="30">
        <v>1</v>
      </c>
      <c r="K171" s="31">
        <f>2017</f>
        <v>2017</v>
      </c>
      <c r="L171" s="32" t="s">
        <v>679</v>
      </c>
      <c r="M171" s="31">
        <f>2030</f>
        <v>2030</v>
      </c>
      <c r="N171" s="32" t="s">
        <v>679</v>
      </c>
      <c r="O171" s="31">
        <f>1973</f>
        <v>1973</v>
      </c>
      <c r="P171" s="32" t="s">
        <v>679</v>
      </c>
      <c r="Q171" s="31">
        <f>2000</f>
        <v>2000</v>
      </c>
      <c r="R171" s="32" t="s">
        <v>883</v>
      </c>
      <c r="S171" s="33">
        <f>1994.4</f>
        <v>1994.4</v>
      </c>
      <c r="T171" s="30">
        <f>36418</f>
        <v>36418</v>
      </c>
      <c r="U171" s="30" t="str">
        <f>"－"</f>
        <v>－</v>
      </c>
      <c r="V171" s="30">
        <f>72760135</f>
        <v>72760135</v>
      </c>
      <c r="W171" s="30" t="str">
        <f>"－"</f>
        <v>－</v>
      </c>
      <c r="X171" s="34">
        <f>5</f>
        <v>5</v>
      </c>
    </row>
    <row r="172" spans="1:24" x14ac:dyDescent="0.15">
      <c r="A172" s="25" t="s">
        <v>1128</v>
      </c>
      <c r="B172" s="25" t="s">
        <v>1054</v>
      </c>
      <c r="C172" s="25" t="s">
        <v>1055</v>
      </c>
      <c r="D172" s="25" t="s">
        <v>1056</v>
      </c>
      <c r="E172" s="26" t="s">
        <v>43</v>
      </c>
      <c r="F172" s="27" t="s">
        <v>43</v>
      </c>
      <c r="G172" s="28" t="s">
        <v>43</v>
      </c>
      <c r="H172" s="29"/>
      <c r="I172" s="29" t="s">
        <v>44</v>
      </c>
      <c r="J172" s="30">
        <v>10</v>
      </c>
      <c r="K172" s="31">
        <f>549.1</f>
        <v>549.1</v>
      </c>
      <c r="L172" s="32" t="s">
        <v>1110</v>
      </c>
      <c r="M172" s="31">
        <f>580</f>
        <v>580</v>
      </c>
      <c r="N172" s="32" t="s">
        <v>883</v>
      </c>
      <c r="O172" s="31">
        <f>536.8</f>
        <v>536.79999999999995</v>
      </c>
      <c r="P172" s="32" t="s">
        <v>677</v>
      </c>
      <c r="Q172" s="31">
        <f>574.4</f>
        <v>574.4</v>
      </c>
      <c r="R172" s="32" t="s">
        <v>883</v>
      </c>
      <c r="S172" s="33">
        <f>558.57</f>
        <v>558.57000000000005</v>
      </c>
      <c r="T172" s="30">
        <f>849220</f>
        <v>849220</v>
      </c>
      <c r="U172" s="30">
        <f>287900</f>
        <v>287900</v>
      </c>
      <c r="V172" s="30">
        <f>470734633</f>
        <v>470734633</v>
      </c>
      <c r="W172" s="30">
        <f>158317150</f>
        <v>158317150</v>
      </c>
      <c r="X172" s="34">
        <f>20</f>
        <v>20</v>
      </c>
    </row>
    <row r="173" spans="1:24" x14ac:dyDescent="0.15">
      <c r="A173" s="25" t="s">
        <v>1128</v>
      </c>
      <c r="B173" s="25" t="s">
        <v>1083</v>
      </c>
      <c r="C173" s="25" t="s">
        <v>1084</v>
      </c>
      <c r="D173" s="25" t="s">
        <v>1085</v>
      </c>
      <c r="E173" s="26" t="s">
        <v>43</v>
      </c>
      <c r="F173" s="27" t="s">
        <v>43</v>
      </c>
      <c r="G173" s="28" t="s">
        <v>43</v>
      </c>
      <c r="H173" s="29"/>
      <c r="I173" s="29" t="s">
        <v>44</v>
      </c>
      <c r="J173" s="30">
        <v>10</v>
      </c>
      <c r="K173" s="31">
        <f>205</f>
        <v>205</v>
      </c>
      <c r="L173" s="32" t="s">
        <v>1110</v>
      </c>
      <c r="M173" s="31">
        <f>208.9</f>
        <v>208.9</v>
      </c>
      <c r="N173" s="32" t="s">
        <v>1112</v>
      </c>
      <c r="O173" s="31">
        <f>200.1</f>
        <v>200.1</v>
      </c>
      <c r="P173" s="32" t="s">
        <v>677</v>
      </c>
      <c r="Q173" s="31">
        <f>207.4</f>
        <v>207.4</v>
      </c>
      <c r="R173" s="32" t="s">
        <v>883</v>
      </c>
      <c r="S173" s="33">
        <f>204.9</f>
        <v>204.9</v>
      </c>
      <c r="T173" s="30">
        <f>2400450</f>
        <v>2400450</v>
      </c>
      <c r="U173" s="30" t="str">
        <f>"－"</f>
        <v>－</v>
      </c>
      <c r="V173" s="30">
        <f>492073745</f>
        <v>492073745</v>
      </c>
      <c r="W173" s="30" t="str">
        <f>"－"</f>
        <v>－</v>
      </c>
      <c r="X173" s="34">
        <f>20</f>
        <v>20</v>
      </c>
    </row>
    <row r="174" spans="1:24" x14ac:dyDescent="0.15">
      <c r="A174" s="25" t="s">
        <v>1128</v>
      </c>
      <c r="B174" s="25" t="s">
        <v>1087</v>
      </c>
      <c r="C174" s="25" t="s">
        <v>1088</v>
      </c>
      <c r="D174" s="25" t="s">
        <v>1089</v>
      </c>
      <c r="E174" s="26" t="s">
        <v>43</v>
      </c>
      <c r="F174" s="27" t="s">
        <v>43</v>
      </c>
      <c r="G174" s="28" t="s">
        <v>43</v>
      </c>
      <c r="H174" s="29"/>
      <c r="I174" s="29" t="s">
        <v>44</v>
      </c>
      <c r="J174" s="30">
        <v>10</v>
      </c>
      <c r="K174" s="31">
        <f>210.4</f>
        <v>210.4</v>
      </c>
      <c r="L174" s="32" t="s">
        <v>1110</v>
      </c>
      <c r="M174" s="31">
        <f>227.7</f>
        <v>227.7</v>
      </c>
      <c r="N174" s="32" t="s">
        <v>883</v>
      </c>
      <c r="O174" s="31">
        <f>208.6</f>
        <v>208.6</v>
      </c>
      <c r="P174" s="32" t="s">
        <v>684</v>
      </c>
      <c r="Q174" s="31">
        <f>224.5</f>
        <v>224.5</v>
      </c>
      <c r="R174" s="32" t="s">
        <v>883</v>
      </c>
      <c r="S174" s="33">
        <f>214.88</f>
        <v>214.88</v>
      </c>
      <c r="T174" s="30">
        <f>4372840</f>
        <v>4372840</v>
      </c>
      <c r="U174" s="30">
        <f>50</f>
        <v>50</v>
      </c>
      <c r="V174" s="30">
        <f>935211921</f>
        <v>935211921</v>
      </c>
      <c r="W174" s="30">
        <f>9905</f>
        <v>9905</v>
      </c>
      <c r="X174" s="34">
        <f>20</f>
        <v>20</v>
      </c>
    </row>
    <row r="175" spans="1:24" x14ac:dyDescent="0.15">
      <c r="A175" s="25" t="s">
        <v>1128</v>
      </c>
      <c r="B175" s="25" t="s">
        <v>1090</v>
      </c>
      <c r="C175" s="25" t="s">
        <v>1091</v>
      </c>
      <c r="D175" s="25" t="s">
        <v>1092</v>
      </c>
      <c r="E175" s="26" t="s">
        <v>43</v>
      </c>
      <c r="F175" s="27" t="s">
        <v>43</v>
      </c>
      <c r="G175" s="28" t="s">
        <v>43</v>
      </c>
      <c r="H175" s="29"/>
      <c r="I175" s="29" t="s">
        <v>44</v>
      </c>
      <c r="J175" s="30">
        <v>10</v>
      </c>
      <c r="K175" s="31">
        <f>215.1</f>
        <v>215.1</v>
      </c>
      <c r="L175" s="32" t="s">
        <v>1110</v>
      </c>
      <c r="M175" s="31">
        <f>236.7</f>
        <v>236.7</v>
      </c>
      <c r="N175" s="32" t="s">
        <v>883</v>
      </c>
      <c r="O175" s="31">
        <f>211.2</f>
        <v>211.2</v>
      </c>
      <c r="P175" s="32" t="s">
        <v>684</v>
      </c>
      <c r="Q175" s="31">
        <f>223.8</f>
        <v>223.8</v>
      </c>
      <c r="R175" s="32" t="s">
        <v>883</v>
      </c>
      <c r="S175" s="33">
        <f>217.53</f>
        <v>217.53</v>
      </c>
      <c r="T175" s="30">
        <f>14555850</f>
        <v>14555850</v>
      </c>
      <c r="U175" s="30">
        <f>860</f>
        <v>860</v>
      </c>
      <c r="V175" s="30">
        <f>3144925476</f>
        <v>3144925476</v>
      </c>
      <c r="W175" s="30">
        <f>188898</f>
        <v>188898</v>
      </c>
      <c r="X175" s="34">
        <f>20</f>
        <v>20</v>
      </c>
    </row>
    <row r="176" spans="1:24" x14ac:dyDescent="0.15">
      <c r="A176" s="25" t="s">
        <v>1128</v>
      </c>
      <c r="B176" s="25" t="s">
        <v>1093</v>
      </c>
      <c r="C176" s="25" t="s">
        <v>1094</v>
      </c>
      <c r="D176" s="25" t="s">
        <v>1095</v>
      </c>
      <c r="E176" s="26" t="s">
        <v>43</v>
      </c>
      <c r="F176" s="27" t="s">
        <v>43</v>
      </c>
      <c r="G176" s="28" t="s">
        <v>43</v>
      </c>
      <c r="H176" s="29"/>
      <c r="I176" s="29" t="s">
        <v>44</v>
      </c>
      <c r="J176" s="30">
        <v>1</v>
      </c>
      <c r="K176" s="31">
        <f>2012</f>
        <v>2012</v>
      </c>
      <c r="L176" s="32" t="s">
        <v>1110</v>
      </c>
      <c r="M176" s="31">
        <f>2080</f>
        <v>2080</v>
      </c>
      <c r="N176" s="32" t="s">
        <v>883</v>
      </c>
      <c r="O176" s="31">
        <f>1988</f>
        <v>1988</v>
      </c>
      <c r="P176" s="32" t="s">
        <v>875</v>
      </c>
      <c r="Q176" s="31">
        <f>2047</f>
        <v>2047</v>
      </c>
      <c r="R176" s="32" t="s">
        <v>883</v>
      </c>
      <c r="S176" s="33">
        <f>2020.6</f>
        <v>2020.6</v>
      </c>
      <c r="T176" s="30">
        <f>129458</f>
        <v>129458</v>
      </c>
      <c r="U176" s="30" t="str">
        <f>"－"</f>
        <v>－</v>
      </c>
      <c r="V176" s="30">
        <f>262242460</f>
        <v>262242460</v>
      </c>
      <c r="W176" s="30" t="str">
        <f>"－"</f>
        <v>－</v>
      </c>
      <c r="X176" s="34">
        <f>20</f>
        <v>20</v>
      </c>
    </row>
    <row r="177" spans="1:24" x14ac:dyDescent="0.15">
      <c r="A177" s="25" t="s">
        <v>1128</v>
      </c>
      <c r="B177" s="25" t="s">
        <v>1096</v>
      </c>
      <c r="C177" s="25" t="s">
        <v>1097</v>
      </c>
      <c r="D177" s="25" t="s">
        <v>1098</v>
      </c>
      <c r="E177" s="26" t="s">
        <v>43</v>
      </c>
      <c r="F177" s="27" t="s">
        <v>43</v>
      </c>
      <c r="G177" s="28" t="s">
        <v>43</v>
      </c>
      <c r="H177" s="29"/>
      <c r="I177" s="29" t="s">
        <v>44</v>
      </c>
      <c r="J177" s="30">
        <v>1</v>
      </c>
      <c r="K177" s="31">
        <f>1963</f>
        <v>1963</v>
      </c>
      <c r="L177" s="32" t="s">
        <v>1110</v>
      </c>
      <c r="M177" s="31">
        <f>1992</f>
        <v>1992</v>
      </c>
      <c r="N177" s="32" t="s">
        <v>684</v>
      </c>
      <c r="O177" s="31">
        <f>1951</f>
        <v>1951</v>
      </c>
      <c r="P177" s="32" t="s">
        <v>680</v>
      </c>
      <c r="Q177" s="31">
        <f>1972</f>
        <v>1972</v>
      </c>
      <c r="R177" s="32" t="s">
        <v>883</v>
      </c>
      <c r="S177" s="33">
        <f>1970.05</f>
        <v>1970.05</v>
      </c>
      <c r="T177" s="30">
        <f>2009726</f>
        <v>2009726</v>
      </c>
      <c r="U177" s="30">
        <f>1500000</f>
        <v>1500000</v>
      </c>
      <c r="V177" s="30">
        <f>3954006739</f>
        <v>3954006739</v>
      </c>
      <c r="W177" s="30">
        <f>2948900000</f>
        <v>2948900000</v>
      </c>
      <c r="X177" s="34">
        <f>20</f>
        <v>20</v>
      </c>
    </row>
    <row r="178" spans="1:24" x14ac:dyDescent="0.15">
      <c r="A178" s="25" t="s">
        <v>1128</v>
      </c>
      <c r="B178" s="25" t="s">
        <v>1099</v>
      </c>
      <c r="C178" s="25" t="s">
        <v>1100</v>
      </c>
      <c r="D178" s="25" t="s">
        <v>1101</v>
      </c>
      <c r="E178" s="26" t="s">
        <v>43</v>
      </c>
      <c r="F178" s="27" t="s">
        <v>43</v>
      </c>
      <c r="G178" s="28" t="s">
        <v>43</v>
      </c>
      <c r="H178" s="29"/>
      <c r="I178" s="29" t="s">
        <v>44</v>
      </c>
      <c r="J178" s="30">
        <v>1</v>
      </c>
      <c r="K178" s="31">
        <f>1047</f>
        <v>1047</v>
      </c>
      <c r="L178" s="32" t="s">
        <v>1110</v>
      </c>
      <c r="M178" s="31">
        <f>1088</f>
        <v>1088</v>
      </c>
      <c r="N178" s="32" t="s">
        <v>874</v>
      </c>
      <c r="O178" s="31">
        <f>1019</f>
        <v>1019</v>
      </c>
      <c r="P178" s="32" t="s">
        <v>677</v>
      </c>
      <c r="Q178" s="31">
        <f>1074</f>
        <v>1074</v>
      </c>
      <c r="R178" s="32" t="s">
        <v>883</v>
      </c>
      <c r="S178" s="33">
        <f>1058.35</f>
        <v>1058.3499999999999</v>
      </c>
      <c r="T178" s="30">
        <f>7034793</f>
        <v>7034793</v>
      </c>
      <c r="U178" s="30">
        <f>559500</f>
        <v>559500</v>
      </c>
      <c r="V178" s="30">
        <f>7431372919</f>
        <v>7431372919</v>
      </c>
      <c r="W178" s="30">
        <f>592278151</f>
        <v>592278151</v>
      </c>
      <c r="X178" s="34">
        <f>20</f>
        <v>20</v>
      </c>
    </row>
    <row r="179" spans="1:24" x14ac:dyDescent="0.15">
      <c r="A179" s="25" t="s">
        <v>1128</v>
      </c>
      <c r="B179" s="25" t="s">
        <v>1103</v>
      </c>
      <c r="C179" s="25" t="s">
        <v>1104</v>
      </c>
      <c r="D179" s="25" t="s">
        <v>1105</v>
      </c>
      <c r="E179" s="26" t="s">
        <v>43</v>
      </c>
      <c r="F179" s="27" t="s">
        <v>43</v>
      </c>
      <c r="G179" s="28" t="s">
        <v>43</v>
      </c>
      <c r="H179" s="29"/>
      <c r="I179" s="29" t="s">
        <v>44</v>
      </c>
      <c r="J179" s="30">
        <v>1</v>
      </c>
      <c r="K179" s="31">
        <f>1039</f>
        <v>1039</v>
      </c>
      <c r="L179" s="32" t="s">
        <v>1110</v>
      </c>
      <c r="M179" s="31">
        <f>1061</f>
        <v>1061</v>
      </c>
      <c r="N179" s="32" t="s">
        <v>674</v>
      </c>
      <c r="O179" s="31">
        <f>1017</f>
        <v>1017</v>
      </c>
      <c r="P179" s="32" t="s">
        <v>678</v>
      </c>
      <c r="Q179" s="31">
        <f>1056</f>
        <v>1056</v>
      </c>
      <c r="R179" s="32" t="s">
        <v>883</v>
      </c>
      <c r="S179" s="33">
        <f>1037.3</f>
        <v>1037.3</v>
      </c>
      <c r="T179" s="30">
        <f>38220</f>
        <v>38220</v>
      </c>
      <c r="U179" s="30" t="str">
        <f>"－"</f>
        <v>－</v>
      </c>
      <c r="V179" s="30">
        <f>39770771</f>
        <v>39770771</v>
      </c>
      <c r="W179" s="30" t="str">
        <f>"－"</f>
        <v>－</v>
      </c>
      <c r="X179" s="34">
        <f>20</f>
        <v>20</v>
      </c>
    </row>
    <row r="180" spans="1:24" x14ac:dyDescent="0.15">
      <c r="A180" s="25" t="s">
        <v>1128</v>
      </c>
      <c r="B180" s="25" t="s">
        <v>1106</v>
      </c>
      <c r="C180" s="25" t="s">
        <v>1107</v>
      </c>
      <c r="D180" s="25" t="s">
        <v>1108</v>
      </c>
      <c r="E180" s="26" t="s">
        <v>43</v>
      </c>
      <c r="F180" s="27" t="s">
        <v>43</v>
      </c>
      <c r="G180" s="28" t="s">
        <v>43</v>
      </c>
      <c r="H180" s="29"/>
      <c r="I180" s="29" t="s">
        <v>44</v>
      </c>
      <c r="J180" s="30">
        <v>1</v>
      </c>
      <c r="K180" s="31">
        <f>1035</f>
        <v>1035</v>
      </c>
      <c r="L180" s="32" t="s">
        <v>1110</v>
      </c>
      <c r="M180" s="31">
        <f>1064</f>
        <v>1064</v>
      </c>
      <c r="N180" s="32" t="s">
        <v>874</v>
      </c>
      <c r="O180" s="31">
        <f>1012</f>
        <v>1012</v>
      </c>
      <c r="P180" s="32" t="s">
        <v>677</v>
      </c>
      <c r="Q180" s="31">
        <f>1046</f>
        <v>1046</v>
      </c>
      <c r="R180" s="32" t="s">
        <v>883</v>
      </c>
      <c r="S180" s="33">
        <f>1035.7</f>
        <v>1035.7</v>
      </c>
      <c r="T180" s="30">
        <f>214381</f>
        <v>214381</v>
      </c>
      <c r="U180" s="30">
        <f>5</f>
        <v>5</v>
      </c>
      <c r="V180" s="30">
        <f>220639009</f>
        <v>220639009</v>
      </c>
      <c r="W180" s="30">
        <f>4805</f>
        <v>4805</v>
      </c>
      <c r="X180" s="34">
        <f>20</f>
        <v>20</v>
      </c>
    </row>
    <row r="181" spans="1:24" x14ac:dyDescent="0.15">
      <c r="A181" s="25" t="s">
        <v>1128</v>
      </c>
      <c r="B181" s="25" t="s">
        <v>462</v>
      </c>
      <c r="C181" s="25" t="s">
        <v>463</v>
      </c>
      <c r="D181" s="25" t="s">
        <v>464</v>
      </c>
      <c r="E181" s="26" t="s">
        <v>43</v>
      </c>
      <c r="F181" s="27" t="s">
        <v>43</v>
      </c>
      <c r="G181" s="28" t="s">
        <v>43</v>
      </c>
      <c r="H181" s="29"/>
      <c r="I181" s="29" t="s">
        <v>465</v>
      </c>
      <c r="J181" s="30">
        <v>1</v>
      </c>
      <c r="K181" s="31">
        <f>3980</f>
        <v>3980</v>
      </c>
      <c r="L181" s="32" t="s">
        <v>1110</v>
      </c>
      <c r="M181" s="31">
        <f>4300</f>
        <v>4300</v>
      </c>
      <c r="N181" s="32" t="s">
        <v>1123</v>
      </c>
      <c r="O181" s="31">
        <f>3810</f>
        <v>3810</v>
      </c>
      <c r="P181" s="32" t="s">
        <v>674</v>
      </c>
      <c r="Q181" s="31">
        <f>4085</f>
        <v>4085</v>
      </c>
      <c r="R181" s="32" t="s">
        <v>883</v>
      </c>
      <c r="S181" s="33">
        <f>4048</f>
        <v>4048</v>
      </c>
      <c r="T181" s="30">
        <f>133131</f>
        <v>133131</v>
      </c>
      <c r="U181" s="30">
        <f>2</f>
        <v>2</v>
      </c>
      <c r="V181" s="30">
        <f>537979830</f>
        <v>537979830</v>
      </c>
      <c r="W181" s="30">
        <f>8010</f>
        <v>8010</v>
      </c>
      <c r="X181" s="34">
        <f>20</f>
        <v>20</v>
      </c>
    </row>
    <row r="182" spans="1:24" x14ac:dyDescent="0.15">
      <c r="A182" s="25" t="s">
        <v>1128</v>
      </c>
      <c r="B182" s="25" t="s">
        <v>466</v>
      </c>
      <c r="C182" s="25" t="s">
        <v>467</v>
      </c>
      <c r="D182" s="25" t="s">
        <v>468</v>
      </c>
      <c r="E182" s="26" t="s">
        <v>43</v>
      </c>
      <c r="F182" s="27" t="s">
        <v>43</v>
      </c>
      <c r="G182" s="28" t="s">
        <v>43</v>
      </c>
      <c r="H182" s="29"/>
      <c r="I182" s="29" t="s">
        <v>465</v>
      </c>
      <c r="J182" s="30">
        <v>1</v>
      </c>
      <c r="K182" s="31">
        <f>9951</f>
        <v>9951</v>
      </c>
      <c r="L182" s="32" t="s">
        <v>1110</v>
      </c>
      <c r="M182" s="31">
        <f>10250</f>
        <v>10250</v>
      </c>
      <c r="N182" s="32" t="s">
        <v>674</v>
      </c>
      <c r="O182" s="31">
        <f>9330</f>
        <v>9330</v>
      </c>
      <c r="P182" s="32" t="s">
        <v>1123</v>
      </c>
      <c r="Q182" s="31">
        <f>9900</f>
        <v>9900</v>
      </c>
      <c r="R182" s="32" t="s">
        <v>883</v>
      </c>
      <c r="S182" s="33">
        <f>9841.35</f>
        <v>9841.35</v>
      </c>
      <c r="T182" s="30">
        <f>9202</f>
        <v>9202</v>
      </c>
      <c r="U182" s="30" t="str">
        <f>"－"</f>
        <v>－</v>
      </c>
      <c r="V182" s="30">
        <f>91114395</f>
        <v>91114395</v>
      </c>
      <c r="W182" s="30" t="str">
        <f>"－"</f>
        <v>－</v>
      </c>
      <c r="X182" s="34">
        <f>20</f>
        <v>20</v>
      </c>
    </row>
    <row r="183" spans="1:24" x14ac:dyDescent="0.15">
      <c r="A183" s="25" t="s">
        <v>1128</v>
      </c>
      <c r="B183" s="25" t="s">
        <v>469</v>
      </c>
      <c r="C183" s="25" t="s">
        <v>470</v>
      </c>
      <c r="D183" s="25" t="s">
        <v>471</v>
      </c>
      <c r="E183" s="26" t="s">
        <v>43</v>
      </c>
      <c r="F183" s="27" t="s">
        <v>43</v>
      </c>
      <c r="G183" s="28" t="s">
        <v>43</v>
      </c>
      <c r="H183" s="29"/>
      <c r="I183" s="29" t="s">
        <v>465</v>
      </c>
      <c r="J183" s="30">
        <v>1</v>
      </c>
      <c r="K183" s="31">
        <f>13535</f>
        <v>13535</v>
      </c>
      <c r="L183" s="32" t="s">
        <v>1110</v>
      </c>
      <c r="M183" s="31">
        <f>15100</f>
        <v>15100</v>
      </c>
      <c r="N183" s="32" t="s">
        <v>1112</v>
      </c>
      <c r="O183" s="31">
        <f>13205</f>
        <v>13205</v>
      </c>
      <c r="P183" s="32" t="s">
        <v>1115</v>
      </c>
      <c r="Q183" s="31">
        <f>14700</f>
        <v>14700</v>
      </c>
      <c r="R183" s="32" t="s">
        <v>883</v>
      </c>
      <c r="S183" s="33">
        <f>14081.47</f>
        <v>14081.47</v>
      </c>
      <c r="T183" s="30">
        <f>1508</f>
        <v>1508</v>
      </c>
      <c r="U183" s="30" t="str">
        <f>"－"</f>
        <v>－</v>
      </c>
      <c r="V183" s="30">
        <f>21107745</f>
        <v>21107745</v>
      </c>
      <c r="W183" s="30" t="str">
        <f>"－"</f>
        <v>－</v>
      </c>
      <c r="X183" s="34">
        <f>17</f>
        <v>17</v>
      </c>
    </row>
    <row r="184" spans="1:24" x14ac:dyDescent="0.15">
      <c r="A184" s="25" t="s">
        <v>1128</v>
      </c>
      <c r="B184" s="25" t="s">
        <v>472</v>
      </c>
      <c r="C184" s="25" t="s">
        <v>473</v>
      </c>
      <c r="D184" s="25" t="s">
        <v>474</v>
      </c>
      <c r="E184" s="26" t="s">
        <v>43</v>
      </c>
      <c r="F184" s="27" t="s">
        <v>43</v>
      </c>
      <c r="G184" s="28" t="s">
        <v>43</v>
      </c>
      <c r="H184" s="29"/>
      <c r="I184" s="29" t="s">
        <v>465</v>
      </c>
      <c r="J184" s="30">
        <v>1</v>
      </c>
      <c r="K184" s="31">
        <f>7812</f>
        <v>7812</v>
      </c>
      <c r="L184" s="32" t="s">
        <v>1110</v>
      </c>
      <c r="M184" s="31">
        <f>7850</f>
        <v>7850</v>
      </c>
      <c r="N184" s="32" t="s">
        <v>1110</v>
      </c>
      <c r="O184" s="31">
        <f>7331</f>
        <v>7331</v>
      </c>
      <c r="P184" s="32" t="s">
        <v>883</v>
      </c>
      <c r="Q184" s="31">
        <f>7400</f>
        <v>7400</v>
      </c>
      <c r="R184" s="32" t="s">
        <v>883</v>
      </c>
      <c r="S184" s="33">
        <f>7645.5</f>
        <v>7645.5</v>
      </c>
      <c r="T184" s="30">
        <f>6657</f>
        <v>6657</v>
      </c>
      <c r="U184" s="30" t="str">
        <f>"－"</f>
        <v>－</v>
      </c>
      <c r="V184" s="30">
        <f>50659956</f>
        <v>50659956</v>
      </c>
      <c r="W184" s="30" t="str">
        <f>"－"</f>
        <v>－</v>
      </c>
      <c r="X184" s="34">
        <f>20</f>
        <v>20</v>
      </c>
    </row>
    <row r="185" spans="1:24" x14ac:dyDescent="0.15">
      <c r="A185" s="25" t="s">
        <v>1128</v>
      </c>
      <c r="B185" s="25" t="s">
        <v>475</v>
      </c>
      <c r="C185" s="25" t="s">
        <v>476</v>
      </c>
      <c r="D185" s="25" t="s">
        <v>477</v>
      </c>
      <c r="E185" s="26" t="s">
        <v>43</v>
      </c>
      <c r="F185" s="27" t="s">
        <v>43</v>
      </c>
      <c r="G185" s="28" t="s">
        <v>43</v>
      </c>
      <c r="H185" s="29"/>
      <c r="I185" s="29" t="s">
        <v>465</v>
      </c>
      <c r="J185" s="30">
        <v>1</v>
      </c>
      <c r="K185" s="31">
        <f>40150</f>
        <v>40150</v>
      </c>
      <c r="L185" s="32" t="s">
        <v>1110</v>
      </c>
      <c r="M185" s="31">
        <f>50320</f>
        <v>50320</v>
      </c>
      <c r="N185" s="32" t="s">
        <v>883</v>
      </c>
      <c r="O185" s="31">
        <f>40150</f>
        <v>40150</v>
      </c>
      <c r="P185" s="32" t="s">
        <v>1110</v>
      </c>
      <c r="Q185" s="31">
        <f>49710</f>
        <v>49710</v>
      </c>
      <c r="R185" s="32" t="s">
        <v>883</v>
      </c>
      <c r="S185" s="33">
        <f>45034</f>
        <v>45034</v>
      </c>
      <c r="T185" s="30">
        <f>67481</f>
        <v>67481</v>
      </c>
      <c r="U185" s="30">
        <f>34</f>
        <v>34</v>
      </c>
      <c r="V185" s="30">
        <f>3054004850</f>
        <v>3054004850</v>
      </c>
      <c r="W185" s="30">
        <f>1511080</f>
        <v>1511080</v>
      </c>
      <c r="X185" s="34">
        <f>20</f>
        <v>20</v>
      </c>
    </row>
    <row r="186" spans="1:24" x14ac:dyDescent="0.15">
      <c r="A186" s="25" t="s">
        <v>1128</v>
      </c>
      <c r="B186" s="25" t="s">
        <v>478</v>
      </c>
      <c r="C186" s="25" t="s">
        <v>479</v>
      </c>
      <c r="D186" s="25" t="s">
        <v>480</v>
      </c>
      <c r="E186" s="26" t="s">
        <v>43</v>
      </c>
      <c r="F186" s="27" t="s">
        <v>43</v>
      </c>
      <c r="G186" s="28" t="s">
        <v>43</v>
      </c>
      <c r="H186" s="29"/>
      <c r="I186" s="29" t="s">
        <v>465</v>
      </c>
      <c r="J186" s="30">
        <v>1</v>
      </c>
      <c r="K186" s="31">
        <f>3415</f>
        <v>3415</v>
      </c>
      <c r="L186" s="32" t="s">
        <v>1110</v>
      </c>
      <c r="M186" s="31">
        <f>3415</f>
        <v>3415</v>
      </c>
      <c r="N186" s="32" t="s">
        <v>1110</v>
      </c>
      <c r="O186" s="31">
        <f>3045</f>
        <v>3045</v>
      </c>
      <c r="P186" s="32" t="s">
        <v>883</v>
      </c>
      <c r="Q186" s="31">
        <f>3075</f>
        <v>3075</v>
      </c>
      <c r="R186" s="32" t="s">
        <v>883</v>
      </c>
      <c r="S186" s="33">
        <f>3226.5</f>
        <v>3226.5</v>
      </c>
      <c r="T186" s="30">
        <f>14610</f>
        <v>14610</v>
      </c>
      <c r="U186" s="30" t="str">
        <f>"－"</f>
        <v>－</v>
      </c>
      <c r="V186" s="30">
        <f>47077315</f>
        <v>47077315</v>
      </c>
      <c r="W186" s="30" t="str">
        <f>"－"</f>
        <v>－</v>
      </c>
      <c r="X186" s="34">
        <f>20</f>
        <v>20</v>
      </c>
    </row>
    <row r="187" spans="1:24" x14ac:dyDescent="0.15">
      <c r="A187" s="25" t="s">
        <v>1128</v>
      </c>
      <c r="B187" s="25" t="s">
        <v>481</v>
      </c>
      <c r="C187" s="25" t="s">
        <v>482</v>
      </c>
      <c r="D187" s="25" t="s">
        <v>483</v>
      </c>
      <c r="E187" s="26" t="s">
        <v>43</v>
      </c>
      <c r="F187" s="27" t="s">
        <v>43</v>
      </c>
      <c r="G187" s="28" t="s">
        <v>43</v>
      </c>
      <c r="H187" s="29"/>
      <c r="I187" s="29" t="s">
        <v>465</v>
      </c>
      <c r="J187" s="30">
        <v>1</v>
      </c>
      <c r="K187" s="31">
        <f>1912</f>
        <v>1912</v>
      </c>
      <c r="L187" s="32" t="s">
        <v>1110</v>
      </c>
      <c r="M187" s="31">
        <f>2222</f>
        <v>2222</v>
      </c>
      <c r="N187" s="32" t="s">
        <v>883</v>
      </c>
      <c r="O187" s="31">
        <f>1816</f>
        <v>1816</v>
      </c>
      <c r="P187" s="32" t="s">
        <v>684</v>
      </c>
      <c r="Q187" s="31">
        <f>2211</f>
        <v>2211</v>
      </c>
      <c r="R187" s="32" t="s">
        <v>883</v>
      </c>
      <c r="S187" s="33">
        <f>2019.05</f>
        <v>2019.05</v>
      </c>
      <c r="T187" s="30">
        <f>10770445</f>
        <v>10770445</v>
      </c>
      <c r="U187" s="30">
        <f>400050</f>
        <v>400050</v>
      </c>
      <c r="V187" s="30">
        <f>22417241587</f>
        <v>22417241587</v>
      </c>
      <c r="W187" s="30">
        <f>920109000</f>
        <v>920109000</v>
      </c>
      <c r="X187" s="34">
        <f>20</f>
        <v>20</v>
      </c>
    </row>
    <row r="188" spans="1:24" x14ac:dyDescent="0.15">
      <c r="A188" s="25" t="s">
        <v>1128</v>
      </c>
      <c r="B188" s="25" t="s">
        <v>484</v>
      </c>
      <c r="C188" s="25" t="s">
        <v>485</v>
      </c>
      <c r="D188" s="25" t="s">
        <v>486</v>
      </c>
      <c r="E188" s="26" t="s">
        <v>43</v>
      </c>
      <c r="F188" s="27" t="s">
        <v>43</v>
      </c>
      <c r="G188" s="28" t="s">
        <v>43</v>
      </c>
      <c r="H188" s="29"/>
      <c r="I188" s="29" t="s">
        <v>465</v>
      </c>
      <c r="J188" s="30">
        <v>1</v>
      </c>
      <c r="K188" s="31">
        <f>1039</f>
        <v>1039</v>
      </c>
      <c r="L188" s="32" t="s">
        <v>1110</v>
      </c>
      <c r="M188" s="31">
        <f>1057</f>
        <v>1057</v>
      </c>
      <c r="N188" s="32" t="s">
        <v>684</v>
      </c>
      <c r="O188" s="31">
        <f>963</f>
        <v>963</v>
      </c>
      <c r="P188" s="32" t="s">
        <v>883</v>
      </c>
      <c r="Q188" s="31">
        <f>965</f>
        <v>965</v>
      </c>
      <c r="R188" s="32" t="s">
        <v>883</v>
      </c>
      <c r="S188" s="33">
        <f>1008</f>
        <v>1008</v>
      </c>
      <c r="T188" s="30">
        <f>1316472</f>
        <v>1316472</v>
      </c>
      <c r="U188" s="30">
        <f>11</f>
        <v>11</v>
      </c>
      <c r="V188" s="30">
        <f>1321582146</f>
        <v>1321582146</v>
      </c>
      <c r="W188" s="30">
        <f>10006</f>
        <v>10006</v>
      </c>
      <c r="X188" s="34">
        <f>20</f>
        <v>20</v>
      </c>
    </row>
    <row r="189" spans="1:24" x14ac:dyDescent="0.15">
      <c r="A189" s="25" t="s">
        <v>1128</v>
      </c>
      <c r="B189" s="25" t="s">
        <v>487</v>
      </c>
      <c r="C189" s="25" t="s">
        <v>488</v>
      </c>
      <c r="D189" s="25" t="s">
        <v>489</v>
      </c>
      <c r="E189" s="26" t="s">
        <v>43</v>
      </c>
      <c r="F189" s="27" t="s">
        <v>43</v>
      </c>
      <c r="G189" s="28" t="s">
        <v>43</v>
      </c>
      <c r="H189" s="29"/>
      <c r="I189" s="29" t="s">
        <v>465</v>
      </c>
      <c r="J189" s="30">
        <v>1</v>
      </c>
      <c r="K189" s="31">
        <f>28980</f>
        <v>28980</v>
      </c>
      <c r="L189" s="32" t="s">
        <v>1110</v>
      </c>
      <c r="M189" s="31">
        <f>30050</f>
        <v>30050</v>
      </c>
      <c r="N189" s="32" t="s">
        <v>874</v>
      </c>
      <c r="O189" s="31">
        <f>28350</f>
        <v>28350</v>
      </c>
      <c r="P189" s="32" t="s">
        <v>1124</v>
      </c>
      <c r="Q189" s="31">
        <f>29845</f>
        <v>29845</v>
      </c>
      <c r="R189" s="32" t="s">
        <v>883</v>
      </c>
      <c r="S189" s="33">
        <f>29044.75</f>
        <v>29044.75</v>
      </c>
      <c r="T189" s="30">
        <f>28440</f>
        <v>28440</v>
      </c>
      <c r="U189" s="30" t="str">
        <f>"－"</f>
        <v>－</v>
      </c>
      <c r="V189" s="30">
        <f>829181395</f>
        <v>829181395</v>
      </c>
      <c r="W189" s="30" t="str">
        <f>"－"</f>
        <v>－</v>
      </c>
      <c r="X189" s="34">
        <f>20</f>
        <v>20</v>
      </c>
    </row>
    <row r="190" spans="1:24" x14ac:dyDescent="0.15">
      <c r="A190" s="25" t="s">
        <v>1128</v>
      </c>
      <c r="B190" s="25" t="s">
        <v>490</v>
      </c>
      <c r="C190" s="25" t="s">
        <v>491</v>
      </c>
      <c r="D190" s="25" t="s">
        <v>492</v>
      </c>
      <c r="E190" s="26" t="s">
        <v>43</v>
      </c>
      <c r="F190" s="27" t="s">
        <v>43</v>
      </c>
      <c r="G190" s="28" t="s">
        <v>43</v>
      </c>
      <c r="H190" s="29"/>
      <c r="I190" s="29" t="s">
        <v>465</v>
      </c>
      <c r="J190" s="30">
        <v>1</v>
      </c>
      <c r="K190" s="31">
        <f>2561</f>
        <v>2561</v>
      </c>
      <c r="L190" s="32" t="s">
        <v>1110</v>
      </c>
      <c r="M190" s="31">
        <f>2589</f>
        <v>2589</v>
      </c>
      <c r="N190" s="32" t="s">
        <v>680</v>
      </c>
      <c r="O190" s="31">
        <f>2499</f>
        <v>2499</v>
      </c>
      <c r="P190" s="32" t="s">
        <v>883</v>
      </c>
      <c r="Q190" s="31">
        <f>2499</f>
        <v>2499</v>
      </c>
      <c r="R190" s="32" t="s">
        <v>883</v>
      </c>
      <c r="S190" s="33">
        <f>2545.85</f>
        <v>2545.85</v>
      </c>
      <c r="T190" s="30">
        <f>175208</f>
        <v>175208</v>
      </c>
      <c r="U190" s="30">
        <f>145</f>
        <v>145</v>
      </c>
      <c r="V190" s="30">
        <f>445771068</f>
        <v>445771068</v>
      </c>
      <c r="W190" s="30">
        <f>367360</f>
        <v>367360</v>
      </c>
      <c r="X190" s="34">
        <f>20</f>
        <v>20</v>
      </c>
    </row>
    <row r="191" spans="1:24" x14ac:dyDescent="0.15">
      <c r="A191" s="25" t="s">
        <v>1128</v>
      </c>
      <c r="B191" s="25" t="s">
        <v>493</v>
      </c>
      <c r="C191" s="25" t="s">
        <v>1057</v>
      </c>
      <c r="D191" s="25" t="s">
        <v>1058</v>
      </c>
      <c r="E191" s="26" t="s">
        <v>43</v>
      </c>
      <c r="F191" s="27" t="s">
        <v>43</v>
      </c>
      <c r="G191" s="28" t="s">
        <v>43</v>
      </c>
      <c r="H191" s="29"/>
      <c r="I191" s="29" t="s">
        <v>465</v>
      </c>
      <c r="J191" s="30">
        <v>1</v>
      </c>
      <c r="K191" s="31">
        <f>8280</f>
        <v>8280</v>
      </c>
      <c r="L191" s="32" t="s">
        <v>1110</v>
      </c>
      <c r="M191" s="31">
        <f>8307</f>
        <v>8307</v>
      </c>
      <c r="N191" s="32" t="s">
        <v>675</v>
      </c>
      <c r="O191" s="31">
        <f>7652</f>
        <v>7652</v>
      </c>
      <c r="P191" s="32" t="s">
        <v>875</v>
      </c>
      <c r="Q191" s="31">
        <f>7940</f>
        <v>7940</v>
      </c>
      <c r="R191" s="32" t="s">
        <v>883</v>
      </c>
      <c r="S191" s="33">
        <f>7978.15</f>
        <v>7978.15</v>
      </c>
      <c r="T191" s="30">
        <f>105564</f>
        <v>105564</v>
      </c>
      <c r="U191" s="30">
        <f>6000</f>
        <v>6000</v>
      </c>
      <c r="V191" s="30">
        <f>850329204</f>
        <v>850329204</v>
      </c>
      <c r="W191" s="30">
        <f>48486000</f>
        <v>48486000</v>
      </c>
      <c r="X191" s="34">
        <f>20</f>
        <v>20</v>
      </c>
    </row>
    <row r="192" spans="1:24" x14ac:dyDescent="0.15">
      <c r="A192" s="25" t="s">
        <v>1128</v>
      </c>
      <c r="B192" s="25" t="s">
        <v>494</v>
      </c>
      <c r="C192" s="25" t="s">
        <v>495</v>
      </c>
      <c r="D192" s="25" t="s">
        <v>496</v>
      </c>
      <c r="E192" s="26" t="s">
        <v>43</v>
      </c>
      <c r="F192" s="27" t="s">
        <v>43</v>
      </c>
      <c r="G192" s="28" t="s">
        <v>43</v>
      </c>
      <c r="H192" s="29"/>
      <c r="I192" s="29" t="s">
        <v>465</v>
      </c>
      <c r="J192" s="30">
        <v>1</v>
      </c>
      <c r="K192" s="31">
        <f>17850</f>
        <v>17850</v>
      </c>
      <c r="L192" s="32" t="s">
        <v>1110</v>
      </c>
      <c r="M192" s="31">
        <f>18790</f>
        <v>18790</v>
      </c>
      <c r="N192" s="32" t="s">
        <v>679</v>
      </c>
      <c r="O192" s="31">
        <f>17700</f>
        <v>17700</v>
      </c>
      <c r="P192" s="32" t="s">
        <v>1115</v>
      </c>
      <c r="Q192" s="31">
        <f>18425</f>
        <v>18425</v>
      </c>
      <c r="R192" s="32" t="s">
        <v>883</v>
      </c>
      <c r="S192" s="33">
        <f>18062.06</f>
        <v>18062.060000000001</v>
      </c>
      <c r="T192" s="30">
        <f>393</f>
        <v>393</v>
      </c>
      <c r="U192" s="30" t="str">
        <f>"－"</f>
        <v>－</v>
      </c>
      <c r="V192" s="30">
        <f>7079140</f>
        <v>7079140</v>
      </c>
      <c r="W192" s="30" t="str">
        <f>"－"</f>
        <v>－</v>
      </c>
      <c r="X192" s="34">
        <f>17</f>
        <v>17</v>
      </c>
    </row>
    <row r="193" spans="1:24" x14ac:dyDescent="0.15">
      <c r="A193" s="25" t="s">
        <v>1128</v>
      </c>
      <c r="B193" s="25" t="s">
        <v>497</v>
      </c>
      <c r="C193" s="25" t="s">
        <v>498</v>
      </c>
      <c r="D193" s="25" t="s">
        <v>499</v>
      </c>
      <c r="E193" s="26" t="s">
        <v>43</v>
      </c>
      <c r="F193" s="27" t="s">
        <v>43</v>
      </c>
      <c r="G193" s="28" t="s">
        <v>43</v>
      </c>
      <c r="H193" s="29"/>
      <c r="I193" s="29" t="s">
        <v>465</v>
      </c>
      <c r="J193" s="30">
        <v>1</v>
      </c>
      <c r="K193" s="31">
        <f>27695</f>
        <v>27695</v>
      </c>
      <c r="L193" s="32" t="s">
        <v>1110</v>
      </c>
      <c r="M193" s="31">
        <f>29515</f>
        <v>29515</v>
      </c>
      <c r="N193" s="32" t="s">
        <v>883</v>
      </c>
      <c r="O193" s="31">
        <f>27355</f>
        <v>27355</v>
      </c>
      <c r="P193" s="32" t="s">
        <v>684</v>
      </c>
      <c r="Q193" s="31">
        <f>29490</f>
        <v>29490</v>
      </c>
      <c r="R193" s="32" t="s">
        <v>883</v>
      </c>
      <c r="S193" s="33">
        <f>28201.5</f>
        <v>28201.5</v>
      </c>
      <c r="T193" s="30">
        <f>22881</f>
        <v>22881</v>
      </c>
      <c r="U193" s="30">
        <f>3</f>
        <v>3</v>
      </c>
      <c r="V193" s="30">
        <f>652999195</f>
        <v>652999195</v>
      </c>
      <c r="W193" s="30">
        <f>83070</f>
        <v>83070</v>
      </c>
      <c r="X193" s="34">
        <f>20</f>
        <v>20</v>
      </c>
    </row>
    <row r="194" spans="1:24" x14ac:dyDescent="0.15">
      <c r="A194" s="25" t="s">
        <v>1128</v>
      </c>
      <c r="B194" s="25" t="s">
        <v>500</v>
      </c>
      <c r="C194" s="25" t="s">
        <v>501</v>
      </c>
      <c r="D194" s="25" t="s">
        <v>502</v>
      </c>
      <c r="E194" s="26" t="s">
        <v>43</v>
      </c>
      <c r="F194" s="27" t="s">
        <v>43</v>
      </c>
      <c r="G194" s="28" t="s">
        <v>43</v>
      </c>
      <c r="H194" s="29"/>
      <c r="I194" s="29" t="s">
        <v>465</v>
      </c>
      <c r="J194" s="30">
        <v>1</v>
      </c>
      <c r="K194" s="31">
        <f>15995</f>
        <v>15995</v>
      </c>
      <c r="L194" s="32" t="s">
        <v>1110</v>
      </c>
      <c r="M194" s="31">
        <f>16235</f>
        <v>16235</v>
      </c>
      <c r="N194" s="32" t="s">
        <v>675</v>
      </c>
      <c r="O194" s="31">
        <f>15450</f>
        <v>15450</v>
      </c>
      <c r="P194" s="32" t="s">
        <v>680</v>
      </c>
      <c r="Q194" s="31">
        <f>16050</f>
        <v>16050</v>
      </c>
      <c r="R194" s="32" t="s">
        <v>1114</v>
      </c>
      <c r="S194" s="33">
        <f>15868.21</f>
        <v>15868.21</v>
      </c>
      <c r="T194" s="30">
        <f>587</f>
        <v>587</v>
      </c>
      <c r="U194" s="30" t="str">
        <f>"－"</f>
        <v>－</v>
      </c>
      <c r="V194" s="30">
        <f>9221555</f>
        <v>9221555</v>
      </c>
      <c r="W194" s="30" t="str">
        <f>"－"</f>
        <v>－</v>
      </c>
      <c r="X194" s="34">
        <f>14</f>
        <v>14</v>
      </c>
    </row>
    <row r="195" spans="1:24" x14ac:dyDescent="0.15">
      <c r="A195" s="25" t="s">
        <v>1128</v>
      </c>
      <c r="B195" s="25" t="s">
        <v>503</v>
      </c>
      <c r="C195" s="25" t="s">
        <v>504</v>
      </c>
      <c r="D195" s="25" t="s">
        <v>505</v>
      </c>
      <c r="E195" s="26" t="s">
        <v>43</v>
      </c>
      <c r="F195" s="27" t="s">
        <v>43</v>
      </c>
      <c r="G195" s="28" t="s">
        <v>43</v>
      </c>
      <c r="H195" s="29"/>
      <c r="I195" s="29" t="s">
        <v>465</v>
      </c>
      <c r="J195" s="30">
        <v>1</v>
      </c>
      <c r="K195" s="31">
        <f>28990</f>
        <v>28990</v>
      </c>
      <c r="L195" s="32" t="s">
        <v>1110</v>
      </c>
      <c r="M195" s="31">
        <f>29840</f>
        <v>29840</v>
      </c>
      <c r="N195" s="32" t="s">
        <v>1113</v>
      </c>
      <c r="O195" s="31">
        <f>28020</f>
        <v>28020</v>
      </c>
      <c r="P195" s="32" t="s">
        <v>1117</v>
      </c>
      <c r="Q195" s="31">
        <f>29055</f>
        <v>29055</v>
      </c>
      <c r="R195" s="32" t="s">
        <v>883</v>
      </c>
      <c r="S195" s="33">
        <f>28988.5</f>
        <v>28988.5</v>
      </c>
      <c r="T195" s="30">
        <f>85540</f>
        <v>85540</v>
      </c>
      <c r="U195" s="30" t="str">
        <f>"－"</f>
        <v>－</v>
      </c>
      <c r="V195" s="30">
        <f>2481904130</f>
        <v>2481904130</v>
      </c>
      <c r="W195" s="30" t="str">
        <f>"－"</f>
        <v>－</v>
      </c>
      <c r="X195" s="34">
        <f>20</f>
        <v>20</v>
      </c>
    </row>
    <row r="196" spans="1:24" x14ac:dyDescent="0.15">
      <c r="A196" s="25" t="s">
        <v>1128</v>
      </c>
      <c r="B196" s="25" t="s">
        <v>506</v>
      </c>
      <c r="C196" s="25" t="s">
        <v>507</v>
      </c>
      <c r="D196" s="25" t="s">
        <v>508</v>
      </c>
      <c r="E196" s="26" t="s">
        <v>43</v>
      </c>
      <c r="F196" s="27" t="s">
        <v>43</v>
      </c>
      <c r="G196" s="28" t="s">
        <v>43</v>
      </c>
      <c r="H196" s="29"/>
      <c r="I196" s="29" t="s">
        <v>465</v>
      </c>
      <c r="J196" s="30">
        <v>1</v>
      </c>
      <c r="K196" s="31">
        <f>3875</f>
        <v>3875</v>
      </c>
      <c r="L196" s="32" t="s">
        <v>1110</v>
      </c>
      <c r="M196" s="31">
        <f>3995</f>
        <v>3995</v>
      </c>
      <c r="N196" s="32" t="s">
        <v>679</v>
      </c>
      <c r="O196" s="31">
        <f>3770</f>
        <v>3770</v>
      </c>
      <c r="P196" s="32" t="s">
        <v>1123</v>
      </c>
      <c r="Q196" s="31">
        <f>3910</f>
        <v>3910</v>
      </c>
      <c r="R196" s="32" t="s">
        <v>883</v>
      </c>
      <c r="S196" s="33">
        <f>3880</f>
        <v>3880</v>
      </c>
      <c r="T196" s="30">
        <f>4066</f>
        <v>4066</v>
      </c>
      <c r="U196" s="30" t="str">
        <f>"－"</f>
        <v>－</v>
      </c>
      <c r="V196" s="30">
        <f>15668565</f>
        <v>15668565</v>
      </c>
      <c r="W196" s="30" t="str">
        <f>"－"</f>
        <v>－</v>
      </c>
      <c r="X196" s="34">
        <f>20</f>
        <v>20</v>
      </c>
    </row>
    <row r="197" spans="1:24" x14ac:dyDescent="0.15">
      <c r="A197" s="25" t="s">
        <v>1128</v>
      </c>
      <c r="B197" s="25" t="s">
        <v>509</v>
      </c>
      <c r="C197" s="25" t="s">
        <v>510</v>
      </c>
      <c r="D197" s="25" t="s">
        <v>511</v>
      </c>
      <c r="E197" s="26" t="s">
        <v>43</v>
      </c>
      <c r="F197" s="27" t="s">
        <v>43</v>
      </c>
      <c r="G197" s="28" t="s">
        <v>43</v>
      </c>
      <c r="H197" s="29"/>
      <c r="I197" s="29" t="s">
        <v>465</v>
      </c>
      <c r="J197" s="30">
        <v>1</v>
      </c>
      <c r="K197" s="31">
        <f>27695</f>
        <v>27695</v>
      </c>
      <c r="L197" s="32" t="s">
        <v>1110</v>
      </c>
      <c r="M197" s="31">
        <f>29875</f>
        <v>29875</v>
      </c>
      <c r="N197" s="32" t="s">
        <v>883</v>
      </c>
      <c r="O197" s="31">
        <f>26105</f>
        <v>26105</v>
      </c>
      <c r="P197" s="32" t="s">
        <v>677</v>
      </c>
      <c r="Q197" s="31">
        <f>29875</f>
        <v>29875</v>
      </c>
      <c r="R197" s="32" t="s">
        <v>883</v>
      </c>
      <c r="S197" s="33">
        <f>28065.79</f>
        <v>28065.79</v>
      </c>
      <c r="T197" s="30">
        <f>3045</f>
        <v>3045</v>
      </c>
      <c r="U197" s="30" t="str">
        <f>"－"</f>
        <v>－</v>
      </c>
      <c r="V197" s="30">
        <f>87392985</f>
        <v>87392985</v>
      </c>
      <c r="W197" s="30" t="str">
        <f>"－"</f>
        <v>－</v>
      </c>
      <c r="X197" s="34">
        <f>19</f>
        <v>19</v>
      </c>
    </row>
    <row r="198" spans="1:24" x14ac:dyDescent="0.15">
      <c r="A198" s="25" t="s">
        <v>1128</v>
      </c>
      <c r="B198" s="25" t="s">
        <v>512</v>
      </c>
      <c r="C198" s="25" t="s">
        <v>513</v>
      </c>
      <c r="D198" s="25" t="s">
        <v>514</v>
      </c>
      <c r="E198" s="26" t="s">
        <v>43</v>
      </c>
      <c r="F198" s="27" t="s">
        <v>43</v>
      </c>
      <c r="G198" s="28" t="s">
        <v>43</v>
      </c>
      <c r="H198" s="29"/>
      <c r="I198" s="29" t="s">
        <v>465</v>
      </c>
      <c r="J198" s="30">
        <v>1</v>
      </c>
      <c r="K198" s="31">
        <f>17945</f>
        <v>17945</v>
      </c>
      <c r="L198" s="32" t="s">
        <v>675</v>
      </c>
      <c r="M198" s="31">
        <f>18700</f>
        <v>18700</v>
      </c>
      <c r="N198" s="32" t="s">
        <v>679</v>
      </c>
      <c r="O198" s="31">
        <f>17455</f>
        <v>17455</v>
      </c>
      <c r="P198" s="32" t="s">
        <v>677</v>
      </c>
      <c r="Q198" s="31">
        <f>18285</f>
        <v>18285</v>
      </c>
      <c r="R198" s="32" t="s">
        <v>883</v>
      </c>
      <c r="S198" s="33">
        <f>18210.56</f>
        <v>18210.560000000001</v>
      </c>
      <c r="T198" s="30">
        <f>153</f>
        <v>153</v>
      </c>
      <c r="U198" s="30" t="str">
        <f>"－"</f>
        <v>－</v>
      </c>
      <c r="V198" s="30">
        <f>2714090</f>
        <v>2714090</v>
      </c>
      <c r="W198" s="30" t="str">
        <f>"－"</f>
        <v>－</v>
      </c>
      <c r="X198" s="34">
        <f>9</f>
        <v>9</v>
      </c>
    </row>
    <row r="199" spans="1:24" x14ac:dyDescent="0.15">
      <c r="A199" s="25" t="s">
        <v>1128</v>
      </c>
      <c r="B199" s="25" t="s">
        <v>515</v>
      </c>
      <c r="C199" s="25" t="s">
        <v>516</v>
      </c>
      <c r="D199" s="25" t="s">
        <v>517</v>
      </c>
      <c r="E199" s="26" t="s">
        <v>43</v>
      </c>
      <c r="F199" s="27" t="s">
        <v>43</v>
      </c>
      <c r="G199" s="28" t="s">
        <v>43</v>
      </c>
      <c r="H199" s="29"/>
      <c r="I199" s="29" t="s">
        <v>465</v>
      </c>
      <c r="J199" s="30">
        <v>1</v>
      </c>
      <c r="K199" s="31">
        <f>31500</f>
        <v>31500</v>
      </c>
      <c r="L199" s="32" t="s">
        <v>1110</v>
      </c>
      <c r="M199" s="31">
        <f>33570</f>
        <v>33570</v>
      </c>
      <c r="N199" s="32" t="s">
        <v>1111</v>
      </c>
      <c r="O199" s="31">
        <f>30360</f>
        <v>30360</v>
      </c>
      <c r="P199" s="32" t="s">
        <v>1123</v>
      </c>
      <c r="Q199" s="31">
        <f>33300</f>
        <v>33300</v>
      </c>
      <c r="R199" s="32" t="s">
        <v>883</v>
      </c>
      <c r="S199" s="33">
        <f>32026.11</f>
        <v>32026.11</v>
      </c>
      <c r="T199" s="30">
        <f>486</f>
        <v>486</v>
      </c>
      <c r="U199" s="30" t="str">
        <f>"－"</f>
        <v>－</v>
      </c>
      <c r="V199" s="30">
        <f>15919480</f>
        <v>15919480</v>
      </c>
      <c r="W199" s="30" t="str">
        <f>"－"</f>
        <v>－</v>
      </c>
      <c r="X199" s="34">
        <f>18</f>
        <v>18</v>
      </c>
    </row>
    <row r="200" spans="1:24" x14ac:dyDescent="0.15">
      <c r="A200" s="25" t="s">
        <v>1128</v>
      </c>
      <c r="B200" s="25" t="s">
        <v>518</v>
      </c>
      <c r="C200" s="25" t="s">
        <v>519</v>
      </c>
      <c r="D200" s="25" t="s">
        <v>520</v>
      </c>
      <c r="E200" s="26" t="s">
        <v>43</v>
      </c>
      <c r="F200" s="27" t="s">
        <v>43</v>
      </c>
      <c r="G200" s="28" t="s">
        <v>43</v>
      </c>
      <c r="H200" s="29"/>
      <c r="I200" s="29" t="s">
        <v>465</v>
      </c>
      <c r="J200" s="30">
        <v>1</v>
      </c>
      <c r="K200" s="31">
        <f>17620</f>
        <v>17620</v>
      </c>
      <c r="L200" s="32" t="s">
        <v>677</v>
      </c>
      <c r="M200" s="31">
        <f>19435</f>
        <v>19435</v>
      </c>
      <c r="N200" s="32" t="s">
        <v>1111</v>
      </c>
      <c r="O200" s="31">
        <f>17620</f>
        <v>17620</v>
      </c>
      <c r="P200" s="32" t="s">
        <v>677</v>
      </c>
      <c r="Q200" s="31">
        <f>19435</f>
        <v>19435</v>
      </c>
      <c r="R200" s="32" t="s">
        <v>1111</v>
      </c>
      <c r="S200" s="33">
        <f>18510</f>
        <v>18510</v>
      </c>
      <c r="T200" s="30">
        <f>123</f>
        <v>123</v>
      </c>
      <c r="U200" s="30" t="str">
        <f>"－"</f>
        <v>－</v>
      </c>
      <c r="V200" s="30">
        <f>2197915</f>
        <v>2197915</v>
      </c>
      <c r="W200" s="30" t="str">
        <f>"－"</f>
        <v>－</v>
      </c>
      <c r="X200" s="34">
        <f>4</f>
        <v>4</v>
      </c>
    </row>
    <row r="201" spans="1:24" x14ac:dyDescent="0.15">
      <c r="A201" s="25" t="s">
        <v>1128</v>
      </c>
      <c r="B201" s="25" t="s">
        <v>521</v>
      </c>
      <c r="C201" s="25" t="s">
        <v>522</v>
      </c>
      <c r="D201" s="25" t="s">
        <v>523</v>
      </c>
      <c r="E201" s="26" t="s">
        <v>43</v>
      </c>
      <c r="F201" s="27" t="s">
        <v>43</v>
      </c>
      <c r="G201" s="28" t="s">
        <v>43</v>
      </c>
      <c r="H201" s="29"/>
      <c r="I201" s="29" t="s">
        <v>465</v>
      </c>
      <c r="J201" s="30">
        <v>1</v>
      </c>
      <c r="K201" s="31">
        <f>18700</f>
        <v>18700</v>
      </c>
      <c r="L201" s="32" t="s">
        <v>1110</v>
      </c>
      <c r="M201" s="31">
        <f>20140</f>
        <v>20140</v>
      </c>
      <c r="N201" s="32" t="s">
        <v>874</v>
      </c>
      <c r="O201" s="31">
        <f>18480</f>
        <v>18480</v>
      </c>
      <c r="P201" s="32" t="s">
        <v>677</v>
      </c>
      <c r="Q201" s="31">
        <f>19845</f>
        <v>19845</v>
      </c>
      <c r="R201" s="32" t="s">
        <v>1114</v>
      </c>
      <c r="S201" s="33">
        <f>19290</f>
        <v>19290</v>
      </c>
      <c r="T201" s="30">
        <f>1903</f>
        <v>1903</v>
      </c>
      <c r="U201" s="30" t="str">
        <f>"－"</f>
        <v>－</v>
      </c>
      <c r="V201" s="30">
        <f>36824875</f>
        <v>36824875</v>
      </c>
      <c r="W201" s="30" t="str">
        <f>"－"</f>
        <v>－</v>
      </c>
      <c r="X201" s="34">
        <f>19</f>
        <v>19</v>
      </c>
    </row>
    <row r="202" spans="1:24" x14ac:dyDescent="0.15">
      <c r="A202" s="25" t="s">
        <v>1128</v>
      </c>
      <c r="B202" s="25" t="s">
        <v>524</v>
      </c>
      <c r="C202" s="25" t="s">
        <v>525</v>
      </c>
      <c r="D202" s="25" t="s">
        <v>526</v>
      </c>
      <c r="E202" s="26" t="s">
        <v>43</v>
      </c>
      <c r="F202" s="27" t="s">
        <v>43</v>
      </c>
      <c r="G202" s="28" t="s">
        <v>43</v>
      </c>
      <c r="H202" s="29"/>
      <c r="I202" s="29" t="s">
        <v>465</v>
      </c>
      <c r="J202" s="30">
        <v>1</v>
      </c>
      <c r="K202" s="31">
        <f>22505</f>
        <v>22505</v>
      </c>
      <c r="L202" s="32" t="s">
        <v>1110</v>
      </c>
      <c r="M202" s="31">
        <f>23805</f>
        <v>23805</v>
      </c>
      <c r="N202" s="32" t="s">
        <v>1114</v>
      </c>
      <c r="O202" s="31">
        <f>22505</f>
        <v>22505</v>
      </c>
      <c r="P202" s="32" t="s">
        <v>1110</v>
      </c>
      <c r="Q202" s="31">
        <f>23805</f>
        <v>23805</v>
      </c>
      <c r="R202" s="32" t="s">
        <v>1114</v>
      </c>
      <c r="S202" s="33">
        <f>23120.63</f>
        <v>23120.63</v>
      </c>
      <c r="T202" s="30">
        <f>372</f>
        <v>372</v>
      </c>
      <c r="U202" s="30" t="str">
        <f>"－"</f>
        <v>－</v>
      </c>
      <c r="V202" s="30">
        <f>8487960</f>
        <v>8487960</v>
      </c>
      <c r="W202" s="30" t="str">
        <f>"－"</f>
        <v>－</v>
      </c>
      <c r="X202" s="34">
        <f>8</f>
        <v>8</v>
      </c>
    </row>
    <row r="203" spans="1:24" x14ac:dyDescent="0.15">
      <c r="A203" s="25" t="s">
        <v>1128</v>
      </c>
      <c r="B203" s="25" t="s">
        <v>527</v>
      </c>
      <c r="C203" s="25" t="s">
        <v>528</v>
      </c>
      <c r="D203" s="25" t="s">
        <v>529</v>
      </c>
      <c r="E203" s="26" t="s">
        <v>43</v>
      </c>
      <c r="F203" s="27" t="s">
        <v>43</v>
      </c>
      <c r="G203" s="28" t="s">
        <v>43</v>
      </c>
      <c r="H203" s="29"/>
      <c r="I203" s="29" t="s">
        <v>465</v>
      </c>
      <c r="J203" s="30">
        <v>1</v>
      </c>
      <c r="K203" s="31">
        <f>17545</f>
        <v>17545</v>
      </c>
      <c r="L203" s="32" t="s">
        <v>1124</v>
      </c>
      <c r="M203" s="31">
        <f>17850</f>
        <v>17850</v>
      </c>
      <c r="N203" s="32" t="s">
        <v>1111</v>
      </c>
      <c r="O203" s="31">
        <f>17545</f>
        <v>17545</v>
      </c>
      <c r="P203" s="32" t="s">
        <v>1124</v>
      </c>
      <c r="Q203" s="31">
        <f>17850</f>
        <v>17850</v>
      </c>
      <c r="R203" s="32" t="s">
        <v>1111</v>
      </c>
      <c r="S203" s="33">
        <f>17690</f>
        <v>17690</v>
      </c>
      <c r="T203" s="30">
        <f>4</f>
        <v>4</v>
      </c>
      <c r="U203" s="30" t="str">
        <f>"－"</f>
        <v>－</v>
      </c>
      <c r="V203" s="30">
        <f>70745</f>
        <v>70745</v>
      </c>
      <c r="W203" s="30" t="str">
        <f>"－"</f>
        <v>－</v>
      </c>
      <c r="X203" s="34">
        <f>3</f>
        <v>3</v>
      </c>
    </row>
    <row r="204" spans="1:24" x14ac:dyDescent="0.15">
      <c r="A204" s="25" t="s">
        <v>1128</v>
      </c>
      <c r="B204" s="25" t="s">
        <v>530</v>
      </c>
      <c r="C204" s="25" t="s">
        <v>531</v>
      </c>
      <c r="D204" s="25" t="s">
        <v>532</v>
      </c>
      <c r="E204" s="26" t="s">
        <v>43</v>
      </c>
      <c r="F204" s="27" t="s">
        <v>43</v>
      </c>
      <c r="G204" s="28" t="s">
        <v>43</v>
      </c>
      <c r="H204" s="29"/>
      <c r="I204" s="29" t="s">
        <v>465</v>
      </c>
      <c r="J204" s="30">
        <v>1</v>
      </c>
      <c r="K204" s="31">
        <f>11335</f>
        <v>11335</v>
      </c>
      <c r="L204" s="32" t="s">
        <v>1110</v>
      </c>
      <c r="M204" s="31">
        <f>11715</f>
        <v>11715</v>
      </c>
      <c r="N204" s="32" t="s">
        <v>874</v>
      </c>
      <c r="O204" s="31">
        <f>11215</f>
        <v>11215</v>
      </c>
      <c r="P204" s="32" t="s">
        <v>677</v>
      </c>
      <c r="Q204" s="31">
        <f>11465</f>
        <v>11465</v>
      </c>
      <c r="R204" s="32" t="s">
        <v>883</v>
      </c>
      <c r="S204" s="33">
        <f>11447.86</f>
        <v>11447.86</v>
      </c>
      <c r="T204" s="30">
        <f>3347</f>
        <v>3347</v>
      </c>
      <c r="U204" s="30" t="str">
        <f>"－"</f>
        <v>－</v>
      </c>
      <c r="V204" s="30">
        <f>38346280</f>
        <v>38346280</v>
      </c>
      <c r="W204" s="30" t="str">
        <f>"－"</f>
        <v>－</v>
      </c>
      <c r="X204" s="34">
        <f>14</f>
        <v>14</v>
      </c>
    </row>
    <row r="205" spans="1:24" x14ac:dyDescent="0.15">
      <c r="A205" s="25" t="s">
        <v>1128</v>
      </c>
      <c r="B205" s="25" t="s">
        <v>533</v>
      </c>
      <c r="C205" s="25" t="s">
        <v>534</v>
      </c>
      <c r="D205" s="25" t="s">
        <v>535</v>
      </c>
      <c r="E205" s="26" t="s">
        <v>43</v>
      </c>
      <c r="F205" s="27" t="s">
        <v>43</v>
      </c>
      <c r="G205" s="28" t="s">
        <v>43</v>
      </c>
      <c r="H205" s="29"/>
      <c r="I205" s="29" t="s">
        <v>465</v>
      </c>
      <c r="J205" s="30">
        <v>1</v>
      </c>
      <c r="K205" s="31">
        <f>13500</f>
        <v>13500</v>
      </c>
      <c r="L205" s="32" t="s">
        <v>1110</v>
      </c>
      <c r="M205" s="31">
        <f>14095</f>
        <v>14095</v>
      </c>
      <c r="N205" s="32" t="s">
        <v>1112</v>
      </c>
      <c r="O205" s="31">
        <f>13210</f>
        <v>13210</v>
      </c>
      <c r="P205" s="32" t="s">
        <v>677</v>
      </c>
      <c r="Q205" s="31">
        <f>14000</f>
        <v>14000</v>
      </c>
      <c r="R205" s="32" t="s">
        <v>883</v>
      </c>
      <c r="S205" s="33">
        <f>13705.5</f>
        <v>13705.5</v>
      </c>
      <c r="T205" s="30">
        <f>32004</f>
        <v>32004</v>
      </c>
      <c r="U205" s="30" t="str">
        <f>"－"</f>
        <v>－</v>
      </c>
      <c r="V205" s="30">
        <f>437729705</f>
        <v>437729705</v>
      </c>
      <c r="W205" s="30" t="str">
        <f>"－"</f>
        <v>－</v>
      </c>
      <c r="X205" s="34">
        <f>20</f>
        <v>20</v>
      </c>
    </row>
    <row r="206" spans="1:24" x14ac:dyDescent="0.15">
      <c r="A206" s="25" t="s">
        <v>1128</v>
      </c>
      <c r="B206" s="25" t="s">
        <v>536</v>
      </c>
      <c r="C206" s="25" t="s">
        <v>537</v>
      </c>
      <c r="D206" s="25" t="s">
        <v>538</v>
      </c>
      <c r="E206" s="26" t="s">
        <v>43</v>
      </c>
      <c r="F206" s="27" t="s">
        <v>43</v>
      </c>
      <c r="G206" s="28" t="s">
        <v>43</v>
      </c>
      <c r="H206" s="29"/>
      <c r="I206" s="29" t="s">
        <v>465</v>
      </c>
      <c r="J206" s="30">
        <v>1</v>
      </c>
      <c r="K206" s="31">
        <f>12245</f>
        <v>12245</v>
      </c>
      <c r="L206" s="32" t="s">
        <v>1110</v>
      </c>
      <c r="M206" s="31">
        <f>12640</f>
        <v>12640</v>
      </c>
      <c r="N206" s="32" t="s">
        <v>874</v>
      </c>
      <c r="O206" s="31">
        <f>12070</f>
        <v>12070</v>
      </c>
      <c r="P206" s="32" t="s">
        <v>1117</v>
      </c>
      <c r="Q206" s="31">
        <f>12575</f>
        <v>12575</v>
      </c>
      <c r="R206" s="32" t="s">
        <v>1111</v>
      </c>
      <c r="S206" s="33">
        <f>12334.17</f>
        <v>12334.17</v>
      </c>
      <c r="T206" s="30">
        <f>4819</f>
        <v>4819</v>
      </c>
      <c r="U206" s="30" t="str">
        <f>"－"</f>
        <v>－</v>
      </c>
      <c r="V206" s="30">
        <f>59607325</f>
        <v>59607325</v>
      </c>
      <c r="W206" s="30" t="str">
        <f>"－"</f>
        <v>－</v>
      </c>
      <c r="X206" s="34">
        <f>12</f>
        <v>12</v>
      </c>
    </row>
    <row r="207" spans="1:24" x14ac:dyDescent="0.15">
      <c r="A207" s="25" t="s">
        <v>1128</v>
      </c>
      <c r="B207" s="25" t="s">
        <v>783</v>
      </c>
      <c r="C207" s="25" t="s">
        <v>784</v>
      </c>
      <c r="D207" s="25" t="s">
        <v>785</v>
      </c>
      <c r="E207" s="26" t="s">
        <v>43</v>
      </c>
      <c r="F207" s="27" t="s">
        <v>43</v>
      </c>
      <c r="G207" s="28" t="s">
        <v>43</v>
      </c>
      <c r="H207" s="29"/>
      <c r="I207" s="29" t="s">
        <v>465</v>
      </c>
      <c r="J207" s="30">
        <v>1</v>
      </c>
      <c r="K207" s="31">
        <f>12430</f>
        <v>12430</v>
      </c>
      <c r="L207" s="32" t="s">
        <v>1113</v>
      </c>
      <c r="M207" s="31">
        <f>12640</f>
        <v>12640</v>
      </c>
      <c r="N207" s="32" t="s">
        <v>874</v>
      </c>
      <c r="O207" s="31">
        <f>12215</f>
        <v>12215</v>
      </c>
      <c r="P207" s="32" t="s">
        <v>1117</v>
      </c>
      <c r="Q207" s="31">
        <f>12640</f>
        <v>12640</v>
      </c>
      <c r="R207" s="32" t="s">
        <v>874</v>
      </c>
      <c r="S207" s="33">
        <f>12477.5</f>
        <v>12477.5</v>
      </c>
      <c r="T207" s="30">
        <f>25</f>
        <v>25</v>
      </c>
      <c r="U207" s="30" t="str">
        <f>"－"</f>
        <v>－</v>
      </c>
      <c r="V207" s="30">
        <f>313380</f>
        <v>313380</v>
      </c>
      <c r="W207" s="30" t="str">
        <f>"－"</f>
        <v>－</v>
      </c>
      <c r="X207" s="34">
        <f>4</f>
        <v>4</v>
      </c>
    </row>
    <row r="208" spans="1:24" x14ac:dyDescent="0.15">
      <c r="A208" s="25" t="s">
        <v>1128</v>
      </c>
      <c r="B208" s="25" t="s">
        <v>991</v>
      </c>
      <c r="C208" s="25" t="s">
        <v>992</v>
      </c>
      <c r="D208" s="25" t="s">
        <v>993</v>
      </c>
      <c r="E208" s="26" t="s">
        <v>43</v>
      </c>
      <c r="F208" s="27" t="s">
        <v>43</v>
      </c>
      <c r="G208" s="28" t="s">
        <v>43</v>
      </c>
      <c r="H208" s="29"/>
      <c r="I208" s="29" t="s">
        <v>44</v>
      </c>
      <c r="J208" s="30">
        <v>1</v>
      </c>
      <c r="K208" s="31">
        <f>1125</f>
        <v>1125</v>
      </c>
      <c r="L208" s="32" t="s">
        <v>1110</v>
      </c>
      <c r="M208" s="31">
        <f>1209</f>
        <v>1209</v>
      </c>
      <c r="N208" s="32" t="s">
        <v>874</v>
      </c>
      <c r="O208" s="31">
        <f>1115</f>
        <v>1115</v>
      </c>
      <c r="P208" s="32" t="s">
        <v>677</v>
      </c>
      <c r="Q208" s="31">
        <f>1202</f>
        <v>1202</v>
      </c>
      <c r="R208" s="32" t="s">
        <v>883</v>
      </c>
      <c r="S208" s="33">
        <f>1165.25</f>
        <v>1165.25</v>
      </c>
      <c r="T208" s="30">
        <f>7196372</f>
        <v>7196372</v>
      </c>
      <c r="U208" s="30">
        <f>146358</f>
        <v>146358</v>
      </c>
      <c r="V208" s="30">
        <f>8381786012</f>
        <v>8381786012</v>
      </c>
      <c r="W208" s="30">
        <f>168011535</f>
        <v>168011535</v>
      </c>
      <c r="X208" s="34">
        <f>20</f>
        <v>20</v>
      </c>
    </row>
    <row r="209" spans="1:24" x14ac:dyDescent="0.15">
      <c r="A209" s="25" t="s">
        <v>1128</v>
      </c>
      <c r="B209" s="25" t="s">
        <v>994</v>
      </c>
      <c r="C209" s="25" t="s">
        <v>995</v>
      </c>
      <c r="D209" s="25" t="s">
        <v>996</v>
      </c>
      <c r="E209" s="26" t="s">
        <v>43</v>
      </c>
      <c r="F209" s="27" t="s">
        <v>43</v>
      </c>
      <c r="G209" s="28" t="s">
        <v>43</v>
      </c>
      <c r="H209" s="29"/>
      <c r="I209" s="29" t="s">
        <v>44</v>
      </c>
      <c r="J209" s="30">
        <v>1</v>
      </c>
      <c r="K209" s="31">
        <f>1157</f>
        <v>1157</v>
      </c>
      <c r="L209" s="32" t="s">
        <v>1110</v>
      </c>
      <c r="M209" s="31">
        <f>1355</f>
        <v>1355</v>
      </c>
      <c r="N209" s="32" t="s">
        <v>1114</v>
      </c>
      <c r="O209" s="31">
        <f>1149</f>
        <v>1149</v>
      </c>
      <c r="P209" s="32" t="s">
        <v>677</v>
      </c>
      <c r="Q209" s="31">
        <f>1235</f>
        <v>1235</v>
      </c>
      <c r="R209" s="32" t="s">
        <v>883</v>
      </c>
      <c r="S209" s="33">
        <f>1195.85</f>
        <v>1195.8499999999999</v>
      </c>
      <c r="T209" s="30">
        <f>437249</f>
        <v>437249</v>
      </c>
      <c r="U209" s="30" t="str">
        <f>"－"</f>
        <v>－</v>
      </c>
      <c r="V209" s="30">
        <f>523760007</f>
        <v>523760007</v>
      </c>
      <c r="W209" s="30" t="str">
        <f>"－"</f>
        <v>－</v>
      </c>
      <c r="X209" s="34">
        <f>20</f>
        <v>20</v>
      </c>
    </row>
    <row r="210" spans="1:24" x14ac:dyDescent="0.15">
      <c r="A210" s="25" t="s">
        <v>1128</v>
      </c>
      <c r="B210" s="25" t="s">
        <v>997</v>
      </c>
      <c r="C210" s="25" t="s">
        <v>998</v>
      </c>
      <c r="D210" s="25" t="s">
        <v>999</v>
      </c>
      <c r="E210" s="26" t="s">
        <v>43</v>
      </c>
      <c r="F210" s="27" t="s">
        <v>43</v>
      </c>
      <c r="G210" s="28" t="s">
        <v>43</v>
      </c>
      <c r="H210" s="29"/>
      <c r="I210" s="29" t="s">
        <v>44</v>
      </c>
      <c r="J210" s="30">
        <v>1</v>
      </c>
      <c r="K210" s="31">
        <f>1038</f>
        <v>1038</v>
      </c>
      <c r="L210" s="32" t="s">
        <v>1110</v>
      </c>
      <c r="M210" s="31">
        <f>1077</f>
        <v>1077</v>
      </c>
      <c r="N210" s="32" t="s">
        <v>874</v>
      </c>
      <c r="O210" s="31">
        <f>1014</f>
        <v>1014</v>
      </c>
      <c r="P210" s="32" t="s">
        <v>677</v>
      </c>
      <c r="Q210" s="31">
        <f>1063</f>
        <v>1063</v>
      </c>
      <c r="R210" s="32" t="s">
        <v>883</v>
      </c>
      <c r="S210" s="33">
        <f>1045.35</f>
        <v>1045.3499999999999</v>
      </c>
      <c r="T210" s="30">
        <f>25351</f>
        <v>25351</v>
      </c>
      <c r="U210" s="30" t="str">
        <f>"－"</f>
        <v>－</v>
      </c>
      <c r="V210" s="30">
        <f>26468535</f>
        <v>26468535</v>
      </c>
      <c r="W210" s="30" t="str">
        <f>"－"</f>
        <v>－</v>
      </c>
      <c r="X210" s="34">
        <f>20</f>
        <v>20</v>
      </c>
    </row>
    <row r="211" spans="1:24" x14ac:dyDescent="0.15">
      <c r="A211" s="25" t="s">
        <v>1128</v>
      </c>
      <c r="B211" s="25" t="s">
        <v>1000</v>
      </c>
      <c r="C211" s="25" t="s">
        <v>1001</v>
      </c>
      <c r="D211" s="25" t="s">
        <v>1002</v>
      </c>
      <c r="E211" s="26" t="s">
        <v>43</v>
      </c>
      <c r="F211" s="27" t="s">
        <v>43</v>
      </c>
      <c r="G211" s="28" t="s">
        <v>43</v>
      </c>
      <c r="H211" s="29"/>
      <c r="I211" s="29" t="s">
        <v>44</v>
      </c>
      <c r="J211" s="30">
        <v>1</v>
      </c>
      <c r="K211" s="31">
        <f>2260</f>
        <v>2260</v>
      </c>
      <c r="L211" s="32" t="s">
        <v>1110</v>
      </c>
      <c r="M211" s="31">
        <f>2424</f>
        <v>2424</v>
      </c>
      <c r="N211" s="32" t="s">
        <v>1114</v>
      </c>
      <c r="O211" s="31">
        <f>2214</f>
        <v>2214</v>
      </c>
      <c r="P211" s="32" t="s">
        <v>677</v>
      </c>
      <c r="Q211" s="31">
        <f>2337</f>
        <v>2337</v>
      </c>
      <c r="R211" s="32" t="s">
        <v>883</v>
      </c>
      <c r="S211" s="33">
        <f>2303.1</f>
        <v>2303.1</v>
      </c>
      <c r="T211" s="30">
        <f>432366</f>
        <v>432366</v>
      </c>
      <c r="U211" s="30">
        <f>44591</f>
        <v>44591</v>
      </c>
      <c r="V211" s="30">
        <f>990729242</f>
        <v>990729242</v>
      </c>
      <c r="W211" s="30">
        <f>100532762</f>
        <v>100532762</v>
      </c>
      <c r="X211" s="34">
        <f>20</f>
        <v>20</v>
      </c>
    </row>
    <row r="212" spans="1:24" x14ac:dyDescent="0.15">
      <c r="A212" s="25" t="s">
        <v>1128</v>
      </c>
      <c r="B212" s="25" t="s">
        <v>1003</v>
      </c>
      <c r="C212" s="25" t="s">
        <v>1004</v>
      </c>
      <c r="D212" s="25" t="s">
        <v>1005</v>
      </c>
      <c r="E212" s="26" t="s">
        <v>43</v>
      </c>
      <c r="F212" s="27" t="s">
        <v>43</v>
      </c>
      <c r="G212" s="28" t="s">
        <v>43</v>
      </c>
      <c r="H212" s="29"/>
      <c r="I212" s="29" t="s">
        <v>44</v>
      </c>
      <c r="J212" s="30">
        <v>1</v>
      </c>
      <c r="K212" s="31">
        <f>2252</f>
        <v>2252</v>
      </c>
      <c r="L212" s="32" t="s">
        <v>1110</v>
      </c>
      <c r="M212" s="31">
        <f>2373</f>
        <v>2373</v>
      </c>
      <c r="N212" s="32" t="s">
        <v>1114</v>
      </c>
      <c r="O212" s="31">
        <f>2188</f>
        <v>2188</v>
      </c>
      <c r="P212" s="32" t="s">
        <v>677</v>
      </c>
      <c r="Q212" s="31">
        <f>2351</f>
        <v>2351</v>
      </c>
      <c r="R212" s="32" t="s">
        <v>883</v>
      </c>
      <c r="S212" s="33">
        <f>2286.55</f>
        <v>2286.5500000000002</v>
      </c>
      <c r="T212" s="30">
        <f>1243680</f>
        <v>1243680</v>
      </c>
      <c r="U212" s="30">
        <f>10730</f>
        <v>10730</v>
      </c>
      <c r="V212" s="30">
        <f>2836359338</f>
        <v>2836359338</v>
      </c>
      <c r="W212" s="30">
        <f>25062620</f>
        <v>25062620</v>
      </c>
      <c r="X212" s="34">
        <f>20</f>
        <v>20</v>
      </c>
    </row>
    <row r="213" spans="1:24" x14ac:dyDescent="0.15">
      <c r="A213" s="25" t="s">
        <v>1128</v>
      </c>
      <c r="B213" s="25" t="s">
        <v>1006</v>
      </c>
      <c r="C213" s="25" t="s">
        <v>1007</v>
      </c>
      <c r="D213" s="25" t="s">
        <v>1008</v>
      </c>
      <c r="E213" s="26" t="s">
        <v>43</v>
      </c>
      <c r="F213" s="27" t="s">
        <v>43</v>
      </c>
      <c r="G213" s="28" t="s">
        <v>43</v>
      </c>
      <c r="H213" s="29"/>
      <c r="I213" s="29" t="s">
        <v>44</v>
      </c>
      <c r="J213" s="30">
        <v>10</v>
      </c>
      <c r="K213" s="31">
        <f>570</f>
        <v>570</v>
      </c>
      <c r="L213" s="32" t="s">
        <v>1110</v>
      </c>
      <c r="M213" s="31">
        <f>587.9</f>
        <v>587.9</v>
      </c>
      <c r="N213" s="32" t="s">
        <v>1112</v>
      </c>
      <c r="O213" s="31">
        <f>548.1</f>
        <v>548.1</v>
      </c>
      <c r="P213" s="32" t="s">
        <v>677</v>
      </c>
      <c r="Q213" s="31">
        <f>585.4</f>
        <v>585.4</v>
      </c>
      <c r="R213" s="32" t="s">
        <v>883</v>
      </c>
      <c r="S213" s="33">
        <f>570.74</f>
        <v>570.74</v>
      </c>
      <c r="T213" s="30">
        <f>3409380</f>
        <v>3409380</v>
      </c>
      <c r="U213" s="30">
        <f>111130</f>
        <v>111130</v>
      </c>
      <c r="V213" s="30">
        <f>1932988601</f>
        <v>1932988601</v>
      </c>
      <c r="W213" s="30">
        <f>62738728</f>
        <v>62738728</v>
      </c>
      <c r="X213" s="34">
        <f>20</f>
        <v>20</v>
      </c>
    </row>
    <row r="214" spans="1:24" x14ac:dyDescent="0.15">
      <c r="A214" s="25" t="s">
        <v>1128</v>
      </c>
      <c r="B214" s="25" t="s">
        <v>1009</v>
      </c>
      <c r="C214" s="25" t="s">
        <v>1010</v>
      </c>
      <c r="D214" s="25" t="s">
        <v>1011</v>
      </c>
      <c r="E214" s="26" t="s">
        <v>43</v>
      </c>
      <c r="F214" s="27" t="s">
        <v>43</v>
      </c>
      <c r="G214" s="28" t="s">
        <v>43</v>
      </c>
      <c r="H214" s="29"/>
      <c r="I214" s="29" t="s">
        <v>44</v>
      </c>
      <c r="J214" s="30">
        <v>10</v>
      </c>
      <c r="K214" s="31">
        <f>2275</f>
        <v>2275</v>
      </c>
      <c r="L214" s="32" t="s">
        <v>674</v>
      </c>
      <c r="M214" s="31">
        <f>2323.5</f>
        <v>2323.5</v>
      </c>
      <c r="N214" s="32" t="s">
        <v>874</v>
      </c>
      <c r="O214" s="31">
        <f>2255</f>
        <v>2255</v>
      </c>
      <c r="P214" s="32" t="s">
        <v>1124</v>
      </c>
      <c r="Q214" s="31">
        <f>2323.5</f>
        <v>2323.5</v>
      </c>
      <c r="R214" s="32" t="s">
        <v>874</v>
      </c>
      <c r="S214" s="33">
        <f>2280.58</f>
        <v>2280.58</v>
      </c>
      <c r="T214" s="30">
        <f>480530</f>
        <v>480530</v>
      </c>
      <c r="U214" s="30">
        <f>430480</f>
        <v>430480</v>
      </c>
      <c r="V214" s="30">
        <f>1113611955</f>
        <v>1113611955</v>
      </c>
      <c r="W214" s="30">
        <f>999746750</f>
        <v>999746750</v>
      </c>
      <c r="X214" s="34">
        <f>6</f>
        <v>6</v>
      </c>
    </row>
    <row r="215" spans="1:24" x14ac:dyDescent="0.15">
      <c r="A215" s="25" t="s">
        <v>1128</v>
      </c>
      <c r="B215" s="25" t="s">
        <v>1012</v>
      </c>
      <c r="C215" s="25" t="s">
        <v>1013</v>
      </c>
      <c r="D215" s="25" t="s">
        <v>1014</v>
      </c>
      <c r="E215" s="26" t="s">
        <v>43</v>
      </c>
      <c r="F215" s="27" t="s">
        <v>43</v>
      </c>
      <c r="G215" s="28" t="s">
        <v>43</v>
      </c>
      <c r="H215" s="29"/>
      <c r="I215" s="29" t="s">
        <v>44</v>
      </c>
      <c r="J215" s="30">
        <v>10</v>
      </c>
      <c r="K215" s="31">
        <f>2377.5</f>
        <v>2377.5</v>
      </c>
      <c r="L215" s="32" t="s">
        <v>675</v>
      </c>
      <c r="M215" s="31">
        <f>2380</f>
        <v>2380</v>
      </c>
      <c r="N215" s="32" t="s">
        <v>678</v>
      </c>
      <c r="O215" s="31">
        <f>2317.5</f>
        <v>2317.5</v>
      </c>
      <c r="P215" s="32" t="s">
        <v>678</v>
      </c>
      <c r="Q215" s="31">
        <f>2370.5</f>
        <v>2370.5</v>
      </c>
      <c r="R215" s="32" t="s">
        <v>1111</v>
      </c>
      <c r="S215" s="33">
        <f>2353.25</f>
        <v>2353.25</v>
      </c>
      <c r="T215" s="30">
        <f>94030</f>
        <v>94030</v>
      </c>
      <c r="U215" s="30" t="str">
        <f>"－"</f>
        <v>－</v>
      </c>
      <c r="V215" s="30">
        <f>222044430</f>
        <v>222044430</v>
      </c>
      <c r="W215" s="30" t="str">
        <f>"－"</f>
        <v>－</v>
      </c>
      <c r="X215" s="34">
        <f>8</f>
        <v>8</v>
      </c>
    </row>
    <row r="216" spans="1:24" x14ac:dyDescent="0.15">
      <c r="A216" s="25" t="s">
        <v>1128</v>
      </c>
      <c r="B216" s="25" t="s">
        <v>1015</v>
      </c>
      <c r="C216" s="25" t="s">
        <v>1016</v>
      </c>
      <c r="D216" s="25" t="s">
        <v>1017</v>
      </c>
      <c r="E216" s="26" t="s">
        <v>43</v>
      </c>
      <c r="F216" s="27" t="s">
        <v>43</v>
      </c>
      <c r="G216" s="28" t="s">
        <v>43</v>
      </c>
      <c r="H216" s="29"/>
      <c r="I216" s="29" t="s">
        <v>44</v>
      </c>
      <c r="J216" s="30">
        <v>10</v>
      </c>
      <c r="K216" s="31">
        <f>2170</f>
        <v>2170</v>
      </c>
      <c r="L216" s="32" t="s">
        <v>674</v>
      </c>
      <c r="M216" s="31">
        <f>2208</f>
        <v>2208</v>
      </c>
      <c r="N216" s="32" t="s">
        <v>674</v>
      </c>
      <c r="O216" s="31">
        <f>2170</f>
        <v>2170</v>
      </c>
      <c r="P216" s="32" t="s">
        <v>674</v>
      </c>
      <c r="Q216" s="31">
        <f>2208</f>
        <v>2208</v>
      </c>
      <c r="R216" s="32" t="s">
        <v>674</v>
      </c>
      <c r="S216" s="33">
        <f>2208</f>
        <v>2208</v>
      </c>
      <c r="T216" s="30">
        <f>137020</f>
        <v>137020</v>
      </c>
      <c r="U216" s="30">
        <f>137000</f>
        <v>137000</v>
      </c>
      <c r="V216" s="30">
        <f>299831399</f>
        <v>299831399</v>
      </c>
      <c r="W216" s="30">
        <f>299787619</f>
        <v>299787619</v>
      </c>
      <c r="X216" s="34">
        <f>1</f>
        <v>1</v>
      </c>
    </row>
    <row r="217" spans="1:24" x14ac:dyDescent="0.15">
      <c r="A217" s="25" t="s">
        <v>1128</v>
      </c>
      <c r="B217" s="25" t="s">
        <v>1018</v>
      </c>
      <c r="C217" s="25" t="s">
        <v>1019</v>
      </c>
      <c r="D217" s="25" t="s">
        <v>1020</v>
      </c>
      <c r="E217" s="26" t="s">
        <v>43</v>
      </c>
      <c r="F217" s="27" t="s">
        <v>43</v>
      </c>
      <c r="G217" s="28" t="s">
        <v>43</v>
      </c>
      <c r="H217" s="29"/>
      <c r="I217" s="29" t="s">
        <v>44</v>
      </c>
      <c r="J217" s="30">
        <v>10</v>
      </c>
      <c r="K217" s="31">
        <f>2247</f>
        <v>2247</v>
      </c>
      <c r="L217" s="32" t="s">
        <v>1123</v>
      </c>
      <c r="M217" s="31">
        <f>2279</f>
        <v>2279</v>
      </c>
      <c r="N217" s="32" t="s">
        <v>676</v>
      </c>
      <c r="O217" s="31">
        <f>2247</f>
        <v>2247</v>
      </c>
      <c r="P217" s="32" t="s">
        <v>1123</v>
      </c>
      <c r="Q217" s="31">
        <f>2279</f>
        <v>2279</v>
      </c>
      <c r="R217" s="32" t="s">
        <v>676</v>
      </c>
      <c r="S217" s="33">
        <f>2265</f>
        <v>2265</v>
      </c>
      <c r="T217" s="30">
        <f>90680</f>
        <v>90680</v>
      </c>
      <c r="U217" s="30">
        <f>90000</f>
        <v>90000</v>
      </c>
      <c r="V217" s="30">
        <f>201275448</f>
        <v>201275448</v>
      </c>
      <c r="W217" s="30">
        <f>199732293</f>
        <v>199732293</v>
      </c>
      <c r="X217" s="34">
        <f>3</f>
        <v>3</v>
      </c>
    </row>
    <row r="218" spans="1:24" x14ac:dyDescent="0.15">
      <c r="A218" s="25" t="s">
        <v>1128</v>
      </c>
      <c r="B218" s="25" t="s">
        <v>1021</v>
      </c>
      <c r="C218" s="25" t="s">
        <v>1022</v>
      </c>
      <c r="D218" s="25" t="s">
        <v>1023</v>
      </c>
      <c r="E218" s="26" t="s">
        <v>43</v>
      </c>
      <c r="F218" s="27" t="s">
        <v>43</v>
      </c>
      <c r="G218" s="28" t="s">
        <v>43</v>
      </c>
      <c r="H218" s="29"/>
      <c r="I218" s="29" t="s">
        <v>44</v>
      </c>
      <c r="J218" s="30">
        <v>10</v>
      </c>
      <c r="K218" s="31">
        <f>5000</f>
        <v>5000</v>
      </c>
      <c r="L218" s="32" t="s">
        <v>883</v>
      </c>
      <c r="M218" s="31">
        <f>5000</f>
        <v>5000</v>
      </c>
      <c r="N218" s="32" t="s">
        <v>883</v>
      </c>
      <c r="O218" s="31">
        <f>5000</f>
        <v>5000</v>
      </c>
      <c r="P218" s="32" t="s">
        <v>883</v>
      </c>
      <c r="Q218" s="31">
        <f>5000</f>
        <v>5000</v>
      </c>
      <c r="R218" s="32" t="s">
        <v>883</v>
      </c>
      <c r="S218" s="33">
        <f>5000</f>
        <v>5000</v>
      </c>
      <c r="T218" s="30">
        <f>100</f>
        <v>100</v>
      </c>
      <c r="U218" s="30" t="str">
        <f>"－"</f>
        <v>－</v>
      </c>
      <c r="V218" s="30">
        <f>500000</f>
        <v>500000</v>
      </c>
      <c r="W218" s="30" t="str">
        <f>"－"</f>
        <v>－</v>
      </c>
      <c r="X218" s="34">
        <f>1</f>
        <v>1</v>
      </c>
    </row>
    <row r="219" spans="1:24" x14ac:dyDescent="0.15">
      <c r="A219" s="25" t="s">
        <v>1128</v>
      </c>
      <c r="B219" s="25" t="s">
        <v>1024</v>
      </c>
      <c r="C219" s="25" t="s">
        <v>1025</v>
      </c>
      <c r="D219" s="25" t="s">
        <v>1026</v>
      </c>
      <c r="E219" s="26" t="s">
        <v>43</v>
      </c>
      <c r="F219" s="27" t="s">
        <v>43</v>
      </c>
      <c r="G219" s="28" t="s">
        <v>43</v>
      </c>
      <c r="H219" s="29"/>
      <c r="I219" s="29" t="s">
        <v>44</v>
      </c>
      <c r="J219" s="30">
        <v>10</v>
      </c>
      <c r="K219" s="31" t="str">
        <f>"－"</f>
        <v>－</v>
      </c>
      <c r="L219" s="32"/>
      <c r="M219" s="31" t="str">
        <f>"－"</f>
        <v>－</v>
      </c>
      <c r="N219" s="32"/>
      <c r="O219" s="31" t="str">
        <f>"－"</f>
        <v>－</v>
      </c>
      <c r="P219" s="32"/>
      <c r="Q219" s="31" t="str">
        <f>"－"</f>
        <v>－</v>
      </c>
      <c r="R219" s="32"/>
      <c r="S219" s="33" t="str">
        <f>"－"</f>
        <v>－</v>
      </c>
      <c r="T219" s="30">
        <f>390000</f>
        <v>390000</v>
      </c>
      <c r="U219" s="30">
        <f>390000</f>
        <v>390000</v>
      </c>
      <c r="V219" s="30">
        <f>1976773500</f>
        <v>1976773500</v>
      </c>
      <c r="W219" s="30">
        <f>1976773500</f>
        <v>1976773500</v>
      </c>
      <c r="X219" s="34" t="str">
        <f>"－"</f>
        <v>－</v>
      </c>
    </row>
    <row r="220" spans="1:24" x14ac:dyDescent="0.15">
      <c r="A220" s="25" t="s">
        <v>1128</v>
      </c>
      <c r="B220" s="25" t="s">
        <v>1027</v>
      </c>
      <c r="C220" s="25" t="s">
        <v>1028</v>
      </c>
      <c r="D220" s="25" t="s">
        <v>1029</v>
      </c>
      <c r="E220" s="26" t="s">
        <v>43</v>
      </c>
      <c r="F220" s="27" t="s">
        <v>43</v>
      </c>
      <c r="G220" s="28" t="s">
        <v>43</v>
      </c>
      <c r="H220" s="29"/>
      <c r="I220" s="29" t="s">
        <v>44</v>
      </c>
      <c r="J220" s="30">
        <v>10</v>
      </c>
      <c r="K220" s="31">
        <f>5020</f>
        <v>5020</v>
      </c>
      <c r="L220" s="32" t="s">
        <v>676</v>
      </c>
      <c r="M220" s="31">
        <f>5106</f>
        <v>5106</v>
      </c>
      <c r="N220" s="32" t="s">
        <v>676</v>
      </c>
      <c r="O220" s="31">
        <f>5020</f>
        <v>5020</v>
      </c>
      <c r="P220" s="32" t="s">
        <v>676</v>
      </c>
      <c r="Q220" s="31">
        <f>5106</f>
        <v>5106</v>
      </c>
      <c r="R220" s="32" t="s">
        <v>676</v>
      </c>
      <c r="S220" s="33">
        <f>5106</f>
        <v>5106</v>
      </c>
      <c r="T220" s="30">
        <f>20</f>
        <v>20</v>
      </c>
      <c r="U220" s="30" t="str">
        <f>"－"</f>
        <v>－</v>
      </c>
      <c r="V220" s="30">
        <f>101260</f>
        <v>101260</v>
      </c>
      <c r="W220" s="30" t="str">
        <f>"－"</f>
        <v>－</v>
      </c>
      <c r="X220" s="34">
        <f>1</f>
        <v>1</v>
      </c>
    </row>
    <row r="221" spans="1:24" x14ac:dyDescent="0.15">
      <c r="A221" s="25" t="s">
        <v>1128</v>
      </c>
      <c r="B221" s="25" t="s">
        <v>1053</v>
      </c>
      <c r="C221" s="25" t="s">
        <v>1052</v>
      </c>
      <c r="D221" s="25" t="s">
        <v>1051</v>
      </c>
      <c r="E221" s="26" t="s">
        <v>43</v>
      </c>
      <c r="F221" s="27" t="s">
        <v>43</v>
      </c>
      <c r="G221" s="28" t="s">
        <v>43</v>
      </c>
      <c r="H221" s="29"/>
      <c r="I221" s="29" t="s">
        <v>44</v>
      </c>
      <c r="J221" s="30">
        <v>10</v>
      </c>
      <c r="K221" s="31">
        <f>4984</f>
        <v>4984</v>
      </c>
      <c r="L221" s="32" t="s">
        <v>1110</v>
      </c>
      <c r="M221" s="31">
        <f>5060</f>
        <v>5060</v>
      </c>
      <c r="N221" s="32" t="s">
        <v>1112</v>
      </c>
      <c r="O221" s="31">
        <f>4877</f>
        <v>4877</v>
      </c>
      <c r="P221" s="32" t="s">
        <v>684</v>
      </c>
      <c r="Q221" s="31">
        <f>5040</f>
        <v>5040</v>
      </c>
      <c r="R221" s="32" t="s">
        <v>883</v>
      </c>
      <c r="S221" s="33">
        <f>4978.6</f>
        <v>4978.6000000000004</v>
      </c>
      <c r="T221" s="30">
        <f>271050</f>
        <v>271050</v>
      </c>
      <c r="U221" s="30">
        <f>200320</f>
        <v>200320</v>
      </c>
      <c r="V221" s="30">
        <f>1347058325</f>
        <v>1347058325</v>
      </c>
      <c r="W221" s="30">
        <f>996327405</f>
        <v>996327405</v>
      </c>
      <c r="X221" s="34">
        <f>20</f>
        <v>20</v>
      </c>
    </row>
    <row r="222" spans="1:24" x14ac:dyDescent="0.15">
      <c r="A222" s="25" t="s">
        <v>1128</v>
      </c>
      <c r="B222" s="25" t="s">
        <v>1050</v>
      </c>
      <c r="C222" s="25" t="s">
        <v>1049</v>
      </c>
      <c r="D222" s="25" t="s">
        <v>1048</v>
      </c>
      <c r="E222" s="26" t="s">
        <v>43</v>
      </c>
      <c r="F222" s="27" t="s">
        <v>43</v>
      </c>
      <c r="G222" s="28" t="s">
        <v>43</v>
      </c>
      <c r="H222" s="29"/>
      <c r="I222" s="29" t="s">
        <v>44</v>
      </c>
      <c r="J222" s="30">
        <v>1</v>
      </c>
      <c r="K222" s="31">
        <f>1047</f>
        <v>1047</v>
      </c>
      <c r="L222" s="32" t="s">
        <v>1110</v>
      </c>
      <c r="M222" s="31">
        <f>1057</f>
        <v>1057</v>
      </c>
      <c r="N222" s="32" t="s">
        <v>1115</v>
      </c>
      <c r="O222" s="31">
        <f>953</f>
        <v>953</v>
      </c>
      <c r="P222" s="32" t="s">
        <v>679</v>
      </c>
      <c r="Q222" s="31">
        <f>966</f>
        <v>966</v>
      </c>
      <c r="R222" s="32" t="s">
        <v>883</v>
      </c>
      <c r="S222" s="33">
        <f>1005.75</f>
        <v>1005.75</v>
      </c>
      <c r="T222" s="30">
        <f>260973</f>
        <v>260973</v>
      </c>
      <c r="U222" s="30" t="str">
        <f>"－"</f>
        <v>－</v>
      </c>
      <c r="V222" s="30">
        <f>268499563</f>
        <v>268499563</v>
      </c>
      <c r="W222" s="30" t="str">
        <f>"－"</f>
        <v>－</v>
      </c>
      <c r="X222" s="34">
        <f>20</f>
        <v>20</v>
      </c>
    </row>
    <row r="223" spans="1:24" x14ac:dyDescent="0.15">
      <c r="A223" s="25" t="s">
        <v>1128</v>
      </c>
      <c r="B223" s="25" t="s">
        <v>1047</v>
      </c>
      <c r="C223" s="25" t="s">
        <v>1046</v>
      </c>
      <c r="D223" s="25" t="s">
        <v>1045</v>
      </c>
      <c r="E223" s="26" t="s">
        <v>43</v>
      </c>
      <c r="F223" s="27" t="s">
        <v>43</v>
      </c>
      <c r="G223" s="28" t="s">
        <v>43</v>
      </c>
      <c r="H223" s="29"/>
      <c r="I223" s="29" t="s">
        <v>44</v>
      </c>
      <c r="J223" s="30">
        <v>1</v>
      </c>
      <c r="K223" s="31">
        <f>1126</f>
        <v>1126</v>
      </c>
      <c r="L223" s="32" t="s">
        <v>1110</v>
      </c>
      <c r="M223" s="31">
        <f>1166</f>
        <v>1166</v>
      </c>
      <c r="N223" s="32" t="s">
        <v>883</v>
      </c>
      <c r="O223" s="31">
        <f>1109</f>
        <v>1109</v>
      </c>
      <c r="P223" s="32" t="s">
        <v>1110</v>
      </c>
      <c r="Q223" s="31">
        <f>1165</f>
        <v>1165</v>
      </c>
      <c r="R223" s="32" t="s">
        <v>883</v>
      </c>
      <c r="S223" s="33">
        <f>1137.35</f>
        <v>1137.3499999999999</v>
      </c>
      <c r="T223" s="30">
        <f>483081</f>
        <v>483081</v>
      </c>
      <c r="U223" s="30">
        <f>100</f>
        <v>100</v>
      </c>
      <c r="V223" s="30">
        <f>546731509</f>
        <v>546731509</v>
      </c>
      <c r="W223" s="30">
        <f>106300</f>
        <v>106300</v>
      </c>
      <c r="X223" s="34">
        <f>20</f>
        <v>20</v>
      </c>
    </row>
    <row r="224" spans="1:24" x14ac:dyDescent="0.15">
      <c r="A224" s="25" t="s">
        <v>1128</v>
      </c>
      <c r="B224" s="25" t="s">
        <v>1044</v>
      </c>
      <c r="C224" s="25" t="s">
        <v>1043</v>
      </c>
      <c r="D224" s="25" t="s">
        <v>1042</v>
      </c>
      <c r="E224" s="26" t="s">
        <v>43</v>
      </c>
      <c r="F224" s="27" t="s">
        <v>43</v>
      </c>
      <c r="G224" s="28" t="s">
        <v>43</v>
      </c>
      <c r="H224" s="29"/>
      <c r="I224" s="29" t="s">
        <v>44</v>
      </c>
      <c r="J224" s="30">
        <v>1</v>
      </c>
      <c r="K224" s="31">
        <f>950</f>
        <v>950</v>
      </c>
      <c r="L224" s="32" t="s">
        <v>1110</v>
      </c>
      <c r="M224" s="31">
        <f>997</f>
        <v>997</v>
      </c>
      <c r="N224" s="32" t="s">
        <v>1111</v>
      </c>
      <c r="O224" s="31">
        <f>913</f>
        <v>913</v>
      </c>
      <c r="P224" s="32" t="s">
        <v>1123</v>
      </c>
      <c r="Q224" s="31">
        <f>978</f>
        <v>978</v>
      </c>
      <c r="R224" s="32" t="s">
        <v>883</v>
      </c>
      <c r="S224" s="33">
        <f>952.8</f>
        <v>952.8</v>
      </c>
      <c r="T224" s="30">
        <f>29137</f>
        <v>29137</v>
      </c>
      <c r="U224" s="30" t="str">
        <f>"－"</f>
        <v>－</v>
      </c>
      <c r="V224" s="30">
        <f>27236333</f>
        <v>27236333</v>
      </c>
      <c r="W224" s="30" t="str">
        <f>"－"</f>
        <v>－</v>
      </c>
      <c r="X224" s="34">
        <f>20</f>
        <v>20</v>
      </c>
    </row>
    <row r="225" spans="1:24" x14ac:dyDescent="0.15">
      <c r="A225" s="25" t="s">
        <v>1128</v>
      </c>
      <c r="B225" s="25" t="s">
        <v>1041</v>
      </c>
      <c r="C225" s="25" t="s">
        <v>1040</v>
      </c>
      <c r="D225" s="25" t="s">
        <v>1039</v>
      </c>
      <c r="E225" s="26" t="s">
        <v>43</v>
      </c>
      <c r="F225" s="27" t="s">
        <v>43</v>
      </c>
      <c r="G225" s="28" t="s">
        <v>43</v>
      </c>
      <c r="H225" s="29"/>
      <c r="I225" s="29" t="s">
        <v>44</v>
      </c>
      <c r="J225" s="30">
        <v>1</v>
      </c>
      <c r="K225" s="31">
        <f>947</f>
        <v>947</v>
      </c>
      <c r="L225" s="32" t="s">
        <v>1110</v>
      </c>
      <c r="M225" s="31">
        <f>1037</f>
        <v>1037</v>
      </c>
      <c r="N225" s="32" t="s">
        <v>883</v>
      </c>
      <c r="O225" s="31">
        <f>917</f>
        <v>917</v>
      </c>
      <c r="P225" s="32" t="s">
        <v>1123</v>
      </c>
      <c r="Q225" s="31">
        <f>1021</f>
        <v>1021</v>
      </c>
      <c r="R225" s="32" t="s">
        <v>883</v>
      </c>
      <c r="S225" s="33">
        <f>972.9</f>
        <v>972.9</v>
      </c>
      <c r="T225" s="30">
        <f>76616</f>
        <v>76616</v>
      </c>
      <c r="U225" s="30" t="str">
        <f>"－"</f>
        <v>－</v>
      </c>
      <c r="V225" s="30">
        <f>75060642</f>
        <v>75060642</v>
      </c>
      <c r="W225" s="30" t="str">
        <f>"－"</f>
        <v>－</v>
      </c>
      <c r="X225" s="34">
        <f>20</f>
        <v>20</v>
      </c>
    </row>
    <row r="226" spans="1:24" x14ac:dyDescent="0.15">
      <c r="A226" s="25" t="s">
        <v>1128</v>
      </c>
      <c r="B226" s="25" t="s">
        <v>1038</v>
      </c>
      <c r="C226" s="25" t="s">
        <v>1037</v>
      </c>
      <c r="D226" s="25" t="s">
        <v>1036</v>
      </c>
      <c r="E226" s="26" t="s">
        <v>43</v>
      </c>
      <c r="F226" s="27" t="s">
        <v>43</v>
      </c>
      <c r="G226" s="28" t="s">
        <v>43</v>
      </c>
      <c r="H226" s="29"/>
      <c r="I226" s="29" t="s">
        <v>44</v>
      </c>
      <c r="J226" s="30">
        <v>1</v>
      </c>
      <c r="K226" s="31">
        <f>979</f>
        <v>979</v>
      </c>
      <c r="L226" s="32" t="s">
        <v>1110</v>
      </c>
      <c r="M226" s="31">
        <f>1079</f>
        <v>1079</v>
      </c>
      <c r="N226" s="32" t="s">
        <v>1111</v>
      </c>
      <c r="O226" s="31">
        <f>966</f>
        <v>966</v>
      </c>
      <c r="P226" s="32" t="s">
        <v>1110</v>
      </c>
      <c r="Q226" s="31">
        <f>1044</f>
        <v>1044</v>
      </c>
      <c r="R226" s="32" t="s">
        <v>883</v>
      </c>
      <c r="S226" s="33">
        <f>1006.6</f>
        <v>1006.6</v>
      </c>
      <c r="T226" s="30">
        <f>140436</f>
        <v>140436</v>
      </c>
      <c r="U226" s="30">
        <f>4</f>
        <v>4</v>
      </c>
      <c r="V226" s="30">
        <f>144750462</f>
        <v>144750462</v>
      </c>
      <c r="W226" s="30">
        <f>4064</f>
        <v>4064</v>
      </c>
      <c r="X226" s="34">
        <f>20</f>
        <v>20</v>
      </c>
    </row>
    <row r="227" spans="1:24" x14ac:dyDescent="0.15">
      <c r="A227" s="25" t="s">
        <v>1128</v>
      </c>
      <c r="B227" s="25" t="s">
        <v>868</v>
      </c>
      <c r="C227" s="25" t="s">
        <v>869</v>
      </c>
      <c r="D227" s="25" t="s">
        <v>870</v>
      </c>
      <c r="E227" s="26" t="s">
        <v>43</v>
      </c>
      <c r="F227" s="27" t="s">
        <v>43</v>
      </c>
      <c r="G227" s="28" t="s">
        <v>43</v>
      </c>
      <c r="H227" s="29"/>
      <c r="I227" s="29" t="s">
        <v>44</v>
      </c>
      <c r="J227" s="30">
        <v>10</v>
      </c>
      <c r="K227" s="31">
        <f>2544.5</f>
        <v>2544.5</v>
      </c>
      <c r="L227" s="32" t="s">
        <v>1110</v>
      </c>
      <c r="M227" s="31">
        <f>2632</f>
        <v>2632</v>
      </c>
      <c r="N227" s="32" t="s">
        <v>874</v>
      </c>
      <c r="O227" s="31">
        <f>2472.5</f>
        <v>2472.5</v>
      </c>
      <c r="P227" s="32" t="s">
        <v>684</v>
      </c>
      <c r="Q227" s="31">
        <f>2617</f>
        <v>2617</v>
      </c>
      <c r="R227" s="32" t="s">
        <v>883</v>
      </c>
      <c r="S227" s="33">
        <f>2552.65</f>
        <v>2552.65</v>
      </c>
      <c r="T227" s="30">
        <f>33890</f>
        <v>33890</v>
      </c>
      <c r="U227" s="30" t="str">
        <f>"－"</f>
        <v>－</v>
      </c>
      <c r="V227" s="30">
        <f>86595900</f>
        <v>86595900</v>
      </c>
      <c r="W227" s="30" t="str">
        <f>"－"</f>
        <v>－</v>
      </c>
      <c r="X227" s="34">
        <f>20</f>
        <v>20</v>
      </c>
    </row>
    <row r="228" spans="1:24" x14ac:dyDescent="0.15">
      <c r="A228" s="25" t="s">
        <v>1128</v>
      </c>
      <c r="B228" s="25" t="s">
        <v>871</v>
      </c>
      <c r="C228" s="25" t="s">
        <v>872</v>
      </c>
      <c r="D228" s="25" t="s">
        <v>873</v>
      </c>
      <c r="E228" s="26" t="s">
        <v>43</v>
      </c>
      <c r="F228" s="27" t="s">
        <v>43</v>
      </c>
      <c r="G228" s="28" t="s">
        <v>43</v>
      </c>
      <c r="H228" s="29"/>
      <c r="I228" s="29" t="s">
        <v>44</v>
      </c>
      <c r="J228" s="30">
        <v>1</v>
      </c>
      <c r="K228" s="31">
        <f>1189</f>
        <v>1189</v>
      </c>
      <c r="L228" s="32" t="s">
        <v>1110</v>
      </c>
      <c r="M228" s="31">
        <f>1259</f>
        <v>1259</v>
      </c>
      <c r="N228" s="32" t="s">
        <v>883</v>
      </c>
      <c r="O228" s="31">
        <f>1174</f>
        <v>1174</v>
      </c>
      <c r="P228" s="32" t="s">
        <v>684</v>
      </c>
      <c r="Q228" s="31">
        <f>1250</f>
        <v>1250</v>
      </c>
      <c r="R228" s="32" t="s">
        <v>883</v>
      </c>
      <c r="S228" s="33">
        <f>1205.8</f>
        <v>1205.8</v>
      </c>
      <c r="T228" s="30">
        <f>919868</f>
        <v>919868</v>
      </c>
      <c r="U228" s="30">
        <f>25005</f>
        <v>25005</v>
      </c>
      <c r="V228" s="30">
        <f>1100191870</f>
        <v>1100191870</v>
      </c>
      <c r="W228" s="30">
        <f>30722439</f>
        <v>30722439</v>
      </c>
      <c r="X228" s="34">
        <f>20</f>
        <v>20</v>
      </c>
    </row>
    <row r="229" spans="1:24" x14ac:dyDescent="0.15">
      <c r="A229" s="25" t="s">
        <v>1128</v>
      </c>
      <c r="B229" s="25" t="s">
        <v>877</v>
      </c>
      <c r="C229" s="25" t="s">
        <v>878</v>
      </c>
      <c r="D229" s="25" t="s">
        <v>879</v>
      </c>
      <c r="E229" s="26" t="s">
        <v>43</v>
      </c>
      <c r="F229" s="27" t="s">
        <v>43</v>
      </c>
      <c r="G229" s="28" t="s">
        <v>43</v>
      </c>
      <c r="H229" s="29"/>
      <c r="I229" s="29" t="s">
        <v>44</v>
      </c>
      <c r="J229" s="30">
        <v>1</v>
      </c>
      <c r="K229" s="31">
        <f>71060</f>
        <v>71060</v>
      </c>
      <c r="L229" s="32" t="s">
        <v>1110</v>
      </c>
      <c r="M229" s="31">
        <f>76300</f>
        <v>76300</v>
      </c>
      <c r="N229" s="32" t="s">
        <v>883</v>
      </c>
      <c r="O229" s="31">
        <f>70650</f>
        <v>70650</v>
      </c>
      <c r="P229" s="32" t="s">
        <v>1124</v>
      </c>
      <c r="Q229" s="31">
        <f>75000</f>
        <v>75000</v>
      </c>
      <c r="R229" s="32" t="s">
        <v>883</v>
      </c>
      <c r="S229" s="33">
        <f>73018.5</f>
        <v>73018.5</v>
      </c>
      <c r="T229" s="30">
        <f>26220</f>
        <v>26220</v>
      </c>
      <c r="U229" s="30" t="str">
        <f>"－"</f>
        <v>－</v>
      </c>
      <c r="V229" s="30">
        <f>1912806100</f>
        <v>1912806100</v>
      </c>
      <c r="W229" s="30" t="str">
        <f>"－"</f>
        <v>－</v>
      </c>
      <c r="X229" s="34">
        <f>20</f>
        <v>20</v>
      </c>
    </row>
    <row r="230" spans="1:24" x14ac:dyDescent="0.15">
      <c r="A230" s="25" t="s">
        <v>1128</v>
      </c>
      <c r="B230" s="25" t="s">
        <v>880</v>
      </c>
      <c r="C230" s="25" t="s">
        <v>881</v>
      </c>
      <c r="D230" s="25" t="s">
        <v>882</v>
      </c>
      <c r="E230" s="26" t="s">
        <v>43</v>
      </c>
      <c r="F230" s="27" t="s">
        <v>43</v>
      </c>
      <c r="G230" s="28" t="s">
        <v>43</v>
      </c>
      <c r="H230" s="29"/>
      <c r="I230" s="29" t="s">
        <v>44</v>
      </c>
      <c r="J230" s="30">
        <v>1</v>
      </c>
      <c r="K230" s="31">
        <f>7783</f>
        <v>7783</v>
      </c>
      <c r="L230" s="32" t="s">
        <v>1110</v>
      </c>
      <c r="M230" s="31">
        <f>7795</f>
        <v>7795</v>
      </c>
      <c r="N230" s="32" t="s">
        <v>1124</v>
      </c>
      <c r="O230" s="31">
        <f>7540</f>
        <v>7540</v>
      </c>
      <c r="P230" s="32" t="s">
        <v>883</v>
      </c>
      <c r="Q230" s="31">
        <f>7568</f>
        <v>7568</v>
      </c>
      <c r="R230" s="32" t="s">
        <v>883</v>
      </c>
      <c r="S230" s="33">
        <f>7667.15</f>
        <v>7667.15</v>
      </c>
      <c r="T230" s="30">
        <f>351926</f>
        <v>351926</v>
      </c>
      <c r="U230" s="30">
        <f>323967</f>
        <v>323967</v>
      </c>
      <c r="V230" s="30">
        <f>2715197902</f>
        <v>2715197902</v>
      </c>
      <c r="W230" s="30">
        <f>2500878006</f>
        <v>2500878006</v>
      </c>
      <c r="X230" s="34">
        <f>20</f>
        <v>20</v>
      </c>
    </row>
    <row r="231" spans="1:24" x14ac:dyDescent="0.15">
      <c r="A231" s="25" t="s">
        <v>1128</v>
      </c>
      <c r="B231" s="25" t="s">
        <v>884</v>
      </c>
      <c r="C231" s="25" t="s">
        <v>885</v>
      </c>
      <c r="D231" s="25" t="s">
        <v>886</v>
      </c>
      <c r="E231" s="26" t="s">
        <v>43</v>
      </c>
      <c r="F231" s="27" t="s">
        <v>43</v>
      </c>
      <c r="G231" s="28" t="s">
        <v>43</v>
      </c>
      <c r="H231" s="29"/>
      <c r="I231" s="29" t="s">
        <v>44</v>
      </c>
      <c r="J231" s="30">
        <v>10</v>
      </c>
      <c r="K231" s="31">
        <f>15280</f>
        <v>15280</v>
      </c>
      <c r="L231" s="32" t="s">
        <v>1110</v>
      </c>
      <c r="M231" s="31">
        <f>16995</f>
        <v>16995</v>
      </c>
      <c r="N231" s="32" t="s">
        <v>883</v>
      </c>
      <c r="O231" s="31">
        <f>15080</f>
        <v>15080</v>
      </c>
      <c r="P231" s="32" t="s">
        <v>1124</v>
      </c>
      <c r="Q231" s="31">
        <f>16165</f>
        <v>16165</v>
      </c>
      <c r="R231" s="32" t="s">
        <v>883</v>
      </c>
      <c r="S231" s="33">
        <f>15727.75</f>
        <v>15727.75</v>
      </c>
      <c r="T231" s="30">
        <f>37340</f>
        <v>37340</v>
      </c>
      <c r="U231" s="30" t="str">
        <f>"－"</f>
        <v>－</v>
      </c>
      <c r="V231" s="30">
        <f>585778200</f>
        <v>585778200</v>
      </c>
      <c r="W231" s="30" t="str">
        <f>"－"</f>
        <v>－</v>
      </c>
      <c r="X231" s="34">
        <f>20</f>
        <v>20</v>
      </c>
    </row>
    <row r="232" spans="1:24" x14ac:dyDescent="0.15">
      <c r="A232" s="25" t="s">
        <v>1128</v>
      </c>
      <c r="B232" s="25" t="s">
        <v>887</v>
      </c>
      <c r="C232" s="25" t="s">
        <v>888</v>
      </c>
      <c r="D232" s="25" t="s">
        <v>889</v>
      </c>
      <c r="E232" s="26" t="s">
        <v>43</v>
      </c>
      <c r="F232" s="27" t="s">
        <v>43</v>
      </c>
      <c r="G232" s="28" t="s">
        <v>43</v>
      </c>
      <c r="H232" s="29"/>
      <c r="I232" s="29" t="s">
        <v>44</v>
      </c>
      <c r="J232" s="30">
        <v>10</v>
      </c>
      <c r="K232" s="31">
        <f>7829</f>
        <v>7829</v>
      </c>
      <c r="L232" s="32" t="s">
        <v>1110</v>
      </c>
      <c r="M232" s="31">
        <f>7858</f>
        <v>7858</v>
      </c>
      <c r="N232" s="32" t="s">
        <v>674</v>
      </c>
      <c r="O232" s="31">
        <f>7589</f>
        <v>7589</v>
      </c>
      <c r="P232" s="32" t="s">
        <v>883</v>
      </c>
      <c r="Q232" s="31">
        <f>7589</f>
        <v>7589</v>
      </c>
      <c r="R232" s="32" t="s">
        <v>883</v>
      </c>
      <c r="S232" s="33">
        <f>7713.55</f>
        <v>7713.55</v>
      </c>
      <c r="T232" s="30">
        <f>556440</f>
        <v>556440</v>
      </c>
      <c r="U232" s="30">
        <f>525020</f>
        <v>525020</v>
      </c>
      <c r="V232" s="30">
        <f>4296082542</f>
        <v>4296082542</v>
      </c>
      <c r="W232" s="30">
        <f>4057054402</f>
        <v>4057054402</v>
      </c>
      <c r="X232" s="34">
        <f>20</f>
        <v>20</v>
      </c>
    </row>
    <row r="233" spans="1:24" x14ac:dyDescent="0.15">
      <c r="A233" s="25" t="s">
        <v>1128</v>
      </c>
      <c r="B233" s="25" t="s">
        <v>890</v>
      </c>
      <c r="C233" s="25" t="s">
        <v>891</v>
      </c>
      <c r="D233" s="25" t="s">
        <v>892</v>
      </c>
      <c r="E233" s="26" t="s">
        <v>43</v>
      </c>
      <c r="F233" s="27" t="s">
        <v>43</v>
      </c>
      <c r="G233" s="28" t="s">
        <v>43</v>
      </c>
      <c r="H233" s="29"/>
      <c r="I233" s="29" t="s">
        <v>44</v>
      </c>
      <c r="J233" s="30">
        <v>10</v>
      </c>
      <c r="K233" s="31">
        <f>653.2</f>
        <v>653.20000000000005</v>
      </c>
      <c r="L233" s="32" t="s">
        <v>1110</v>
      </c>
      <c r="M233" s="31">
        <f>717.6</f>
        <v>717.6</v>
      </c>
      <c r="N233" s="32" t="s">
        <v>883</v>
      </c>
      <c r="O233" s="31">
        <f>634.2</f>
        <v>634.20000000000005</v>
      </c>
      <c r="P233" s="32" t="s">
        <v>684</v>
      </c>
      <c r="Q233" s="31">
        <f>672.7</f>
        <v>672.7</v>
      </c>
      <c r="R233" s="32" t="s">
        <v>883</v>
      </c>
      <c r="S233" s="33">
        <f>654.69</f>
        <v>654.69000000000005</v>
      </c>
      <c r="T233" s="30">
        <f>2843070</f>
        <v>2843070</v>
      </c>
      <c r="U233" s="30">
        <f>150000</f>
        <v>150000</v>
      </c>
      <c r="V233" s="30">
        <f>1878076333</f>
        <v>1878076333</v>
      </c>
      <c r="W233" s="30">
        <f>100035817</f>
        <v>100035817</v>
      </c>
      <c r="X233" s="34">
        <f>20</f>
        <v>20</v>
      </c>
    </row>
    <row r="234" spans="1:24" x14ac:dyDescent="0.15">
      <c r="A234" s="25" t="s">
        <v>1128</v>
      </c>
      <c r="B234" s="25" t="s">
        <v>893</v>
      </c>
      <c r="C234" s="25" t="s">
        <v>894</v>
      </c>
      <c r="D234" s="25" t="s">
        <v>895</v>
      </c>
      <c r="E234" s="26" t="s">
        <v>43</v>
      </c>
      <c r="F234" s="27" t="s">
        <v>43</v>
      </c>
      <c r="G234" s="28" t="s">
        <v>43</v>
      </c>
      <c r="H234" s="29"/>
      <c r="I234" s="29" t="s">
        <v>44</v>
      </c>
      <c r="J234" s="30">
        <v>10</v>
      </c>
      <c r="K234" s="31">
        <f>559.8</f>
        <v>559.79999999999995</v>
      </c>
      <c r="L234" s="32" t="s">
        <v>1110</v>
      </c>
      <c r="M234" s="31">
        <f>579.3</f>
        <v>579.29999999999995</v>
      </c>
      <c r="N234" s="32" t="s">
        <v>883</v>
      </c>
      <c r="O234" s="31">
        <f>553.9</f>
        <v>553.9</v>
      </c>
      <c r="P234" s="32" t="s">
        <v>1124</v>
      </c>
      <c r="Q234" s="31">
        <f>571.7</f>
        <v>571.70000000000005</v>
      </c>
      <c r="R234" s="32" t="s">
        <v>883</v>
      </c>
      <c r="S234" s="33">
        <f>561.42</f>
        <v>561.41999999999996</v>
      </c>
      <c r="T234" s="30">
        <f>972470</f>
        <v>972470</v>
      </c>
      <c r="U234" s="30">
        <f>60</f>
        <v>60</v>
      </c>
      <c r="V234" s="30">
        <f>545898919</f>
        <v>545898919</v>
      </c>
      <c r="W234" s="30">
        <f>33654</f>
        <v>33654</v>
      </c>
      <c r="X234" s="34">
        <f>20</f>
        <v>20</v>
      </c>
    </row>
    <row r="235" spans="1:24" x14ac:dyDescent="0.15">
      <c r="A235" s="25" t="s">
        <v>1128</v>
      </c>
      <c r="B235" s="25" t="s">
        <v>934</v>
      </c>
      <c r="C235" s="25" t="s">
        <v>935</v>
      </c>
      <c r="D235" s="25" t="s">
        <v>936</v>
      </c>
      <c r="E235" s="26" t="s">
        <v>43</v>
      </c>
      <c r="F235" s="27" t="s">
        <v>43</v>
      </c>
      <c r="G235" s="28" t="s">
        <v>43</v>
      </c>
      <c r="H235" s="29"/>
      <c r="I235" s="29" t="s">
        <v>44</v>
      </c>
      <c r="J235" s="30">
        <v>1</v>
      </c>
      <c r="K235" s="31">
        <f>1699</f>
        <v>1699</v>
      </c>
      <c r="L235" s="32" t="s">
        <v>1110</v>
      </c>
      <c r="M235" s="31">
        <f>1829</f>
        <v>1829</v>
      </c>
      <c r="N235" s="32" t="s">
        <v>1113</v>
      </c>
      <c r="O235" s="31">
        <f>1685</f>
        <v>1685</v>
      </c>
      <c r="P235" s="32" t="s">
        <v>680</v>
      </c>
      <c r="Q235" s="31">
        <f>1776</f>
        <v>1776</v>
      </c>
      <c r="R235" s="32" t="s">
        <v>883</v>
      </c>
      <c r="S235" s="33">
        <f>1758.1</f>
        <v>1758.1</v>
      </c>
      <c r="T235" s="30">
        <f>15903189</f>
        <v>15903189</v>
      </c>
      <c r="U235" s="30">
        <f>826958</f>
        <v>826958</v>
      </c>
      <c r="V235" s="30">
        <f>27987579264</f>
        <v>27987579264</v>
      </c>
      <c r="W235" s="30">
        <f>1438203726</f>
        <v>1438203726</v>
      </c>
      <c r="X235" s="34">
        <f>20</f>
        <v>20</v>
      </c>
    </row>
    <row r="236" spans="1:24" x14ac:dyDescent="0.15">
      <c r="A236" s="25" t="s">
        <v>1128</v>
      </c>
      <c r="B236" s="25" t="s">
        <v>937</v>
      </c>
      <c r="C236" s="25" t="s">
        <v>938</v>
      </c>
      <c r="D236" s="25" t="s">
        <v>939</v>
      </c>
      <c r="E236" s="26" t="s">
        <v>43</v>
      </c>
      <c r="F236" s="27" t="s">
        <v>43</v>
      </c>
      <c r="G236" s="28" t="s">
        <v>43</v>
      </c>
      <c r="H236" s="29"/>
      <c r="I236" s="29" t="s">
        <v>44</v>
      </c>
      <c r="J236" s="30">
        <v>1</v>
      </c>
      <c r="K236" s="31">
        <f>1823</f>
        <v>1823</v>
      </c>
      <c r="L236" s="32" t="s">
        <v>1110</v>
      </c>
      <c r="M236" s="31">
        <f>1882</f>
        <v>1882</v>
      </c>
      <c r="N236" s="32" t="s">
        <v>679</v>
      </c>
      <c r="O236" s="31">
        <f>1771</f>
        <v>1771</v>
      </c>
      <c r="P236" s="32" t="s">
        <v>684</v>
      </c>
      <c r="Q236" s="31">
        <f>1859</f>
        <v>1859</v>
      </c>
      <c r="R236" s="32" t="s">
        <v>883</v>
      </c>
      <c r="S236" s="33">
        <f>1836.85</f>
        <v>1836.85</v>
      </c>
      <c r="T236" s="30">
        <f>15231915</f>
        <v>15231915</v>
      </c>
      <c r="U236" s="30">
        <f>1629</f>
        <v>1629</v>
      </c>
      <c r="V236" s="30">
        <f>27922353755</f>
        <v>27922353755</v>
      </c>
      <c r="W236" s="30">
        <f>2970807</f>
        <v>2970807</v>
      </c>
      <c r="X236" s="34">
        <f>20</f>
        <v>20</v>
      </c>
    </row>
    <row r="237" spans="1:24" x14ac:dyDescent="0.15">
      <c r="A237" s="25" t="s">
        <v>1128</v>
      </c>
      <c r="B237" s="25" t="s">
        <v>940</v>
      </c>
      <c r="C237" s="25" t="s">
        <v>941</v>
      </c>
      <c r="D237" s="25" t="s">
        <v>942</v>
      </c>
      <c r="E237" s="26" t="s">
        <v>43</v>
      </c>
      <c r="F237" s="27" t="s">
        <v>43</v>
      </c>
      <c r="G237" s="28" t="s">
        <v>43</v>
      </c>
      <c r="H237" s="29"/>
      <c r="I237" s="29" t="s">
        <v>44</v>
      </c>
      <c r="J237" s="30">
        <v>10</v>
      </c>
      <c r="K237" s="31">
        <f>789.9</f>
        <v>789.9</v>
      </c>
      <c r="L237" s="32" t="s">
        <v>1110</v>
      </c>
      <c r="M237" s="31">
        <f>795.5</f>
        <v>795.5</v>
      </c>
      <c r="N237" s="32" t="s">
        <v>883</v>
      </c>
      <c r="O237" s="31">
        <f>776.5</f>
        <v>776.5</v>
      </c>
      <c r="P237" s="32" t="s">
        <v>680</v>
      </c>
      <c r="Q237" s="31">
        <f>785</f>
        <v>785</v>
      </c>
      <c r="R237" s="32" t="s">
        <v>883</v>
      </c>
      <c r="S237" s="33">
        <f>782.46</f>
        <v>782.46</v>
      </c>
      <c r="T237" s="30">
        <f>26660</f>
        <v>26660</v>
      </c>
      <c r="U237" s="30" t="str">
        <f>"－"</f>
        <v>－</v>
      </c>
      <c r="V237" s="30">
        <f>20760344</f>
        <v>20760344</v>
      </c>
      <c r="W237" s="30" t="str">
        <f>"－"</f>
        <v>－</v>
      </c>
      <c r="X237" s="34">
        <f>12</f>
        <v>12</v>
      </c>
    </row>
    <row r="238" spans="1:24" x14ac:dyDescent="0.15">
      <c r="A238" s="25" t="s">
        <v>1128</v>
      </c>
      <c r="B238" s="25" t="s">
        <v>943</v>
      </c>
      <c r="C238" s="25" t="s">
        <v>944</v>
      </c>
      <c r="D238" s="25" t="s">
        <v>945</v>
      </c>
      <c r="E238" s="26" t="s">
        <v>43</v>
      </c>
      <c r="F238" s="27" t="s">
        <v>43</v>
      </c>
      <c r="G238" s="28" t="s">
        <v>43</v>
      </c>
      <c r="H238" s="29"/>
      <c r="I238" s="29" t="s">
        <v>44</v>
      </c>
      <c r="J238" s="30">
        <v>10</v>
      </c>
      <c r="K238" s="31">
        <f>795</f>
        <v>795</v>
      </c>
      <c r="L238" s="32" t="s">
        <v>1110</v>
      </c>
      <c r="M238" s="31">
        <f>810</f>
        <v>810</v>
      </c>
      <c r="N238" s="32" t="s">
        <v>875</v>
      </c>
      <c r="O238" s="31">
        <f>784.1</f>
        <v>784.1</v>
      </c>
      <c r="P238" s="32" t="s">
        <v>678</v>
      </c>
      <c r="Q238" s="31">
        <f>790</f>
        <v>790</v>
      </c>
      <c r="R238" s="32" t="s">
        <v>883</v>
      </c>
      <c r="S238" s="33">
        <f>791.78</f>
        <v>791.78</v>
      </c>
      <c r="T238" s="30">
        <f>520</f>
        <v>520</v>
      </c>
      <c r="U238" s="30" t="str">
        <f>"－"</f>
        <v>－</v>
      </c>
      <c r="V238" s="30">
        <f>411868</f>
        <v>411868</v>
      </c>
      <c r="W238" s="30" t="str">
        <f>"－"</f>
        <v>－</v>
      </c>
      <c r="X238" s="34">
        <f>12</f>
        <v>12</v>
      </c>
    </row>
    <row r="239" spans="1:24" x14ac:dyDescent="0.15">
      <c r="A239" s="25" t="s">
        <v>1128</v>
      </c>
      <c r="B239" s="25" t="s">
        <v>952</v>
      </c>
      <c r="C239" s="25" t="s">
        <v>953</v>
      </c>
      <c r="D239" s="25" t="s">
        <v>954</v>
      </c>
      <c r="E239" s="26" t="s">
        <v>43</v>
      </c>
      <c r="F239" s="27" t="s">
        <v>43</v>
      </c>
      <c r="G239" s="28" t="s">
        <v>43</v>
      </c>
      <c r="H239" s="29"/>
      <c r="I239" s="29" t="s">
        <v>44</v>
      </c>
      <c r="J239" s="30">
        <v>1</v>
      </c>
      <c r="K239" s="31">
        <f>14355</f>
        <v>14355</v>
      </c>
      <c r="L239" s="32" t="s">
        <v>1110</v>
      </c>
      <c r="M239" s="31">
        <f>15050</f>
        <v>15050</v>
      </c>
      <c r="N239" s="32" t="s">
        <v>883</v>
      </c>
      <c r="O239" s="31">
        <f>14075</f>
        <v>14075</v>
      </c>
      <c r="P239" s="32" t="s">
        <v>684</v>
      </c>
      <c r="Q239" s="31">
        <f>15000</f>
        <v>15000</v>
      </c>
      <c r="R239" s="32" t="s">
        <v>883</v>
      </c>
      <c r="S239" s="33">
        <f>14527.75</f>
        <v>14527.75</v>
      </c>
      <c r="T239" s="30">
        <f>169486</f>
        <v>169486</v>
      </c>
      <c r="U239" s="30">
        <f>2</f>
        <v>2</v>
      </c>
      <c r="V239" s="30">
        <f>2476095150</f>
        <v>2476095150</v>
      </c>
      <c r="W239" s="30">
        <f>29885</f>
        <v>29885</v>
      </c>
      <c r="X239" s="34">
        <f>20</f>
        <v>20</v>
      </c>
    </row>
    <row r="240" spans="1:24" x14ac:dyDescent="0.15">
      <c r="A240" s="25" t="s">
        <v>1128</v>
      </c>
      <c r="B240" s="25" t="s">
        <v>955</v>
      </c>
      <c r="C240" s="25" t="s">
        <v>956</v>
      </c>
      <c r="D240" s="25" t="s">
        <v>957</v>
      </c>
      <c r="E240" s="26" t="s">
        <v>43</v>
      </c>
      <c r="F240" s="27" t="s">
        <v>43</v>
      </c>
      <c r="G240" s="28" t="s">
        <v>43</v>
      </c>
      <c r="H240" s="29"/>
      <c r="I240" s="29" t="s">
        <v>44</v>
      </c>
      <c r="J240" s="30">
        <v>1</v>
      </c>
      <c r="K240" s="31">
        <f>40920</f>
        <v>40920</v>
      </c>
      <c r="L240" s="32" t="s">
        <v>1110</v>
      </c>
      <c r="M240" s="31">
        <f>41920</f>
        <v>41920</v>
      </c>
      <c r="N240" s="32" t="s">
        <v>883</v>
      </c>
      <c r="O240" s="31">
        <f>40760</f>
        <v>40760</v>
      </c>
      <c r="P240" s="32" t="s">
        <v>1124</v>
      </c>
      <c r="Q240" s="31">
        <f>41910</f>
        <v>41910</v>
      </c>
      <c r="R240" s="32" t="s">
        <v>883</v>
      </c>
      <c r="S240" s="33">
        <f>41287.37</f>
        <v>41287.370000000003</v>
      </c>
      <c r="T240" s="30">
        <f>6904</f>
        <v>6904</v>
      </c>
      <c r="U240" s="30">
        <f>2</f>
        <v>2</v>
      </c>
      <c r="V240" s="30">
        <f>286437210</f>
        <v>286437210</v>
      </c>
      <c r="W240" s="30">
        <f>82890</f>
        <v>82890</v>
      </c>
      <c r="X240" s="34">
        <f>19</f>
        <v>19</v>
      </c>
    </row>
    <row r="241" spans="1:24" x14ac:dyDescent="0.15">
      <c r="A241" s="25" t="s">
        <v>1128</v>
      </c>
      <c r="B241" s="25" t="s">
        <v>958</v>
      </c>
      <c r="C241" s="25" t="s">
        <v>959</v>
      </c>
      <c r="D241" s="25" t="s">
        <v>960</v>
      </c>
      <c r="E241" s="26" t="s">
        <v>43</v>
      </c>
      <c r="F241" s="27" t="s">
        <v>43</v>
      </c>
      <c r="G241" s="28" t="s">
        <v>43</v>
      </c>
      <c r="H241" s="29"/>
      <c r="I241" s="29" t="s">
        <v>44</v>
      </c>
      <c r="J241" s="30">
        <v>1</v>
      </c>
      <c r="K241" s="31">
        <f>22275</f>
        <v>22275</v>
      </c>
      <c r="L241" s="32" t="s">
        <v>1110</v>
      </c>
      <c r="M241" s="31">
        <f>22800</f>
        <v>22800</v>
      </c>
      <c r="N241" s="32" t="s">
        <v>1124</v>
      </c>
      <c r="O241" s="31">
        <f>20920</f>
        <v>20920</v>
      </c>
      <c r="P241" s="32" t="s">
        <v>883</v>
      </c>
      <c r="Q241" s="31">
        <f>21045</f>
        <v>21045</v>
      </c>
      <c r="R241" s="32" t="s">
        <v>883</v>
      </c>
      <c r="S241" s="33">
        <f>21603.25</f>
        <v>21603.25</v>
      </c>
      <c r="T241" s="30">
        <f>33822</f>
        <v>33822</v>
      </c>
      <c r="U241" s="30" t="str">
        <f>"－"</f>
        <v>－</v>
      </c>
      <c r="V241" s="30">
        <f>736302930</f>
        <v>736302930</v>
      </c>
      <c r="W241" s="30" t="str">
        <f>"－"</f>
        <v>－</v>
      </c>
      <c r="X241" s="34">
        <f>20</f>
        <v>20</v>
      </c>
    </row>
    <row r="242" spans="1:24" x14ac:dyDescent="0.15">
      <c r="A242" s="25" t="s">
        <v>1128</v>
      </c>
      <c r="B242" s="25" t="s">
        <v>961</v>
      </c>
      <c r="C242" s="25" t="s">
        <v>962</v>
      </c>
      <c r="D242" s="25" t="s">
        <v>963</v>
      </c>
      <c r="E242" s="26" t="s">
        <v>43</v>
      </c>
      <c r="F242" s="27" t="s">
        <v>43</v>
      </c>
      <c r="G242" s="28" t="s">
        <v>43</v>
      </c>
      <c r="H242" s="29"/>
      <c r="I242" s="29" t="s">
        <v>44</v>
      </c>
      <c r="J242" s="30">
        <v>10</v>
      </c>
      <c r="K242" s="31">
        <f>239</f>
        <v>239</v>
      </c>
      <c r="L242" s="32" t="s">
        <v>1110</v>
      </c>
      <c r="M242" s="31">
        <f>244.9</f>
        <v>244.9</v>
      </c>
      <c r="N242" s="32" t="s">
        <v>874</v>
      </c>
      <c r="O242" s="31">
        <f>225</f>
        <v>225</v>
      </c>
      <c r="P242" s="32" t="s">
        <v>875</v>
      </c>
      <c r="Q242" s="31">
        <f>239.2</f>
        <v>239.2</v>
      </c>
      <c r="R242" s="32" t="s">
        <v>883</v>
      </c>
      <c r="S242" s="33">
        <f>235.57</f>
        <v>235.57</v>
      </c>
      <c r="T242" s="30">
        <f>215160</f>
        <v>215160</v>
      </c>
      <c r="U242" s="30" t="str">
        <f>"－"</f>
        <v>－</v>
      </c>
      <c r="V242" s="30">
        <f>49679869</f>
        <v>49679869</v>
      </c>
      <c r="W242" s="30" t="str">
        <f>"－"</f>
        <v>－</v>
      </c>
      <c r="X242" s="34">
        <f>20</f>
        <v>20</v>
      </c>
    </row>
    <row r="243" spans="1:24" x14ac:dyDescent="0.15">
      <c r="A243" s="25" t="s">
        <v>1128</v>
      </c>
      <c r="B243" s="25" t="s">
        <v>964</v>
      </c>
      <c r="C243" s="25" t="s">
        <v>965</v>
      </c>
      <c r="D243" s="25" t="s">
        <v>966</v>
      </c>
      <c r="E243" s="26" t="s">
        <v>43</v>
      </c>
      <c r="F243" s="27" t="s">
        <v>43</v>
      </c>
      <c r="G243" s="28" t="s">
        <v>43</v>
      </c>
      <c r="H243" s="29"/>
      <c r="I243" s="29" t="s">
        <v>44</v>
      </c>
      <c r="J243" s="30">
        <v>10</v>
      </c>
      <c r="K243" s="31">
        <f>753.2</f>
        <v>753.2</v>
      </c>
      <c r="L243" s="32" t="s">
        <v>1110</v>
      </c>
      <c r="M243" s="31">
        <f>771.7</f>
        <v>771.7</v>
      </c>
      <c r="N243" s="32" t="s">
        <v>1117</v>
      </c>
      <c r="O243" s="31">
        <f>748</f>
        <v>748</v>
      </c>
      <c r="P243" s="32" t="s">
        <v>678</v>
      </c>
      <c r="Q243" s="31">
        <f>752.3</f>
        <v>752.3</v>
      </c>
      <c r="R243" s="32" t="s">
        <v>883</v>
      </c>
      <c r="S243" s="33">
        <f>753.4</f>
        <v>753.4</v>
      </c>
      <c r="T243" s="30">
        <f>1565990</f>
        <v>1565990</v>
      </c>
      <c r="U243" s="30">
        <f>1063000</f>
        <v>1063000</v>
      </c>
      <c r="V243" s="30">
        <f>1184297235</f>
        <v>1184297235</v>
      </c>
      <c r="W243" s="30">
        <f>804676240</f>
        <v>804676240</v>
      </c>
      <c r="X243" s="34">
        <f>20</f>
        <v>20</v>
      </c>
    </row>
    <row r="244" spans="1:24" x14ac:dyDescent="0.15">
      <c r="A244" s="25" t="s">
        <v>1128</v>
      </c>
      <c r="B244" s="25" t="s">
        <v>982</v>
      </c>
      <c r="C244" s="25" t="s">
        <v>983</v>
      </c>
      <c r="D244" s="25" t="s">
        <v>984</v>
      </c>
      <c r="E244" s="26" t="s">
        <v>43</v>
      </c>
      <c r="F244" s="27" t="s">
        <v>43</v>
      </c>
      <c r="G244" s="28" t="s">
        <v>43</v>
      </c>
      <c r="H244" s="29"/>
      <c r="I244" s="29" t="s">
        <v>44</v>
      </c>
      <c r="J244" s="30">
        <v>1</v>
      </c>
      <c r="K244" s="31">
        <f>1140</f>
        <v>1140</v>
      </c>
      <c r="L244" s="32" t="s">
        <v>1110</v>
      </c>
      <c r="M244" s="31">
        <f>1224</f>
        <v>1224</v>
      </c>
      <c r="N244" s="32" t="s">
        <v>883</v>
      </c>
      <c r="O244" s="31">
        <f>1124</f>
        <v>1124</v>
      </c>
      <c r="P244" s="32" t="s">
        <v>684</v>
      </c>
      <c r="Q244" s="31">
        <f>1200</f>
        <v>1200</v>
      </c>
      <c r="R244" s="32" t="s">
        <v>883</v>
      </c>
      <c r="S244" s="33">
        <f>1155.9</f>
        <v>1155.9000000000001</v>
      </c>
      <c r="T244" s="30">
        <f>355457</f>
        <v>355457</v>
      </c>
      <c r="U244" s="30" t="str">
        <f>"－"</f>
        <v>－</v>
      </c>
      <c r="V244" s="30">
        <f>404957651</f>
        <v>404957651</v>
      </c>
      <c r="W244" s="30" t="str">
        <f>"－"</f>
        <v>－</v>
      </c>
      <c r="X244" s="34">
        <f>20</f>
        <v>20</v>
      </c>
    </row>
    <row r="245" spans="1:24" x14ac:dyDescent="0.15">
      <c r="A245" s="25" t="s">
        <v>1128</v>
      </c>
      <c r="B245" s="25" t="s">
        <v>985</v>
      </c>
      <c r="C245" s="25" t="s">
        <v>986</v>
      </c>
      <c r="D245" s="25" t="s">
        <v>987</v>
      </c>
      <c r="E245" s="26" t="s">
        <v>43</v>
      </c>
      <c r="F245" s="27" t="s">
        <v>43</v>
      </c>
      <c r="G245" s="28" t="s">
        <v>43</v>
      </c>
      <c r="H245" s="29"/>
      <c r="I245" s="29" t="s">
        <v>44</v>
      </c>
      <c r="J245" s="30">
        <v>1</v>
      </c>
      <c r="K245" s="31">
        <f>1082</f>
        <v>1082</v>
      </c>
      <c r="L245" s="32" t="s">
        <v>1110</v>
      </c>
      <c r="M245" s="31">
        <f>1125</f>
        <v>1125</v>
      </c>
      <c r="N245" s="32" t="s">
        <v>883</v>
      </c>
      <c r="O245" s="31">
        <f>1070</f>
        <v>1070</v>
      </c>
      <c r="P245" s="32" t="s">
        <v>684</v>
      </c>
      <c r="Q245" s="31">
        <f>1124</f>
        <v>1124</v>
      </c>
      <c r="R245" s="32" t="s">
        <v>883</v>
      </c>
      <c r="S245" s="33">
        <f>1093.75</f>
        <v>1093.75</v>
      </c>
      <c r="T245" s="30">
        <f>611796</f>
        <v>611796</v>
      </c>
      <c r="U245" s="30" t="str">
        <f>"－"</f>
        <v>－</v>
      </c>
      <c r="V245" s="30">
        <f>662382786</f>
        <v>662382786</v>
      </c>
      <c r="W245" s="30" t="str">
        <f>"－"</f>
        <v>－</v>
      </c>
      <c r="X245" s="34">
        <f>20</f>
        <v>20</v>
      </c>
    </row>
    <row r="246" spans="1:24" x14ac:dyDescent="0.15">
      <c r="A246" s="25" t="s">
        <v>1128</v>
      </c>
      <c r="B246" s="25" t="s">
        <v>988</v>
      </c>
      <c r="C246" s="25" t="s">
        <v>989</v>
      </c>
      <c r="D246" s="25" t="s">
        <v>990</v>
      </c>
      <c r="E246" s="26" t="s">
        <v>43</v>
      </c>
      <c r="F246" s="27" t="s">
        <v>43</v>
      </c>
      <c r="G246" s="28" t="s">
        <v>43</v>
      </c>
      <c r="H246" s="29"/>
      <c r="I246" s="29" t="s">
        <v>44</v>
      </c>
      <c r="J246" s="30">
        <v>1</v>
      </c>
      <c r="K246" s="31">
        <f>758</f>
        <v>758</v>
      </c>
      <c r="L246" s="32" t="s">
        <v>1110</v>
      </c>
      <c r="M246" s="31">
        <f>841</f>
        <v>841</v>
      </c>
      <c r="N246" s="32" t="s">
        <v>1112</v>
      </c>
      <c r="O246" s="31">
        <f>736</f>
        <v>736</v>
      </c>
      <c r="P246" s="32" t="s">
        <v>1113</v>
      </c>
      <c r="Q246" s="31">
        <f>786</f>
        <v>786</v>
      </c>
      <c r="R246" s="32" t="s">
        <v>883</v>
      </c>
      <c r="S246" s="33">
        <f>789.55</f>
        <v>789.55</v>
      </c>
      <c r="T246" s="30">
        <f>425311</f>
        <v>425311</v>
      </c>
      <c r="U246" s="30">
        <f>150</f>
        <v>150</v>
      </c>
      <c r="V246" s="30">
        <f>332293349</f>
        <v>332293349</v>
      </c>
      <c r="W246" s="30">
        <f>115200</f>
        <v>115200</v>
      </c>
      <c r="X246" s="34">
        <f>20</f>
        <v>20</v>
      </c>
    </row>
    <row r="247" spans="1:24" x14ac:dyDescent="0.15">
      <c r="A247" s="25" t="s">
        <v>1128</v>
      </c>
      <c r="B247" s="25" t="s">
        <v>1059</v>
      </c>
      <c r="C247" s="25" t="s">
        <v>1060</v>
      </c>
      <c r="D247" s="25" t="s">
        <v>1061</v>
      </c>
      <c r="E247" s="26" t="s">
        <v>43</v>
      </c>
      <c r="F247" s="27" t="s">
        <v>43</v>
      </c>
      <c r="G247" s="28" t="s">
        <v>43</v>
      </c>
      <c r="H247" s="29"/>
      <c r="I247" s="29" t="s">
        <v>44</v>
      </c>
      <c r="J247" s="30">
        <v>10</v>
      </c>
      <c r="K247" s="31">
        <f>212</f>
        <v>212</v>
      </c>
      <c r="L247" s="32" t="s">
        <v>1110</v>
      </c>
      <c r="M247" s="31">
        <f>218.2</f>
        <v>218.2</v>
      </c>
      <c r="N247" s="32" t="s">
        <v>674</v>
      </c>
      <c r="O247" s="31">
        <f>207.7</f>
        <v>207.7</v>
      </c>
      <c r="P247" s="32" t="s">
        <v>875</v>
      </c>
      <c r="Q247" s="31">
        <f>216.1</f>
        <v>216.1</v>
      </c>
      <c r="R247" s="32" t="s">
        <v>883</v>
      </c>
      <c r="S247" s="33">
        <f>213.1</f>
        <v>213.1</v>
      </c>
      <c r="T247" s="30">
        <f>8010260</f>
        <v>8010260</v>
      </c>
      <c r="U247" s="30">
        <f>10</f>
        <v>10</v>
      </c>
      <c r="V247" s="30">
        <f>1701393645</f>
        <v>1701393645</v>
      </c>
      <c r="W247" s="30">
        <f>2096</f>
        <v>2096</v>
      </c>
      <c r="X247" s="34">
        <f>20</f>
        <v>20</v>
      </c>
    </row>
    <row r="248" spans="1:24" x14ac:dyDescent="0.15">
      <c r="A248" s="25" t="s">
        <v>1128</v>
      </c>
      <c r="B248" s="25" t="s">
        <v>1062</v>
      </c>
      <c r="C248" s="25" t="s">
        <v>1063</v>
      </c>
      <c r="D248" s="25" t="s">
        <v>1064</v>
      </c>
      <c r="E248" s="26" t="s">
        <v>43</v>
      </c>
      <c r="F248" s="27" t="s">
        <v>43</v>
      </c>
      <c r="G248" s="28" t="s">
        <v>43</v>
      </c>
      <c r="H248" s="29"/>
      <c r="I248" s="29" t="s">
        <v>44</v>
      </c>
      <c r="J248" s="30">
        <v>10</v>
      </c>
      <c r="K248" s="31">
        <f>206.2</f>
        <v>206.2</v>
      </c>
      <c r="L248" s="32" t="s">
        <v>1110</v>
      </c>
      <c r="M248" s="31">
        <f>213.9</f>
        <v>213.9</v>
      </c>
      <c r="N248" s="32" t="s">
        <v>883</v>
      </c>
      <c r="O248" s="31">
        <f>204</f>
        <v>204</v>
      </c>
      <c r="P248" s="32" t="s">
        <v>677</v>
      </c>
      <c r="Q248" s="31">
        <f>213</f>
        <v>213</v>
      </c>
      <c r="R248" s="32" t="s">
        <v>883</v>
      </c>
      <c r="S248" s="33">
        <f>207.33</f>
        <v>207.33</v>
      </c>
      <c r="T248" s="30">
        <f>1251630</f>
        <v>1251630</v>
      </c>
      <c r="U248" s="30">
        <f>10</f>
        <v>10</v>
      </c>
      <c r="V248" s="30">
        <f>258071177</f>
        <v>258071177</v>
      </c>
      <c r="W248" s="30">
        <f>2062</f>
        <v>2062</v>
      </c>
      <c r="X248" s="34">
        <f>20</f>
        <v>20</v>
      </c>
    </row>
    <row r="249" spans="1:24" x14ac:dyDescent="0.15">
      <c r="A249" s="25" t="s">
        <v>1128</v>
      </c>
      <c r="B249" s="25" t="s">
        <v>1065</v>
      </c>
      <c r="C249" s="25" t="s">
        <v>1066</v>
      </c>
      <c r="D249" s="25" t="s">
        <v>1067</v>
      </c>
      <c r="E249" s="26" t="s">
        <v>43</v>
      </c>
      <c r="F249" s="27" t="s">
        <v>43</v>
      </c>
      <c r="G249" s="28" t="s">
        <v>43</v>
      </c>
      <c r="H249" s="29"/>
      <c r="I249" s="29" t="s">
        <v>44</v>
      </c>
      <c r="J249" s="30">
        <v>10</v>
      </c>
      <c r="K249" s="31">
        <f>207.3</f>
        <v>207.3</v>
      </c>
      <c r="L249" s="32" t="s">
        <v>1110</v>
      </c>
      <c r="M249" s="31">
        <f>212.9</f>
        <v>212.9</v>
      </c>
      <c r="N249" s="32" t="s">
        <v>883</v>
      </c>
      <c r="O249" s="31">
        <f>205.1</f>
        <v>205.1</v>
      </c>
      <c r="P249" s="32" t="s">
        <v>684</v>
      </c>
      <c r="Q249" s="31">
        <f>211.6</f>
        <v>211.6</v>
      </c>
      <c r="R249" s="32" t="s">
        <v>883</v>
      </c>
      <c r="S249" s="33">
        <f>208.43</f>
        <v>208.43</v>
      </c>
      <c r="T249" s="30">
        <f>590550</f>
        <v>590550</v>
      </c>
      <c r="U249" s="30">
        <f>500</f>
        <v>500</v>
      </c>
      <c r="V249" s="30">
        <f>123079544</f>
        <v>123079544</v>
      </c>
      <c r="W249" s="30">
        <f>99667</f>
        <v>99667</v>
      </c>
      <c r="X249" s="34">
        <f>20</f>
        <v>20</v>
      </c>
    </row>
    <row r="250" spans="1:24" x14ac:dyDescent="0.15">
      <c r="A250" s="25" t="s">
        <v>1128</v>
      </c>
      <c r="B250" s="25" t="s">
        <v>1068</v>
      </c>
      <c r="C250" s="25" t="s">
        <v>1069</v>
      </c>
      <c r="D250" s="25" t="s">
        <v>1070</v>
      </c>
      <c r="E250" s="26" t="s">
        <v>43</v>
      </c>
      <c r="F250" s="27" t="s">
        <v>43</v>
      </c>
      <c r="G250" s="28" t="s">
        <v>43</v>
      </c>
      <c r="H250" s="29"/>
      <c r="I250" s="29" t="s">
        <v>44</v>
      </c>
      <c r="J250" s="30">
        <v>10</v>
      </c>
      <c r="K250" s="31">
        <f>208.8</f>
        <v>208.8</v>
      </c>
      <c r="L250" s="32" t="s">
        <v>1110</v>
      </c>
      <c r="M250" s="31">
        <f>217.5</f>
        <v>217.5</v>
      </c>
      <c r="N250" s="32" t="s">
        <v>674</v>
      </c>
      <c r="O250" s="31">
        <f>205</f>
        <v>205</v>
      </c>
      <c r="P250" s="32" t="s">
        <v>684</v>
      </c>
      <c r="Q250" s="31">
        <f>213.2</f>
        <v>213.2</v>
      </c>
      <c r="R250" s="32" t="s">
        <v>883</v>
      </c>
      <c r="S250" s="33">
        <f>209.59</f>
        <v>209.59</v>
      </c>
      <c r="T250" s="30">
        <f>676000</f>
        <v>676000</v>
      </c>
      <c r="U250" s="30">
        <f>15340</f>
        <v>15340</v>
      </c>
      <c r="V250" s="30">
        <f>141076537</f>
        <v>141076537</v>
      </c>
      <c r="W250" s="30">
        <f>3004479</f>
        <v>3004479</v>
      </c>
      <c r="X250" s="34">
        <f>20</f>
        <v>20</v>
      </c>
    </row>
    <row r="251" spans="1:24" x14ac:dyDescent="0.15">
      <c r="A251" s="25" t="s">
        <v>1128</v>
      </c>
      <c r="B251" s="25" t="s">
        <v>1071</v>
      </c>
      <c r="C251" s="25" t="s">
        <v>1072</v>
      </c>
      <c r="D251" s="25" t="s">
        <v>1073</v>
      </c>
      <c r="E251" s="26" t="s">
        <v>43</v>
      </c>
      <c r="F251" s="27" t="s">
        <v>43</v>
      </c>
      <c r="G251" s="28" t="s">
        <v>43</v>
      </c>
      <c r="H251" s="29"/>
      <c r="I251" s="29" t="s">
        <v>44</v>
      </c>
      <c r="J251" s="30">
        <v>10</v>
      </c>
      <c r="K251" s="31">
        <f>202.6</f>
        <v>202.6</v>
      </c>
      <c r="L251" s="32" t="s">
        <v>675</v>
      </c>
      <c r="M251" s="31">
        <f>208</f>
        <v>208</v>
      </c>
      <c r="N251" s="32" t="s">
        <v>875</v>
      </c>
      <c r="O251" s="31">
        <f>202.6</f>
        <v>202.6</v>
      </c>
      <c r="P251" s="32" t="s">
        <v>675</v>
      </c>
      <c r="Q251" s="31">
        <f>204.3</f>
        <v>204.3</v>
      </c>
      <c r="R251" s="32" t="s">
        <v>1114</v>
      </c>
      <c r="S251" s="33">
        <f>204.19</f>
        <v>204.19</v>
      </c>
      <c r="T251" s="30">
        <f>1265980</f>
        <v>1265980</v>
      </c>
      <c r="U251" s="30">
        <f>1262470</f>
        <v>1262470</v>
      </c>
      <c r="V251" s="30">
        <f>257849819</f>
        <v>257849819</v>
      </c>
      <c r="W251" s="30">
        <f>257134680</f>
        <v>257134680</v>
      </c>
      <c r="X251" s="34">
        <f>14</f>
        <v>14</v>
      </c>
    </row>
    <row r="252" spans="1:24" x14ac:dyDescent="0.15">
      <c r="A252" s="25" t="s">
        <v>1128</v>
      </c>
      <c r="B252" s="25" t="s">
        <v>539</v>
      </c>
      <c r="C252" s="25" t="s">
        <v>540</v>
      </c>
      <c r="D252" s="25" t="s">
        <v>541</v>
      </c>
      <c r="E252" s="26" t="s">
        <v>43</v>
      </c>
      <c r="F252" s="27" t="s">
        <v>43</v>
      </c>
      <c r="G252" s="28" t="s">
        <v>43</v>
      </c>
      <c r="H252" s="29"/>
      <c r="I252" s="29" t="s">
        <v>44</v>
      </c>
      <c r="J252" s="30">
        <v>10</v>
      </c>
      <c r="K252" s="31">
        <f>930</f>
        <v>930</v>
      </c>
      <c r="L252" s="32" t="s">
        <v>1110</v>
      </c>
      <c r="M252" s="31">
        <f>936.4</f>
        <v>936.4</v>
      </c>
      <c r="N252" s="32" t="s">
        <v>674</v>
      </c>
      <c r="O252" s="31">
        <f>921.3</f>
        <v>921.3</v>
      </c>
      <c r="P252" s="32" t="s">
        <v>875</v>
      </c>
      <c r="Q252" s="31">
        <f>926</f>
        <v>926</v>
      </c>
      <c r="R252" s="32" t="s">
        <v>883</v>
      </c>
      <c r="S252" s="33">
        <f>927.24</f>
        <v>927.24</v>
      </c>
      <c r="T252" s="30">
        <f>3394310</f>
        <v>3394310</v>
      </c>
      <c r="U252" s="30">
        <f>2711900</f>
        <v>2711900</v>
      </c>
      <c r="V252" s="30">
        <f>3144361386</f>
        <v>3144361386</v>
      </c>
      <c r="W252" s="30">
        <f>2511317109</f>
        <v>2511317109</v>
      </c>
      <c r="X252" s="34">
        <f>20</f>
        <v>20</v>
      </c>
    </row>
    <row r="253" spans="1:24" x14ac:dyDescent="0.15">
      <c r="A253" s="25" t="s">
        <v>1128</v>
      </c>
      <c r="B253" s="25" t="s">
        <v>542</v>
      </c>
      <c r="C253" s="25" t="s">
        <v>543</v>
      </c>
      <c r="D253" s="25" t="s">
        <v>544</v>
      </c>
      <c r="E253" s="26" t="s">
        <v>43</v>
      </c>
      <c r="F253" s="27" t="s">
        <v>43</v>
      </c>
      <c r="G253" s="28" t="s">
        <v>43</v>
      </c>
      <c r="H253" s="29"/>
      <c r="I253" s="29" t="s">
        <v>44</v>
      </c>
      <c r="J253" s="30">
        <v>10</v>
      </c>
      <c r="K253" s="31">
        <f>1083.5</f>
        <v>1083.5</v>
      </c>
      <c r="L253" s="32" t="s">
        <v>1110</v>
      </c>
      <c r="M253" s="31">
        <f>1130</f>
        <v>1130</v>
      </c>
      <c r="N253" s="32" t="s">
        <v>1124</v>
      </c>
      <c r="O253" s="31">
        <f>1058</f>
        <v>1058</v>
      </c>
      <c r="P253" s="32" t="s">
        <v>875</v>
      </c>
      <c r="Q253" s="31">
        <f>1084</f>
        <v>1084</v>
      </c>
      <c r="R253" s="32" t="s">
        <v>883</v>
      </c>
      <c r="S253" s="33">
        <f>1077.38</f>
        <v>1077.3800000000001</v>
      </c>
      <c r="T253" s="30">
        <f>1301900</f>
        <v>1301900</v>
      </c>
      <c r="U253" s="30">
        <f>458200</f>
        <v>458200</v>
      </c>
      <c r="V253" s="30">
        <f>1398597141</f>
        <v>1398597141</v>
      </c>
      <c r="W253" s="30">
        <f>492641516</f>
        <v>492641516</v>
      </c>
      <c r="X253" s="34">
        <f>20</f>
        <v>20</v>
      </c>
    </row>
    <row r="254" spans="1:24" x14ac:dyDescent="0.15">
      <c r="A254" s="25" t="s">
        <v>1128</v>
      </c>
      <c r="B254" s="25" t="s">
        <v>545</v>
      </c>
      <c r="C254" s="25" t="s">
        <v>546</v>
      </c>
      <c r="D254" s="25" t="s">
        <v>547</v>
      </c>
      <c r="E254" s="26" t="s">
        <v>43</v>
      </c>
      <c r="F254" s="27" t="s">
        <v>43</v>
      </c>
      <c r="G254" s="28" t="s">
        <v>43</v>
      </c>
      <c r="H254" s="29"/>
      <c r="I254" s="29" t="s">
        <v>44</v>
      </c>
      <c r="J254" s="30">
        <v>10</v>
      </c>
      <c r="K254" s="31">
        <f>798.3</f>
        <v>798.3</v>
      </c>
      <c r="L254" s="32" t="s">
        <v>1110</v>
      </c>
      <c r="M254" s="31">
        <f>799.9</f>
        <v>799.9</v>
      </c>
      <c r="N254" s="32" t="s">
        <v>675</v>
      </c>
      <c r="O254" s="31">
        <f>782.1</f>
        <v>782.1</v>
      </c>
      <c r="P254" s="32" t="s">
        <v>680</v>
      </c>
      <c r="Q254" s="31">
        <f>789.8</f>
        <v>789.8</v>
      </c>
      <c r="R254" s="32" t="s">
        <v>883</v>
      </c>
      <c r="S254" s="33">
        <f>791.01</f>
        <v>791.01</v>
      </c>
      <c r="T254" s="30">
        <f>5057100</f>
        <v>5057100</v>
      </c>
      <c r="U254" s="30">
        <f>4778870</f>
        <v>4778870</v>
      </c>
      <c r="V254" s="30">
        <f>3984042033</f>
        <v>3984042033</v>
      </c>
      <c r="W254" s="30">
        <f>3764430308</f>
        <v>3764430308</v>
      </c>
      <c r="X254" s="34">
        <f>20</f>
        <v>20</v>
      </c>
    </row>
    <row r="255" spans="1:24" x14ac:dyDescent="0.15">
      <c r="A255" s="25" t="s">
        <v>1128</v>
      </c>
      <c r="B255" s="25" t="s">
        <v>548</v>
      </c>
      <c r="C255" s="25" t="s">
        <v>549</v>
      </c>
      <c r="D255" s="25" t="s">
        <v>550</v>
      </c>
      <c r="E255" s="26" t="s">
        <v>43</v>
      </c>
      <c r="F255" s="27" t="s">
        <v>43</v>
      </c>
      <c r="G255" s="28" t="s">
        <v>43</v>
      </c>
      <c r="H255" s="29"/>
      <c r="I255" s="29" t="s">
        <v>44</v>
      </c>
      <c r="J255" s="30">
        <v>10</v>
      </c>
      <c r="K255" s="31">
        <f>2291</f>
        <v>2291</v>
      </c>
      <c r="L255" s="32" t="s">
        <v>1110</v>
      </c>
      <c r="M255" s="31">
        <f>2374.5</f>
        <v>2374.5</v>
      </c>
      <c r="N255" s="32" t="s">
        <v>874</v>
      </c>
      <c r="O255" s="31">
        <f>2246</f>
        <v>2246</v>
      </c>
      <c r="P255" s="32" t="s">
        <v>684</v>
      </c>
      <c r="Q255" s="31">
        <f>2365</f>
        <v>2365</v>
      </c>
      <c r="R255" s="32" t="s">
        <v>883</v>
      </c>
      <c r="S255" s="33">
        <f>2314.2</f>
        <v>2314.1999999999998</v>
      </c>
      <c r="T255" s="30">
        <f>725740</f>
        <v>725740</v>
      </c>
      <c r="U255" s="30">
        <f>379850</f>
        <v>379850</v>
      </c>
      <c r="V255" s="30">
        <f>1696088276</f>
        <v>1696088276</v>
      </c>
      <c r="W255" s="30">
        <f>893048161</f>
        <v>893048161</v>
      </c>
      <c r="X255" s="34">
        <f>20</f>
        <v>20</v>
      </c>
    </row>
    <row r="256" spans="1:24" x14ac:dyDescent="0.15">
      <c r="A256" s="25" t="s">
        <v>1128</v>
      </c>
      <c r="B256" s="25" t="s">
        <v>551</v>
      </c>
      <c r="C256" s="25" t="s">
        <v>552</v>
      </c>
      <c r="D256" s="25" t="s">
        <v>553</v>
      </c>
      <c r="E256" s="26" t="s">
        <v>43</v>
      </c>
      <c r="F256" s="27" t="s">
        <v>43</v>
      </c>
      <c r="G256" s="28" t="s">
        <v>43</v>
      </c>
      <c r="H256" s="29"/>
      <c r="I256" s="29" t="s">
        <v>44</v>
      </c>
      <c r="J256" s="30">
        <v>10</v>
      </c>
      <c r="K256" s="31">
        <f>1532.5</f>
        <v>1532.5</v>
      </c>
      <c r="L256" s="32" t="s">
        <v>1110</v>
      </c>
      <c r="M256" s="31">
        <f>1567</f>
        <v>1567</v>
      </c>
      <c r="N256" s="32" t="s">
        <v>883</v>
      </c>
      <c r="O256" s="31">
        <f>1514</f>
        <v>1514</v>
      </c>
      <c r="P256" s="32" t="s">
        <v>1124</v>
      </c>
      <c r="Q256" s="31">
        <f>1561.5</f>
        <v>1561.5</v>
      </c>
      <c r="R256" s="32" t="s">
        <v>883</v>
      </c>
      <c r="S256" s="33">
        <f>1545.43</f>
        <v>1545.43</v>
      </c>
      <c r="T256" s="30">
        <f>123030</f>
        <v>123030</v>
      </c>
      <c r="U256" s="30">
        <f>4680</f>
        <v>4680</v>
      </c>
      <c r="V256" s="30">
        <f>190561139</f>
        <v>190561139</v>
      </c>
      <c r="W256" s="30">
        <f>7244034</f>
        <v>7244034</v>
      </c>
      <c r="X256" s="34">
        <f>20</f>
        <v>20</v>
      </c>
    </row>
    <row r="257" spans="1:24" x14ac:dyDescent="0.15">
      <c r="A257" s="25" t="s">
        <v>1128</v>
      </c>
      <c r="B257" s="25" t="s">
        <v>554</v>
      </c>
      <c r="C257" s="25" t="s">
        <v>555</v>
      </c>
      <c r="D257" s="25" t="s">
        <v>556</v>
      </c>
      <c r="E257" s="26" t="s">
        <v>43</v>
      </c>
      <c r="F257" s="27" t="s">
        <v>43</v>
      </c>
      <c r="G257" s="28" t="s">
        <v>43</v>
      </c>
      <c r="H257" s="29"/>
      <c r="I257" s="29" t="s">
        <v>44</v>
      </c>
      <c r="J257" s="30">
        <v>10</v>
      </c>
      <c r="K257" s="31">
        <f>1321.5</f>
        <v>1321.5</v>
      </c>
      <c r="L257" s="32" t="s">
        <v>1110</v>
      </c>
      <c r="M257" s="31">
        <f>1357</f>
        <v>1357</v>
      </c>
      <c r="N257" s="32" t="s">
        <v>883</v>
      </c>
      <c r="O257" s="31">
        <f>1295.5</f>
        <v>1295.5</v>
      </c>
      <c r="P257" s="32" t="s">
        <v>875</v>
      </c>
      <c r="Q257" s="31">
        <f>1350</f>
        <v>1350</v>
      </c>
      <c r="R257" s="32" t="s">
        <v>883</v>
      </c>
      <c r="S257" s="33">
        <f>1323.03</f>
        <v>1323.03</v>
      </c>
      <c r="T257" s="30">
        <f>444440</f>
        <v>444440</v>
      </c>
      <c r="U257" s="30">
        <f>60760</f>
        <v>60760</v>
      </c>
      <c r="V257" s="30">
        <f>587119355</f>
        <v>587119355</v>
      </c>
      <c r="W257" s="30">
        <f>79652950</f>
        <v>79652950</v>
      </c>
      <c r="X257" s="34">
        <f>20</f>
        <v>20</v>
      </c>
    </row>
    <row r="258" spans="1:24" x14ac:dyDescent="0.15">
      <c r="A258" s="25" t="s">
        <v>1128</v>
      </c>
      <c r="B258" s="25" t="s">
        <v>557</v>
      </c>
      <c r="C258" s="25" t="s">
        <v>1074</v>
      </c>
      <c r="D258" s="25" t="s">
        <v>1075</v>
      </c>
      <c r="E258" s="26" t="s">
        <v>43</v>
      </c>
      <c r="F258" s="27" t="s">
        <v>43</v>
      </c>
      <c r="G258" s="28" t="s">
        <v>43</v>
      </c>
      <c r="H258" s="29"/>
      <c r="I258" s="29" t="s">
        <v>44</v>
      </c>
      <c r="J258" s="30">
        <v>10</v>
      </c>
      <c r="K258" s="31">
        <f>604.7</f>
        <v>604.70000000000005</v>
      </c>
      <c r="L258" s="32" t="s">
        <v>1110</v>
      </c>
      <c r="M258" s="31">
        <f>611.8</f>
        <v>611.79999999999995</v>
      </c>
      <c r="N258" s="32" t="s">
        <v>1115</v>
      </c>
      <c r="O258" s="31">
        <f>559.1</f>
        <v>559.1</v>
      </c>
      <c r="P258" s="32" t="s">
        <v>875</v>
      </c>
      <c r="Q258" s="31">
        <f>579</f>
        <v>579</v>
      </c>
      <c r="R258" s="32" t="s">
        <v>883</v>
      </c>
      <c r="S258" s="33">
        <f>583.44</f>
        <v>583.44000000000005</v>
      </c>
      <c r="T258" s="30">
        <f>30412050</f>
        <v>30412050</v>
      </c>
      <c r="U258" s="30">
        <f>310040</f>
        <v>310040</v>
      </c>
      <c r="V258" s="30">
        <f>17762909794</f>
        <v>17762909794</v>
      </c>
      <c r="W258" s="30">
        <f>188360680</f>
        <v>188360680</v>
      </c>
      <c r="X258" s="34">
        <f>20</f>
        <v>20</v>
      </c>
    </row>
    <row r="259" spans="1:24" x14ac:dyDescent="0.15">
      <c r="A259" s="25" t="s">
        <v>1128</v>
      </c>
      <c r="B259" s="25" t="s">
        <v>558</v>
      </c>
      <c r="C259" s="25" t="s">
        <v>559</v>
      </c>
      <c r="D259" s="25" t="s">
        <v>560</v>
      </c>
      <c r="E259" s="26" t="s">
        <v>43</v>
      </c>
      <c r="F259" s="27" t="s">
        <v>43</v>
      </c>
      <c r="G259" s="28" t="s">
        <v>43</v>
      </c>
      <c r="H259" s="29"/>
      <c r="I259" s="29" t="s">
        <v>44</v>
      </c>
      <c r="J259" s="30">
        <v>10</v>
      </c>
      <c r="K259" s="31">
        <f>1028.5</f>
        <v>1028.5</v>
      </c>
      <c r="L259" s="32" t="s">
        <v>1110</v>
      </c>
      <c r="M259" s="31">
        <f>1110</f>
        <v>1110</v>
      </c>
      <c r="N259" s="32" t="s">
        <v>1114</v>
      </c>
      <c r="O259" s="31">
        <f>1000</f>
        <v>1000</v>
      </c>
      <c r="P259" s="32" t="s">
        <v>1123</v>
      </c>
      <c r="Q259" s="31">
        <f>1091</f>
        <v>1091</v>
      </c>
      <c r="R259" s="32" t="s">
        <v>883</v>
      </c>
      <c r="S259" s="33">
        <f>1051.35</f>
        <v>1051.3499999999999</v>
      </c>
      <c r="T259" s="30">
        <f>4476280</f>
        <v>4476280</v>
      </c>
      <c r="U259" s="30">
        <f>4264690</f>
        <v>4264690</v>
      </c>
      <c r="V259" s="30">
        <f>4725294185</f>
        <v>4725294185</v>
      </c>
      <c r="W259" s="30">
        <f>4503064120</f>
        <v>4503064120</v>
      </c>
      <c r="X259" s="34">
        <f>20</f>
        <v>20</v>
      </c>
    </row>
    <row r="260" spans="1:24" x14ac:dyDescent="0.15">
      <c r="A260" s="25" t="s">
        <v>1128</v>
      </c>
      <c r="B260" s="25" t="s">
        <v>561</v>
      </c>
      <c r="C260" s="25" t="s">
        <v>562</v>
      </c>
      <c r="D260" s="25" t="s">
        <v>563</v>
      </c>
      <c r="E260" s="26" t="s">
        <v>43</v>
      </c>
      <c r="F260" s="27" t="s">
        <v>43</v>
      </c>
      <c r="G260" s="28" t="s">
        <v>43</v>
      </c>
      <c r="H260" s="29"/>
      <c r="I260" s="29" t="s">
        <v>44</v>
      </c>
      <c r="J260" s="30">
        <v>1</v>
      </c>
      <c r="K260" s="31">
        <f>1494</f>
        <v>1494</v>
      </c>
      <c r="L260" s="32" t="s">
        <v>1110</v>
      </c>
      <c r="M260" s="31">
        <f>1615</f>
        <v>1615</v>
      </c>
      <c r="N260" s="32" t="s">
        <v>1112</v>
      </c>
      <c r="O260" s="31">
        <f>1469</f>
        <v>1469</v>
      </c>
      <c r="P260" s="32" t="s">
        <v>677</v>
      </c>
      <c r="Q260" s="31">
        <f>1560</f>
        <v>1560</v>
      </c>
      <c r="R260" s="32" t="s">
        <v>883</v>
      </c>
      <c r="S260" s="33">
        <f>1527.15</f>
        <v>1527.15</v>
      </c>
      <c r="T260" s="30">
        <f>47902</f>
        <v>47902</v>
      </c>
      <c r="U260" s="30" t="str">
        <f>"－"</f>
        <v>－</v>
      </c>
      <c r="V260" s="30">
        <f>72089538</f>
        <v>72089538</v>
      </c>
      <c r="W260" s="30" t="str">
        <f>"－"</f>
        <v>－</v>
      </c>
      <c r="X260" s="34">
        <f>20</f>
        <v>20</v>
      </c>
    </row>
    <row r="261" spans="1:24" x14ac:dyDescent="0.15">
      <c r="A261" s="25" t="s">
        <v>1128</v>
      </c>
      <c r="B261" s="25" t="s">
        <v>564</v>
      </c>
      <c r="C261" s="25" t="s">
        <v>565</v>
      </c>
      <c r="D261" s="25" t="s">
        <v>566</v>
      </c>
      <c r="E261" s="26" t="s">
        <v>43</v>
      </c>
      <c r="F261" s="27" t="s">
        <v>43</v>
      </c>
      <c r="G261" s="28" t="s">
        <v>43</v>
      </c>
      <c r="H261" s="29"/>
      <c r="I261" s="29" t="s">
        <v>44</v>
      </c>
      <c r="J261" s="30">
        <v>10</v>
      </c>
      <c r="K261" s="31">
        <f>1044.5</f>
        <v>1044.5</v>
      </c>
      <c r="L261" s="32" t="s">
        <v>1110</v>
      </c>
      <c r="M261" s="31">
        <f>1054</f>
        <v>1054</v>
      </c>
      <c r="N261" s="32" t="s">
        <v>675</v>
      </c>
      <c r="O261" s="31">
        <f>1007</f>
        <v>1007</v>
      </c>
      <c r="P261" s="32" t="s">
        <v>677</v>
      </c>
      <c r="Q261" s="31">
        <f>1043</f>
        <v>1043</v>
      </c>
      <c r="R261" s="32" t="s">
        <v>883</v>
      </c>
      <c r="S261" s="33">
        <f>1031.18</f>
        <v>1031.18</v>
      </c>
      <c r="T261" s="30">
        <f>114050</f>
        <v>114050</v>
      </c>
      <c r="U261" s="30" t="str">
        <f>"－"</f>
        <v>－</v>
      </c>
      <c r="V261" s="30">
        <f>118053275</f>
        <v>118053275</v>
      </c>
      <c r="W261" s="30" t="str">
        <f>"－"</f>
        <v>－</v>
      </c>
      <c r="X261" s="34">
        <f>20</f>
        <v>20</v>
      </c>
    </row>
    <row r="262" spans="1:24" x14ac:dyDescent="0.15">
      <c r="A262" s="25" t="s">
        <v>1128</v>
      </c>
      <c r="B262" s="25" t="s">
        <v>567</v>
      </c>
      <c r="C262" s="25" t="s">
        <v>568</v>
      </c>
      <c r="D262" s="25" t="s">
        <v>569</v>
      </c>
      <c r="E262" s="26" t="s">
        <v>43</v>
      </c>
      <c r="F262" s="27" t="s">
        <v>43</v>
      </c>
      <c r="G262" s="28" t="s">
        <v>43</v>
      </c>
      <c r="H262" s="29"/>
      <c r="I262" s="29" t="s">
        <v>44</v>
      </c>
      <c r="J262" s="30">
        <v>10</v>
      </c>
      <c r="K262" s="31">
        <f>1333</f>
        <v>1333</v>
      </c>
      <c r="L262" s="32" t="s">
        <v>1110</v>
      </c>
      <c r="M262" s="31">
        <f>1390</f>
        <v>1390</v>
      </c>
      <c r="N262" s="32" t="s">
        <v>874</v>
      </c>
      <c r="O262" s="31">
        <f>1315</f>
        <v>1315</v>
      </c>
      <c r="P262" s="32" t="s">
        <v>1110</v>
      </c>
      <c r="Q262" s="31">
        <f>1382</f>
        <v>1382</v>
      </c>
      <c r="R262" s="32" t="s">
        <v>883</v>
      </c>
      <c r="S262" s="33">
        <f>1352.53</f>
        <v>1352.53</v>
      </c>
      <c r="T262" s="30">
        <f>83170</f>
        <v>83170</v>
      </c>
      <c r="U262" s="30" t="str">
        <f>"－"</f>
        <v>－</v>
      </c>
      <c r="V262" s="30">
        <f>112601795</f>
        <v>112601795</v>
      </c>
      <c r="W262" s="30" t="str">
        <f>"－"</f>
        <v>－</v>
      </c>
      <c r="X262" s="34">
        <f>20</f>
        <v>20</v>
      </c>
    </row>
    <row r="263" spans="1:24" x14ac:dyDescent="0.15">
      <c r="A263" s="25" t="s">
        <v>1128</v>
      </c>
      <c r="B263" s="25" t="s">
        <v>570</v>
      </c>
      <c r="C263" s="25" t="s">
        <v>571</v>
      </c>
      <c r="D263" s="25" t="s">
        <v>572</v>
      </c>
      <c r="E263" s="26" t="s">
        <v>43</v>
      </c>
      <c r="F263" s="27" t="s">
        <v>43</v>
      </c>
      <c r="G263" s="28" t="s">
        <v>43</v>
      </c>
      <c r="H263" s="29"/>
      <c r="I263" s="29" t="s">
        <v>44</v>
      </c>
      <c r="J263" s="30">
        <v>10</v>
      </c>
      <c r="K263" s="31">
        <f>1599</f>
        <v>1599</v>
      </c>
      <c r="L263" s="32" t="s">
        <v>1110</v>
      </c>
      <c r="M263" s="31">
        <f>1650</f>
        <v>1650</v>
      </c>
      <c r="N263" s="32" t="s">
        <v>1112</v>
      </c>
      <c r="O263" s="31">
        <f>1595</f>
        <v>1595</v>
      </c>
      <c r="P263" s="32" t="s">
        <v>1124</v>
      </c>
      <c r="Q263" s="31">
        <f>1650</f>
        <v>1650</v>
      </c>
      <c r="R263" s="32" t="s">
        <v>883</v>
      </c>
      <c r="S263" s="33">
        <f>1622.83</f>
        <v>1622.83</v>
      </c>
      <c r="T263" s="30">
        <f>2894150</f>
        <v>2894150</v>
      </c>
      <c r="U263" s="30">
        <f>1456410</f>
        <v>1456410</v>
      </c>
      <c r="V263" s="30">
        <f>4688522705</f>
        <v>4688522705</v>
      </c>
      <c r="W263" s="30">
        <f>2352386935</f>
        <v>2352386935</v>
      </c>
      <c r="X263" s="34">
        <f>20</f>
        <v>20</v>
      </c>
    </row>
    <row r="264" spans="1:24" x14ac:dyDescent="0.15">
      <c r="A264" s="25" t="s">
        <v>1128</v>
      </c>
      <c r="B264" s="25" t="s">
        <v>573</v>
      </c>
      <c r="C264" s="25" t="s">
        <v>574</v>
      </c>
      <c r="D264" s="25" t="s">
        <v>575</v>
      </c>
      <c r="E264" s="26" t="s">
        <v>43</v>
      </c>
      <c r="F264" s="27" t="s">
        <v>43</v>
      </c>
      <c r="G264" s="28" t="s">
        <v>43</v>
      </c>
      <c r="H264" s="29"/>
      <c r="I264" s="29" t="s">
        <v>44</v>
      </c>
      <c r="J264" s="30">
        <v>1</v>
      </c>
      <c r="K264" s="31">
        <f>5370</f>
        <v>5370</v>
      </c>
      <c r="L264" s="32" t="s">
        <v>1110</v>
      </c>
      <c r="M264" s="31">
        <f>5520</f>
        <v>5520</v>
      </c>
      <c r="N264" s="32" t="s">
        <v>874</v>
      </c>
      <c r="O264" s="31">
        <f>5280</f>
        <v>5280</v>
      </c>
      <c r="P264" s="32" t="s">
        <v>875</v>
      </c>
      <c r="Q264" s="31">
        <f>5500</f>
        <v>5500</v>
      </c>
      <c r="R264" s="32" t="s">
        <v>883</v>
      </c>
      <c r="S264" s="33">
        <f>5419</f>
        <v>5419</v>
      </c>
      <c r="T264" s="30">
        <f>32558</f>
        <v>32558</v>
      </c>
      <c r="U264" s="30" t="str">
        <f>"－"</f>
        <v>－</v>
      </c>
      <c r="V264" s="30">
        <f>175347240</f>
        <v>175347240</v>
      </c>
      <c r="W264" s="30" t="str">
        <f>"－"</f>
        <v>－</v>
      </c>
      <c r="X264" s="34">
        <f>20</f>
        <v>20</v>
      </c>
    </row>
    <row r="265" spans="1:24" x14ac:dyDescent="0.15">
      <c r="A265" s="25" t="s">
        <v>1128</v>
      </c>
      <c r="B265" s="25" t="s">
        <v>576</v>
      </c>
      <c r="C265" s="25" t="s">
        <v>577</v>
      </c>
      <c r="D265" s="25" t="s">
        <v>578</v>
      </c>
      <c r="E265" s="26" t="s">
        <v>43</v>
      </c>
      <c r="F265" s="27" t="s">
        <v>43</v>
      </c>
      <c r="G265" s="28" t="s">
        <v>43</v>
      </c>
      <c r="H265" s="29"/>
      <c r="I265" s="29" t="s">
        <v>44</v>
      </c>
      <c r="J265" s="30">
        <v>10</v>
      </c>
      <c r="K265" s="31">
        <f>2121.5</f>
        <v>2121.5</v>
      </c>
      <c r="L265" s="32" t="s">
        <v>1110</v>
      </c>
      <c r="M265" s="31">
        <f>2432</f>
        <v>2432</v>
      </c>
      <c r="N265" s="32" t="s">
        <v>676</v>
      </c>
      <c r="O265" s="31">
        <f>2113.5</f>
        <v>2113.5</v>
      </c>
      <c r="P265" s="32" t="s">
        <v>684</v>
      </c>
      <c r="Q265" s="31">
        <f>2325</f>
        <v>2325</v>
      </c>
      <c r="R265" s="32" t="s">
        <v>883</v>
      </c>
      <c r="S265" s="33">
        <f>2251.62</f>
        <v>2251.62</v>
      </c>
      <c r="T265" s="30">
        <f>2760</f>
        <v>2760</v>
      </c>
      <c r="U265" s="30" t="str">
        <f>"－"</f>
        <v>－</v>
      </c>
      <c r="V265" s="30">
        <f>6318985</f>
        <v>6318985</v>
      </c>
      <c r="W265" s="30" t="str">
        <f>"－"</f>
        <v>－</v>
      </c>
      <c r="X265" s="34">
        <f>13</f>
        <v>13</v>
      </c>
    </row>
    <row r="266" spans="1:24" x14ac:dyDescent="0.15">
      <c r="A266" s="25" t="s">
        <v>1128</v>
      </c>
      <c r="B266" s="25" t="s">
        <v>579</v>
      </c>
      <c r="C266" s="25" t="s">
        <v>580</v>
      </c>
      <c r="D266" s="25" t="s">
        <v>581</v>
      </c>
      <c r="E266" s="26" t="s">
        <v>43</v>
      </c>
      <c r="F266" s="27" t="s">
        <v>43</v>
      </c>
      <c r="G266" s="28" t="s">
        <v>43</v>
      </c>
      <c r="H266" s="29"/>
      <c r="I266" s="29" t="s">
        <v>44</v>
      </c>
      <c r="J266" s="30">
        <v>10</v>
      </c>
      <c r="K266" s="31">
        <f>2733</f>
        <v>2733</v>
      </c>
      <c r="L266" s="32" t="s">
        <v>1110</v>
      </c>
      <c r="M266" s="31">
        <f>2875.5</f>
        <v>2875.5</v>
      </c>
      <c r="N266" s="32" t="s">
        <v>874</v>
      </c>
      <c r="O266" s="31">
        <f>2671</f>
        <v>2671</v>
      </c>
      <c r="P266" s="32" t="s">
        <v>677</v>
      </c>
      <c r="Q266" s="31">
        <f>2846.5</f>
        <v>2846.5</v>
      </c>
      <c r="R266" s="32" t="s">
        <v>883</v>
      </c>
      <c r="S266" s="33">
        <f>2787</f>
        <v>2787</v>
      </c>
      <c r="T266" s="30">
        <f>6810290</f>
        <v>6810290</v>
      </c>
      <c r="U266" s="30">
        <f>5790000</f>
        <v>5790000</v>
      </c>
      <c r="V266" s="30">
        <f>18795508708</f>
        <v>18795508708</v>
      </c>
      <c r="W266" s="30">
        <f>15983030658</f>
        <v>15983030658</v>
      </c>
      <c r="X266" s="34">
        <f>20</f>
        <v>20</v>
      </c>
    </row>
    <row r="267" spans="1:24" x14ac:dyDescent="0.15">
      <c r="A267" s="25" t="s">
        <v>1128</v>
      </c>
      <c r="B267" s="25" t="s">
        <v>582</v>
      </c>
      <c r="C267" s="25" t="s">
        <v>583</v>
      </c>
      <c r="D267" s="25" t="s">
        <v>584</v>
      </c>
      <c r="E267" s="26" t="s">
        <v>43</v>
      </c>
      <c r="F267" s="27" t="s">
        <v>43</v>
      </c>
      <c r="G267" s="28" t="s">
        <v>43</v>
      </c>
      <c r="H267" s="29"/>
      <c r="I267" s="29" t="s">
        <v>44</v>
      </c>
      <c r="J267" s="30">
        <v>1</v>
      </c>
      <c r="K267" s="31">
        <f>39820</f>
        <v>39820</v>
      </c>
      <c r="L267" s="32" t="s">
        <v>1110</v>
      </c>
      <c r="M267" s="31">
        <f>41550</f>
        <v>41550</v>
      </c>
      <c r="N267" s="32" t="s">
        <v>874</v>
      </c>
      <c r="O267" s="31">
        <f>38830</f>
        <v>38830</v>
      </c>
      <c r="P267" s="32" t="s">
        <v>677</v>
      </c>
      <c r="Q267" s="31">
        <f>41070</f>
        <v>41070</v>
      </c>
      <c r="R267" s="32" t="s">
        <v>883</v>
      </c>
      <c r="S267" s="33">
        <f>40354</f>
        <v>40354</v>
      </c>
      <c r="T267" s="30">
        <f>101051</f>
        <v>101051</v>
      </c>
      <c r="U267" s="30">
        <f>38196</f>
        <v>38196</v>
      </c>
      <c r="V267" s="30">
        <f>4002191766</f>
        <v>4002191766</v>
      </c>
      <c r="W267" s="30">
        <f>1499738056</f>
        <v>1499738056</v>
      </c>
      <c r="X267" s="34">
        <f>20</f>
        <v>20</v>
      </c>
    </row>
    <row r="268" spans="1:24" x14ac:dyDescent="0.15">
      <c r="A268" s="25" t="s">
        <v>1128</v>
      </c>
      <c r="B268" s="25" t="s">
        <v>585</v>
      </c>
      <c r="C268" s="25" t="s">
        <v>586</v>
      </c>
      <c r="D268" s="25" t="s">
        <v>587</v>
      </c>
      <c r="E268" s="26" t="s">
        <v>43</v>
      </c>
      <c r="F268" s="27" t="s">
        <v>43</v>
      </c>
      <c r="G268" s="28" t="s">
        <v>43</v>
      </c>
      <c r="H268" s="29"/>
      <c r="I268" s="29" t="s">
        <v>44</v>
      </c>
      <c r="J268" s="30">
        <v>1</v>
      </c>
      <c r="K268" s="31">
        <f>24450</f>
        <v>24450</v>
      </c>
      <c r="L268" s="32" t="s">
        <v>1110</v>
      </c>
      <c r="M268" s="31">
        <f>25980</f>
        <v>25980</v>
      </c>
      <c r="N268" s="32" t="s">
        <v>1111</v>
      </c>
      <c r="O268" s="31">
        <f>24135</f>
        <v>24135</v>
      </c>
      <c r="P268" s="32" t="s">
        <v>677</v>
      </c>
      <c r="Q268" s="31">
        <f>25800</f>
        <v>25800</v>
      </c>
      <c r="R268" s="32" t="s">
        <v>883</v>
      </c>
      <c r="S268" s="33">
        <f>25068.33</f>
        <v>25068.33</v>
      </c>
      <c r="T268" s="30">
        <f>39235</f>
        <v>39235</v>
      </c>
      <c r="U268" s="30">
        <f>17020</f>
        <v>17020</v>
      </c>
      <c r="V268" s="30">
        <f>991614950</f>
        <v>991614950</v>
      </c>
      <c r="W268" s="30">
        <f>433562260</f>
        <v>433562260</v>
      </c>
      <c r="X268" s="34">
        <f>18</f>
        <v>18</v>
      </c>
    </row>
    <row r="269" spans="1:24" x14ac:dyDescent="0.15">
      <c r="A269" s="25" t="s">
        <v>1128</v>
      </c>
      <c r="B269" s="25" t="s">
        <v>588</v>
      </c>
      <c r="C269" s="25" t="s">
        <v>589</v>
      </c>
      <c r="D269" s="25" t="s">
        <v>590</v>
      </c>
      <c r="E269" s="26" t="s">
        <v>43</v>
      </c>
      <c r="F269" s="27" t="s">
        <v>43</v>
      </c>
      <c r="G269" s="28" t="s">
        <v>43</v>
      </c>
      <c r="H269" s="29"/>
      <c r="I269" s="29" t="s">
        <v>44</v>
      </c>
      <c r="J269" s="30">
        <v>10</v>
      </c>
      <c r="K269" s="31">
        <f>1026</f>
        <v>1026</v>
      </c>
      <c r="L269" s="32" t="s">
        <v>1110</v>
      </c>
      <c r="M269" s="31">
        <f>1110</f>
        <v>1110</v>
      </c>
      <c r="N269" s="32" t="s">
        <v>1111</v>
      </c>
      <c r="O269" s="31">
        <f>1011</f>
        <v>1011</v>
      </c>
      <c r="P269" s="32" t="s">
        <v>1123</v>
      </c>
      <c r="Q269" s="31">
        <f>1098</f>
        <v>1098</v>
      </c>
      <c r="R269" s="32" t="s">
        <v>883</v>
      </c>
      <c r="S269" s="33">
        <f>1053.63</f>
        <v>1053.6300000000001</v>
      </c>
      <c r="T269" s="30">
        <f>1582990</f>
        <v>1582990</v>
      </c>
      <c r="U269" s="30">
        <f>1430000</f>
        <v>1430000</v>
      </c>
      <c r="V269" s="30">
        <f>1623883670</f>
        <v>1623883670</v>
      </c>
      <c r="W269" s="30">
        <f>1465673800</f>
        <v>1465673800</v>
      </c>
      <c r="X269" s="34">
        <f>19</f>
        <v>19</v>
      </c>
    </row>
    <row r="270" spans="1:24" x14ac:dyDescent="0.15">
      <c r="A270" s="25" t="s">
        <v>1128</v>
      </c>
      <c r="B270" s="25" t="s">
        <v>591</v>
      </c>
      <c r="C270" s="25" t="s">
        <v>946</v>
      </c>
      <c r="D270" s="25" t="s">
        <v>947</v>
      </c>
      <c r="E270" s="26" t="s">
        <v>43</v>
      </c>
      <c r="F270" s="27" t="s">
        <v>43</v>
      </c>
      <c r="G270" s="28" t="s">
        <v>43</v>
      </c>
      <c r="H270" s="29"/>
      <c r="I270" s="29" t="s">
        <v>44</v>
      </c>
      <c r="J270" s="30">
        <v>10</v>
      </c>
      <c r="K270" s="31">
        <f>1041</f>
        <v>1041</v>
      </c>
      <c r="L270" s="32" t="s">
        <v>1110</v>
      </c>
      <c r="M270" s="31">
        <f>1096</f>
        <v>1096</v>
      </c>
      <c r="N270" s="32" t="s">
        <v>679</v>
      </c>
      <c r="O270" s="31">
        <f>993.1</f>
        <v>993.1</v>
      </c>
      <c r="P270" s="32" t="s">
        <v>1123</v>
      </c>
      <c r="Q270" s="31">
        <f>1079</f>
        <v>1079</v>
      </c>
      <c r="R270" s="32" t="s">
        <v>883</v>
      </c>
      <c r="S270" s="33">
        <f>1045.58</f>
        <v>1045.58</v>
      </c>
      <c r="T270" s="30">
        <f>130040</f>
        <v>130040</v>
      </c>
      <c r="U270" s="30" t="str">
        <f>"－"</f>
        <v>－</v>
      </c>
      <c r="V270" s="30">
        <f>134177408</f>
        <v>134177408</v>
      </c>
      <c r="W270" s="30" t="str">
        <f>"－"</f>
        <v>－</v>
      </c>
      <c r="X270" s="34">
        <f>20</f>
        <v>20</v>
      </c>
    </row>
    <row r="271" spans="1:24" x14ac:dyDescent="0.15">
      <c r="A271" s="25" t="s">
        <v>1128</v>
      </c>
      <c r="B271" s="25" t="s">
        <v>592</v>
      </c>
      <c r="C271" s="25" t="s">
        <v>593</v>
      </c>
      <c r="D271" s="25" t="s">
        <v>594</v>
      </c>
      <c r="E271" s="26" t="s">
        <v>43</v>
      </c>
      <c r="F271" s="27" t="s">
        <v>43</v>
      </c>
      <c r="G271" s="28" t="s">
        <v>43</v>
      </c>
      <c r="H271" s="29"/>
      <c r="I271" s="29" t="s">
        <v>44</v>
      </c>
      <c r="J271" s="30">
        <v>1</v>
      </c>
      <c r="K271" s="31">
        <f>1663</f>
        <v>1663</v>
      </c>
      <c r="L271" s="32" t="s">
        <v>1110</v>
      </c>
      <c r="M271" s="31">
        <f>1760</f>
        <v>1760</v>
      </c>
      <c r="N271" s="32" t="s">
        <v>1114</v>
      </c>
      <c r="O271" s="31">
        <f>1619</f>
        <v>1619</v>
      </c>
      <c r="P271" s="32" t="s">
        <v>677</v>
      </c>
      <c r="Q271" s="31">
        <f>1735</f>
        <v>1735</v>
      </c>
      <c r="R271" s="32" t="s">
        <v>883</v>
      </c>
      <c r="S271" s="33">
        <f>1687.7</f>
        <v>1687.7</v>
      </c>
      <c r="T271" s="30">
        <f>481359</f>
        <v>481359</v>
      </c>
      <c r="U271" s="30">
        <f>145303</f>
        <v>145303</v>
      </c>
      <c r="V271" s="30">
        <f>807567813</f>
        <v>807567813</v>
      </c>
      <c r="W271" s="30">
        <f>242288488</f>
        <v>242288488</v>
      </c>
      <c r="X271" s="34">
        <f>20</f>
        <v>20</v>
      </c>
    </row>
    <row r="272" spans="1:24" x14ac:dyDescent="0.15">
      <c r="A272" s="25" t="s">
        <v>1128</v>
      </c>
      <c r="B272" s="25" t="s">
        <v>595</v>
      </c>
      <c r="C272" s="25" t="s">
        <v>596</v>
      </c>
      <c r="D272" s="25" t="s">
        <v>597</v>
      </c>
      <c r="E272" s="26" t="s">
        <v>43</v>
      </c>
      <c r="F272" s="27" t="s">
        <v>43</v>
      </c>
      <c r="G272" s="28" t="s">
        <v>43</v>
      </c>
      <c r="H272" s="29"/>
      <c r="I272" s="29" t="s">
        <v>44</v>
      </c>
      <c r="J272" s="30">
        <v>1</v>
      </c>
      <c r="K272" s="31">
        <f>12630</f>
        <v>12630</v>
      </c>
      <c r="L272" s="32" t="s">
        <v>1110</v>
      </c>
      <c r="M272" s="31">
        <f>13225</f>
        <v>13225</v>
      </c>
      <c r="N272" s="32" t="s">
        <v>676</v>
      </c>
      <c r="O272" s="31">
        <f>12180</f>
        <v>12180</v>
      </c>
      <c r="P272" s="32" t="s">
        <v>1117</v>
      </c>
      <c r="Q272" s="31">
        <f>13000</f>
        <v>13000</v>
      </c>
      <c r="R272" s="32" t="s">
        <v>883</v>
      </c>
      <c r="S272" s="33">
        <f>13007.25</f>
        <v>13007.25</v>
      </c>
      <c r="T272" s="30">
        <f>891</f>
        <v>891</v>
      </c>
      <c r="U272" s="30" t="str">
        <f>"－"</f>
        <v>－</v>
      </c>
      <c r="V272" s="30">
        <f>11513215</f>
        <v>11513215</v>
      </c>
      <c r="W272" s="30" t="str">
        <f>"－"</f>
        <v>－</v>
      </c>
      <c r="X272" s="34">
        <f>20</f>
        <v>20</v>
      </c>
    </row>
    <row r="273" spans="1:24" x14ac:dyDescent="0.15">
      <c r="A273" s="25" t="s">
        <v>1128</v>
      </c>
      <c r="B273" s="25" t="s">
        <v>598</v>
      </c>
      <c r="C273" s="25" t="s">
        <v>599</v>
      </c>
      <c r="D273" s="25" t="s">
        <v>600</v>
      </c>
      <c r="E273" s="26" t="s">
        <v>43</v>
      </c>
      <c r="F273" s="27" t="s">
        <v>43</v>
      </c>
      <c r="G273" s="28" t="s">
        <v>43</v>
      </c>
      <c r="H273" s="29"/>
      <c r="I273" s="29" t="s">
        <v>44</v>
      </c>
      <c r="J273" s="30">
        <v>1</v>
      </c>
      <c r="K273" s="31">
        <f>1859</f>
        <v>1859</v>
      </c>
      <c r="L273" s="32" t="s">
        <v>1110</v>
      </c>
      <c r="M273" s="31">
        <f>1970</f>
        <v>1970</v>
      </c>
      <c r="N273" s="32" t="s">
        <v>679</v>
      </c>
      <c r="O273" s="31">
        <f>1790</f>
        <v>1790</v>
      </c>
      <c r="P273" s="32" t="s">
        <v>1123</v>
      </c>
      <c r="Q273" s="31">
        <f>1941</f>
        <v>1941</v>
      </c>
      <c r="R273" s="32" t="s">
        <v>883</v>
      </c>
      <c r="S273" s="33">
        <f>1875.3</f>
        <v>1875.3</v>
      </c>
      <c r="T273" s="30">
        <f>496828</f>
        <v>496828</v>
      </c>
      <c r="U273" s="30">
        <f>450005</f>
        <v>450005</v>
      </c>
      <c r="V273" s="30">
        <f>965639969</f>
        <v>965639969</v>
      </c>
      <c r="W273" s="30">
        <f>877970793</f>
        <v>877970793</v>
      </c>
      <c r="X273" s="34">
        <f>20</f>
        <v>20</v>
      </c>
    </row>
    <row r="274" spans="1:24" x14ac:dyDescent="0.15">
      <c r="A274" s="25" t="s">
        <v>1128</v>
      </c>
      <c r="B274" s="25" t="s">
        <v>601</v>
      </c>
      <c r="C274" s="25" t="s">
        <v>602</v>
      </c>
      <c r="D274" s="25" t="s">
        <v>603</v>
      </c>
      <c r="E274" s="26" t="s">
        <v>43</v>
      </c>
      <c r="F274" s="27" t="s">
        <v>43</v>
      </c>
      <c r="G274" s="28" t="s">
        <v>43</v>
      </c>
      <c r="H274" s="29"/>
      <c r="I274" s="29" t="s">
        <v>44</v>
      </c>
      <c r="J274" s="30">
        <v>10</v>
      </c>
      <c r="K274" s="31">
        <f>1512</f>
        <v>1512</v>
      </c>
      <c r="L274" s="32" t="s">
        <v>1110</v>
      </c>
      <c r="M274" s="31">
        <f>1555</f>
        <v>1555</v>
      </c>
      <c r="N274" s="32" t="s">
        <v>679</v>
      </c>
      <c r="O274" s="31">
        <f>1452</f>
        <v>1452</v>
      </c>
      <c r="P274" s="32" t="s">
        <v>1114</v>
      </c>
      <c r="Q274" s="31">
        <f>1470.5</f>
        <v>1470.5</v>
      </c>
      <c r="R274" s="32" t="s">
        <v>883</v>
      </c>
      <c r="S274" s="33">
        <f>1494.5</f>
        <v>1494.5</v>
      </c>
      <c r="T274" s="30">
        <f>3750</f>
        <v>3750</v>
      </c>
      <c r="U274" s="30" t="str">
        <f>"－"</f>
        <v>－</v>
      </c>
      <c r="V274" s="30">
        <f>5620685</f>
        <v>5620685</v>
      </c>
      <c r="W274" s="30" t="str">
        <f>"－"</f>
        <v>－</v>
      </c>
      <c r="X274" s="34">
        <f>14</f>
        <v>14</v>
      </c>
    </row>
    <row r="275" spans="1:24" x14ac:dyDescent="0.15">
      <c r="A275" s="25" t="s">
        <v>1128</v>
      </c>
      <c r="B275" s="25" t="s">
        <v>604</v>
      </c>
      <c r="C275" s="25" t="s">
        <v>685</v>
      </c>
      <c r="D275" s="25" t="s">
        <v>686</v>
      </c>
      <c r="E275" s="26" t="s">
        <v>43</v>
      </c>
      <c r="F275" s="27" t="s">
        <v>43</v>
      </c>
      <c r="G275" s="28" t="s">
        <v>43</v>
      </c>
      <c r="H275" s="29"/>
      <c r="I275" s="29" t="s">
        <v>44</v>
      </c>
      <c r="J275" s="30">
        <v>10</v>
      </c>
      <c r="K275" s="31">
        <f>812.7</f>
        <v>812.7</v>
      </c>
      <c r="L275" s="32" t="s">
        <v>1110</v>
      </c>
      <c r="M275" s="31">
        <f>822</f>
        <v>822</v>
      </c>
      <c r="N275" s="32" t="s">
        <v>883</v>
      </c>
      <c r="O275" s="31">
        <f>804.1</f>
        <v>804.1</v>
      </c>
      <c r="P275" s="32" t="s">
        <v>678</v>
      </c>
      <c r="Q275" s="31">
        <f>808.8</f>
        <v>808.8</v>
      </c>
      <c r="R275" s="32" t="s">
        <v>883</v>
      </c>
      <c r="S275" s="33">
        <f>808.74</f>
        <v>808.74</v>
      </c>
      <c r="T275" s="30">
        <f>632390</f>
        <v>632390</v>
      </c>
      <c r="U275" s="30">
        <f>297520</f>
        <v>297520</v>
      </c>
      <c r="V275" s="30">
        <f>511439815</f>
        <v>511439815</v>
      </c>
      <c r="W275" s="30">
        <f>240753184</f>
        <v>240753184</v>
      </c>
      <c r="X275" s="34">
        <f>20</f>
        <v>20</v>
      </c>
    </row>
    <row r="276" spans="1:24" x14ac:dyDescent="0.15">
      <c r="A276" s="25" t="s">
        <v>1128</v>
      </c>
      <c r="B276" s="25" t="s">
        <v>605</v>
      </c>
      <c r="C276" s="25" t="s">
        <v>606</v>
      </c>
      <c r="D276" s="25" t="s">
        <v>607</v>
      </c>
      <c r="E276" s="26" t="s">
        <v>43</v>
      </c>
      <c r="F276" s="27" t="s">
        <v>43</v>
      </c>
      <c r="G276" s="28" t="s">
        <v>43</v>
      </c>
      <c r="H276" s="29"/>
      <c r="I276" s="29" t="s">
        <v>44</v>
      </c>
      <c r="J276" s="30">
        <v>10</v>
      </c>
      <c r="K276" s="31">
        <f>1775</f>
        <v>1775</v>
      </c>
      <c r="L276" s="32" t="s">
        <v>1110</v>
      </c>
      <c r="M276" s="31">
        <f>1887</f>
        <v>1887</v>
      </c>
      <c r="N276" s="32" t="s">
        <v>679</v>
      </c>
      <c r="O276" s="31">
        <f>1713</f>
        <v>1713</v>
      </c>
      <c r="P276" s="32" t="s">
        <v>1123</v>
      </c>
      <c r="Q276" s="31">
        <f>1858</f>
        <v>1858</v>
      </c>
      <c r="R276" s="32" t="s">
        <v>883</v>
      </c>
      <c r="S276" s="33">
        <f>1794.95</f>
        <v>1794.95</v>
      </c>
      <c r="T276" s="30">
        <f>1089590</f>
        <v>1089590</v>
      </c>
      <c r="U276" s="30">
        <f>620060</f>
        <v>620060</v>
      </c>
      <c r="V276" s="30">
        <f>1957713950</f>
        <v>1957713950</v>
      </c>
      <c r="W276" s="30">
        <f>1112661880</f>
        <v>1112661880</v>
      </c>
      <c r="X276" s="34">
        <f>20</f>
        <v>20</v>
      </c>
    </row>
    <row r="277" spans="1:24" x14ac:dyDescent="0.15">
      <c r="A277" s="25" t="s">
        <v>1128</v>
      </c>
      <c r="B277" s="25" t="s">
        <v>608</v>
      </c>
      <c r="C277" s="25" t="s">
        <v>609</v>
      </c>
      <c r="D277" s="25" t="s">
        <v>610</v>
      </c>
      <c r="E277" s="26" t="s">
        <v>43</v>
      </c>
      <c r="F277" s="27" t="s">
        <v>43</v>
      </c>
      <c r="G277" s="28" t="s">
        <v>43</v>
      </c>
      <c r="H277" s="29"/>
      <c r="I277" s="29" t="s">
        <v>44</v>
      </c>
      <c r="J277" s="30">
        <v>10</v>
      </c>
      <c r="K277" s="31">
        <f>1769</f>
        <v>1769</v>
      </c>
      <c r="L277" s="32" t="s">
        <v>1110</v>
      </c>
      <c r="M277" s="31">
        <f>1884.5</f>
        <v>1884.5</v>
      </c>
      <c r="N277" s="32" t="s">
        <v>679</v>
      </c>
      <c r="O277" s="31">
        <f>1710</f>
        <v>1710</v>
      </c>
      <c r="P277" s="32" t="s">
        <v>1123</v>
      </c>
      <c r="Q277" s="31">
        <f>1859</f>
        <v>1859</v>
      </c>
      <c r="R277" s="32" t="s">
        <v>883</v>
      </c>
      <c r="S277" s="33">
        <f>1795.65</f>
        <v>1795.65</v>
      </c>
      <c r="T277" s="30">
        <f>1646930</f>
        <v>1646930</v>
      </c>
      <c r="U277" s="30">
        <f>867050</f>
        <v>867050</v>
      </c>
      <c r="V277" s="30">
        <f>2910624035</f>
        <v>2910624035</v>
      </c>
      <c r="W277" s="30">
        <f>1522828360</f>
        <v>1522828360</v>
      </c>
      <c r="X277" s="34">
        <f>20</f>
        <v>20</v>
      </c>
    </row>
    <row r="278" spans="1:24" x14ac:dyDescent="0.15">
      <c r="A278" s="25" t="s">
        <v>1128</v>
      </c>
      <c r="B278" s="25" t="s">
        <v>611</v>
      </c>
      <c r="C278" s="25" t="s">
        <v>612</v>
      </c>
      <c r="D278" s="25" t="s">
        <v>613</v>
      </c>
      <c r="E278" s="26" t="s">
        <v>43</v>
      </c>
      <c r="F278" s="27" t="s">
        <v>43</v>
      </c>
      <c r="G278" s="28" t="s">
        <v>43</v>
      </c>
      <c r="H278" s="29"/>
      <c r="I278" s="29" t="s">
        <v>44</v>
      </c>
      <c r="J278" s="30">
        <v>10</v>
      </c>
      <c r="K278" s="31">
        <f>2704.5</f>
        <v>2704.5</v>
      </c>
      <c r="L278" s="32" t="s">
        <v>1110</v>
      </c>
      <c r="M278" s="31">
        <f>2843.5</f>
        <v>2843.5</v>
      </c>
      <c r="N278" s="32" t="s">
        <v>874</v>
      </c>
      <c r="O278" s="31">
        <f>2644.5</f>
        <v>2644.5</v>
      </c>
      <c r="P278" s="32" t="s">
        <v>677</v>
      </c>
      <c r="Q278" s="31">
        <f>2826</f>
        <v>2826</v>
      </c>
      <c r="R278" s="32" t="s">
        <v>883</v>
      </c>
      <c r="S278" s="33">
        <f>2759.2</f>
        <v>2759.2</v>
      </c>
      <c r="T278" s="30">
        <f>1809470</f>
        <v>1809470</v>
      </c>
      <c r="U278" s="30">
        <f>473000</f>
        <v>473000</v>
      </c>
      <c r="V278" s="30">
        <f>4995412085</f>
        <v>4995412085</v>
      </c>
      <c r="W278" s="30">
        <f>1299947300</f>
        <v>1299947300</v>
      </c>
      <c r="X278" s="34">
        <f>20</f>
        <v>20</v>
      </c>
    </row>
    <row r="279" spans="1:24" x14ac:dyDescent="0.15">
      <c r="A279" s="25" t="s">
        <v>1128</v>
      </c>
      <c r="B279" s="25" t="s">
        <v>614</v>
      </c>
      <c r="C279" s="25" t="s">
        <v>615</v>
      </c>
      <c r="D279" s="25" t="s">
        <v>616</v>
      </c>
      <c r="E279" s="26" t="s">
        <v>43</v>
      </c>
      <c r="F279" s="27" t="s">
        <v>43</v>
      </c>
      <c r="G279" s="28" t="s">
        <v>43</v>
      </c>
      <c r="H279" s="29"/>
      <c r="I279" s="29" t="s">
        <v>44</v>
      </c>
      <c r="J279" s="30">
        <v>1</v>
      </c>
      <c r="K279" s="31">
        <f>21960</f>
        <v>21960</v>
      </c>
      <c r="L279" s="32" t="s">
        <v>1110</v>
      </c>
      <c r="M279" s="31">
        <f>22925</f>
        <v>22925</v>
      </c>
      <c r="N279" s="32" t="s">
        <v>874</v>
      </c>
      <c r="O279" s="31">
        <f>21595</f>
        <v>21595</v>
      </c>
      <c r="P279" s="32" t="s">
        <v>684</v>
      </c>
      <c r="Q279" s="31">
        <f>22895</f>
        <v>22895</v>
      </c>
      <c r="R279" s="32" t="s">
        <v>883</v>
      </c>
      <c r="S279" s="33">
        <f>22277</f>
        <v>22277</v>
      </c>
      <c r="T279" s="30">
        <f>695728</f>
        <v>695728</v>
      </c>
      <c r="U279" s="30">
        <f>37492</f>
        <v>37492</v>
      </c>
      <c r="V279" s="30">
        <f>15471403880</f>
        <v>15471403880</v>
      </c>
      <c r="W279" s="30">
        <f>845180845</f>
        <v>845180845</v>
      </c>
      <c r="X279" s="34">
        <f>20</f>
        <v>20</v>
      </c>
    </row>
    <row r="280" spans="1:24" x14ac:dyDescent="0.15">
      <c r="A280" s="25" t="s">
        <v>1128</v>
      </c>
      <c r="B280" s="25" t="s">
        <v>617</v>
      </c>
      <c r="C280" s="25" t="s">
        <v>618</v>
      </c>
      <c r="D280" s="25" t="s">
        <v>619</v>
      </c>
      <c r="E280" s="26" t="s">
        <v>43</v>
      </c>
      <c r="F280" s="27" t="s">
        <v>43</v>
      </c>
      <c r="G280" s="28" t="s">
        <v>43</v>
      </c>
      <c r="H280" s="29"/>
      <c r="I280" s="29" t="s">
        <v>44</v>
      </c>
      <c r="J280" s="30">
        <v>1</v>
      </c>
      <c r="K280" s="31">
        <f>18740</f>
        <v>18740</v>
      </c>
      <c r="L280" s="32" t="s">
        <v>1110</v>
      </c>
      <c r="M280" s="31">
        <f>19575</f>
        <v>19575</v>
      </c>
      <c r="N280" s="32" t="s">
        <v>874</v>
      </c>
      <c r="O280" s="31">
        <f>18525</f>
        <v>18525</v>
      </c>
      <c r="P280" s="32" t="s">
        <v>677</v>
      </c>
      <c r="Q280" s="31">
        <f>19565</f>
        <v>19565</v>
      </c>
      <c r="R280" s="32" t="s">
        <v>883</v>
      </c>
      <c r="S280" s="33">
        <f>19074</f>
        <v>19074</v>
      </c>
      <c r="T280" s="30">
        <f>389157</f>
        <v>389157</v>
      </c>
      <c r="U280" s="30">
        <f>1315</f>
        <v>1315</v>
      </c>
      <c r="V280" s="30">
        <f>7409574801</f>
        <v>7409574801</v>
      </c>
      <c r="W280" s="30">
        <f>24981911</f>
        <v>24981911</v>
      </c>
      <c r="X280" s="34">
        <f>20</f>
        <v>20</v>
      </c>
    </row>
    <row r="281" spans="1:24" x14ac:dyDescent="0.15">
      <c r="A281" s="25" t="s">
        <v>1128</v>
      </c>
      <c r="B281" s="25" t="s">
        <v>620</v>
      </c>
      <c r="C281" s="25" t="s">
        <v>621</v>
      </c>
      <c r="D281" s="25" t="s">
        <v>622</v>
      </c>
      <c r="E281" s="26" t="s">
        <v>43</v>
      </c>
      <c r="F281" s="27" t="s">
        <v>43</v>
      </c>
      <c r="G281" s="28" t="s">
        <v>43</v>
      </c>
      <c r="H281" s="29"/>
      <c r="I281" s="29" t="s">
        <v>44</v>
      </c>
      <c r="J281" s="30">
        <v>1</v>
      </c>
      <c r="K281" s="31">
        <f>35910</f>
        <v>35910</v>
      </c>
      <c r="L281" s="32" t="s">
        <v>1110</v>
      </c>
      <c r="M281" s="31">
        <f>43000</f>
        <v>43000</v>
      </c>
      <c r="N281" s="32" t="s">
        <v>1112</v>
      </c>
      <c r="O281" s="31">
        <f>35260</f>
        <v>35260</v>
      </c>
      <c r="P281" s="32" t="s">
        <v>1123</v>
      </c>
      <c r="Q281" s="31">
        <f>37350</f>
        <v>37350</v>
      </c>
      <c r="R281" s="32" t="s">
        <v>1111</v>
      </c>
      <c r="S281" s="33">
        <f>36406.43</f>
        <v>36406.43</v>
      </c>
      <c r="T281" s="30">
        <f>154</f>
        <v>154</v>
      </c>
      <c r="U281" s="30" t="str">
        <f>"－"</f>
        <v>－</v>
      </c>
      <c r="V281" s="30">
        <f>5763220</f>
        <v>5763220</v>
      </c>
      <c r="W281" s="30" t="str">
        <f>"－"</f>
        <v>－</v>
      </c>
      <c r="X281" s="34">
        <f>14</f>
        <v>14</v>
      </c>
    </row>
    <row r="282" spans="1:24" x14ac:dyDescent="0.15">
      <c r="A282" s="25" t="s">
        <v>1128</v>
      </c>
      <c r="B282" s="25" t="s">
        <v>623</v>
      </c>
      <c r="C282" s="25" t="s">
        <v>624</v>
      </c>
      <c r="D282" s="25" t="s">
        <v>625</v>
      </c>
      <c r="E282" s="26" t="s">
        <v>43</v>
      </c>
      <c r="F282" s="27" t="s">
        <v>43</v>
      </c>
      <c r="G282" s="28" t="s">
        <v>43</v>
      </c>
      <c r="H282" s="29"/>
      <c r="I282" s="29" t="s">
        <v>44</v>
      </c>
      <c r="J282" s="30">
        <v>1</v>
      </c>
      <c r="K282" s="31">
        <f>2449</f>
        <v>2449</v>
      </c>
      <c r="L282" s="32" t="s">
        <v>1110</v>
      </c>
      <c r="M282" s="31">
        <f>2459</f>
        <v>2459</v>
      </c>
      <c r="N282" s="32" t="s">
        <v>675</v>
      </c>
      <c r="O282" s="31">
        <f>2420</f>
        <v>2420</v>
      </c>
      <c r="P282" s="32" t="s">
        <v>875</v>
      </c>
      <c r="Q282" s="31">
        <f>2446</f>
        <v>2446</v>
      </c>
      <c r="R282" s="32" t="s">
        <v>883</v>
      </c>
      <c r="S282" s="33">
        <f>2439.75</f>
        <v>2439.75</v>
      </c>
      <c r="T282" s="30">
        <f>169776</f>
        <v>169776</v>
      </c>
      <c r="U282" s="30">
        <f>42315</f>
        <v>42315</v>
      </c>
      <c r="V282" s="30">
        <f>413691401</f>
        <v>413691401</v>
      </c>
      <c r="W282" s="30">
        <f>103090570</f>
        <v>103090570</v>
      </c>
      <c r="X282" s="34">
        <f>20</f>
        <v>20</v>
      </c>
    </row>
    <row r="283" spans="1:24" x14ac:dyDescent="0.15">
      <c r="A283" s="25" t="s">
        <v>1128</v>
      </c>
      <c r="B283" s="25" t="s">
        <v>626</v>
      </c>
      <c r="C283" s="25" t="s">
        <v>627</v>
      </c>
      <c r="D283" s="25" t="s">
        <v>628</v>
      </c>
      <c r="E283" s="26" t="s">
        <v>43</v>
      </c>
      <c r="F283" s="27" t="s">
        <v>43</v>
      </c>
      <c r="G283" s="28" t="s">
        <v>43</v>
      </c>
      <c r="H283" s="29"/>
      <c r="I283" s="29" t="s">
        <v>44</v>
      </c>
      <c r="J283" s="30">
        <v>10</v>
      </c>
      <c r="K283" s="31">
        <f>3044</f>
        <v>3044</v>
      </c>
      <c r="L283" s="32" t="s">
        <v>1110</v>
      </c>
      <c r="M283" s="31">
        <f>3106</f>
        <v>3106</v>
      </c>
      <c r="N283" s="32" t="s">
        <v>883</v>
      </c>
      <c r="O283" s="31">
        <f>3009</f>
        <v>3009</v>
      </c>
      <c r="P283" s="32" t="s">
        <v>1124</v>
      </c>
      <c r="Q283" s="31">
        <f>3106</f>
        <v>3106</v>
      </c>
      <c r="R283" s="32" t="s">
        <v>883</v>
      </c>
      <c r="S283" s="33">
        <f>3053.4</f>
        <v>3053.4</v>
      </c>
      <c r="T283" s="30">
        <f>2257640</f>
        <v>2257640</v>
      </c>
      <c r="U283" s="30">
        <f>1683400</f>
        <v>1683400</v>
      </c>
      <c r="V283" s="30">
        <f>6866001940</f>
        <v>6866001940</v>
      </c>
      <c r="W283" s="30">
        <f>5097960680</f>
        <v>5097960680</v>
      </c>
      <c r="X283" s="34">
        <f>20</f>
        <v>20</v>
      </c>
    </row>
    <row r="284" spans="1:24" x14ac:dyDescent="0.15">
      <c r="A284" s="25" t="s">
        <v>1128</v>
      </c>
      <c r="B284" s="25" t="s">
        <v>629</v>
      </c>
      <c r="C284" s="25" t="s">
        <v>630</v>
      </c>
      <c r="D284" s="25" t="s">
        <v>631</v>
      </c>
      <c r="E284" s="26" t="s">
        <v>43</v>
      </c>
      <c r="F284" s="27" t="s">
        <v>43</v>
      </c>
      <c r="G284" s="28" t="s">
        <v>43</v>
      </c>
      <c r="H284" s="29"/>
      <c r="I284" s="29" t="s">
        <v>44</v>
      </c>
      <c r="J284" s="30">
        <v>10</v>
      </c>
      <c r="K284" s="31">
        <f>299.1</f>
        <v>299.10000000000002</v>
      </c>
      <c r="L284" s="32" t="s">
        <v>1110</v>
      </c>
      <c r="M284" s="31">
        <f>308.3</f>
        <v>308.3</v>
      </c>
      <c r="N284" s="32" t="s">
        <v>883</v>
      </c>
      <c r="O284" s="31">
        <f>298.2</f>
        <v>298.2</v>
      </c>
      <c r="P284" s="32" t="s">
        <v>1124</v>
      </c>
      <c r="Q284" s="31">
        <f>307.5</f>
        <v>307.5</v>
      </c>
      <c r="R284" s="32" t="s">
        <v>883</v>
      </c>
      <c r="S284" s="33">
        <f>303.38</f>
        <v>303.38</v>
      </c>
      <c r="T284" s="30">
        <f>24596940</f>
        <v>24596940</v>
      </c>
      <c r="U284" s="30">
        <f>3638620</f>
        <v>3638620</v>
      </c>
      <c r="V284" s="30">
        <f>7476485241</f>
        <v>7476485241</v>
      </c>
      <c r="W284" s="30">
        <f>1115926590</f>
        <v>1115926590</v>
      </c>
      <c r="X284" s="34">
        <f>20</f>
        <v>20</v>
      </c>
    </row>
    <row r="285" spans="1:24" x14ac:dyDescent="0.15">
      <c r="A285" s="25" t="s">
        <v>1128</v>
      </c>
      <c r="B285" s="25" t="s">
        <v>632</v>
      </c>
      <c r="C285" s="25" t="s">
        <v>633</v>
      </c>
      <c r="D285" s="25" t="s">
        <v>634</v>
      </c>
      <c r="E285" s="26" t="s">
        <v>43</v>
      </c>
      <c r="F285" s="27" t="s">
        <v>43</v>
      </c>
      <c r="G285" s="28" t="s">
        <v>43</v>
      </c>
      <c r="H285" s="29"/>
      <c r="I285" s="29" t="s">
        <v>44</v>
      </c>
      <c r="J285" s="30">
        <v>1</v>
      </c>
      <c r="K285" s="31">
        <f>2825</f>
        <v>2825</v>
      </c>
      <c r="L285" s="32" t="s">
        <v>1110</v>
      </c>
      <c r="M285" s="31">
        <f>2927</f>
        <v>2927</v>
      </c>
      <c r="N285" s="32" t="s">
        <v>1114</v>
      </c>
      <c r="O285" s="31">
        <f>2717</f>
        <v>2717</v>
      </c>
      <c r="P285" s="32" t="s">
        <v>1123</v>
      </c>
      <c r="Q285" s="31">
        <f>2873</f>
        <v>2873</v>
      </c>
      <c r="R285" s="32" t="s">
        <v>883</v>
      </c>
      <c r="S285" s="33">
        <f>2821.6</f>
        <v>2821.6</v>
      </c>
      <c r="T285" s="30">
        <f>906749</f>
        <v>906749</v>
      </c>
      <c r="U285" s="30">
        <f>127466</f>
        <v>127466</v>
      </c>
      <c r="V285" s="30">
        <f>2544071486</f>
        <v>2544071486</v>
      </c>
      <c r="W285" s="30">
        <f>353850643</f>
        <v>353850643</v>
      </c>
      <c r="X285" s="34">
        <f>20</f>
        <v>20</v>
      </c>
    </row>
    <row r="286" spans="1:24" x14ac:dyDescent="0.15">
      <c r="A286" s="25" t="s">
        <v>1128</v>
      </c>
      <c r="B286" s="25" t="s">
        <v>635</v>
      </c>
      <c r="C286" s="25" t="s">
        <v>636</v>
      </c>
      <c r="D286" s="25" t="s">
        <v>637</v>
      </c>
      <c r="E286" s="26" t="s">
        <v>43</v>
      </c>
      <c r="F286" s="27" t="s">
        <v>43</v>
      </c>
      <c r="G286" s="28" t="s">
        <v>43</v>
      </c>
      <c r="H286" s="29"/>
      <c r="I286" s="29" t="s">
        <v>44</v>
      </c>
      <c r="J286" s="30">
        <v>1</v>
      </c>
      <c r="K286" s="31">
        <f>862</f>
        <v>862</v>
      </c>
      <c r="L286" s="32" t="s">
        <v>1110</v>
      </c>
      <c r="M286" s="31">
        <f>933</f>
        <v>933</v>
      </c>
      <c r="N286" s="32" t="s">
        <v>679</v>
      </c>
      <c r="O286" s="31">
        <f>836</f>
        <v>836</v>
      </c>
      <c r="P286" s="32" t="s">
        <v>1123</v>
      </c>
      <c r="Q286" s="31">
        <f>911</f>
        <v>911</v>
      </c>
      <c r="R286" s="32" t="s">
        <v>883</v>
      </c>
      <c r="S286" s="33">
        <f>881.55</f>
        <v>881.55</v>
      </c>
      <c r="T286" s="30">
        <f>2175843</f>
        <v>2175843</v>
      </c>
      <c r="U286" s="30">
        <f>1466820</f>
        <v>1466820</v>
      </c>
      <c r="V286" s="30">
        <f>1899402705</f>
        <v>1899402705</v>
      </c>
      <c r="W286" s="30">
        <f>1270117249</f>
        <v>1270117249</v>
      </c>
      <c r="X286" s="34">
        <f>20</f>
        <v>20</v>
      </c>
    </row>
    <row r="287" spans="1:24" x14ac:dyDescent="0.15">
      <c r="A287" s="25" t="s">
        <v>1128</v>
      </c>
      <c r="B287" s="25" t="s">
        <v>638</v>
      </c>
      <c r="C287" s="25" t="s">
        <v>639</v>
      </c>
      <c r="D287" s="25" t="s">
        <v>640</v>
      </c>
      <c r="E287" s="26" t="s">
        <v>43</v>
      </c>
      <c r="F287" s="27" t="s">
        <v>43</v>
      </c>
      <c r="G287" s="28" t="s">
        <v>43</v>
      </c>
      <c r="H287" s="29"/>
      <c r="I287" s="29" t="s">
        <v>44</v>
      </c>
      <c r="J287" s="30">
        <v>10</v>
      </c>
      <c r="K287" s="31">
        <f>975</f>
        <v>975</v>
      </c>
      <c r="L287" s="32" t="s">
        <v>1110</v>
      </c>
      <c r="M287" s="31">
        <f>1041.5</f>
        <v>1041.5</v>
      </c>
      <c r="N287" s="32" t="s">
        <v>676</v>
      </c>
      <c r="O287" s="31">
        <f>939.7</f>
        <v>939.7</v>
      </c>
      <c r="P287" s="32" t="s">
        <v>1123</v>
      </c>
      <c r="Q287" s="31">
        <f>1020</f>
        <v>1020</v>
      </c>
      <c r="R287" s="32" t="s">
        <v>883</v>
      </c>
      <c r="S287" s="33">
        <f>984.93</f>
        <v>984.93</v>
      </c>
      <c r="T287" s="30">
        <f>138450</f>
        <v>138450</v>
      </c>
      <c r="U287" s="30">
        <f>20020</f>
        <v>20020</v>
      </c>
      <c r="V287" s="30">
        <f>135134084</f>
        <v>135134084</v>
      </c>
      <c r="W287" s="30">
        <f>18916056</f>
        <v>18916056</v>
      </c>
      <c r="X287" s="34">
        <f>20</f>
        <v>20</v>
      </c>
    </row>
    <row r="288" spans="1:24" x14ac:dyDescent="0.15">
      <c r="A288" s="25" t="s">
        <v>1128</v>
      </c>
      <c r="B288" s="25" t="s">
        <v>641</v>
      </c>
      <c r="C288" s="25" t="s">
        <v>642</v>
      </c>
      <c r="D288" s="25" t="s">
        <v>643</v>
      </c>
      <c r="E288" s="26" t="s">
        <v>43</v>
      </c>
      <c r="F288" s="27" t="s">
        <v>43</v>
      </c>
      <c r="G288" s="28" t="s">
        <v>43</v>
      </c>
      <c r="H288" s="29"/>
      <c r="I288" s="29" t="s">
        <v>44</v>
      </c>
      <c r="J288" s="30">
        <v>10</v>
      </c>
      <c r="K288" s="31">
        <f>350</f>
        <v>350</v>
      </c>
      <c r="L288" s="32" t="s">
        <v>1110</v>
      </c>
      <c r="M288" s="31">
        <f>376</f>
        <v>376</v>
      </c>
      <c r="N288" s="32" t="s">
        <v>1115</v>
      </c>
      <c r="O288" s="31">
        <f>348</f>
        <v>348</v>
      </c>
      <c r="P288" s="32" t="s">
        <v>677</v>
      </c>
      <c r="Q288" s="31">
        <f>368</f>
        <v>368</v>
      </c>
      <c r="R288" s="32" t="s">
        <v>883</v>
      </c>
      <c r="S288" s="33">
        <f>362.06</f>
        <v>362.06</v>
      </c>
      <c r="T288" s="30">
        <f>15410</f>
        <v>15410</v>
      </c>
      <c r="U288" s="30" t="str">
        <f>"－"</f>
        <v>－</v>
      </c>
      <c r="V288" s="30">
        <f>5574171</f>
        <v>5574171</v>
      </c>
      <c r="W288" s="30" t="str">
        <f>"－"</f>
        <v>－</v>
      </c>
      <c r="X288" s="34">
        <f>19</f>
        <v>19</v>
      </c>
    </row>
    <row r="289" spans="1:24" x14ac:dyDescent="0.15">
      <c r="A289" s="25" t="s">
        <v>1128</v>
      </c>
      <c r="B289" s="25" t="s">
        <v>644</v>
      </c>
      <c r="C289" s="25" t="s">
        <v>645</v>
      </c>
      <c r="D289" s="25" t="s">
        <v>646</v>
      </c>
      <c r="E289" s="26" t="s">
        <v>43</v>
      </c>
      <c r="F289" s="27" t="s">
        <v>43</v>
      </c>
      <c r="G289" s="28" t="s">
        <v>43</v>
      </c>
      <c r="H289" s="29"/>
      <c r="I289" s="29" t="s">
        <v>44</v>
      </c>
      <c r="J289" s="30">
        <v>10</v>
      </c>
      <c r="K289" s="31">
        <f>4649</f>
        <v>4649</v>
      </c>
      <c r="L289" s="32" t="s">
        <v>1110</v>
      </c>
      <c r="M289" s="31">
        <f>4788</f>
        <v>4788</v>
      </c>
      <c r="N289" s="32" t="s">
        <v>874</v>
      </c>
      <c r="O289" s="31">
        <f>4535</f>
        <v>4535</v>
      </c>
      <c r="P289" s="32" t="s">
        <v>684</v>
      </c>
      <c r="Q289" s="31">
        <f>4754</f>
        <v>4754</v>
      </c>
      <c r="R289" s="32" t="s">
        <v>883</v>
      </c>
      <c r="S289" s="33">
        <f>4683.15</f>
        <v>4683.1499999999996</v>
      </c>
      <c r="T289" s="30">
        <f>1455520</f>
        <v>1455520</v>
      </c>
      <c r="U289" s="30">
        <f>3010</f>
        <v>3010</v>
      </c>
      <c r="V289" s="30">
        <f>6781945540</f>
        <v>6781945540</v>
      </c>
      <c r="W289" s="30">
        <f>13697950</f>
        <v>13697950</v>
      </c>
      <c r="X289" s="34">
        <f>20</f>
        <v>20</v>
      </c>
    </row>
    <row r="290" spans="1:24" x14ac:dyDescent="0.15">
      <c r="A290" s="25" t="s">
        <v>1128</v>
      </c>
      <c r="B290" s="25" t="s">
        <v>647</v>
      </c>
      <c r="C290" s="25" t="s">
        <v>648</v>
      </c>
      <c r="D290" s="25" t="s">
        <v>649</v>
      </c>
      <c r="E290" s="26" t="s">
        <v>43</v>
      </c>
      <c r="F290" s="27" t="s">
        <v>43</v>
      </c>
      <c r="G290" s="28" t="s">
        <v>43</v>
      </c>
      <c r="H290" s="29"/>
      <c r="I290" s="29" t="s">
        <v>44</v>
      </c>
      <c r="J290" s="30">
        <v>10</v>
      </c>
      <c r="K290" s="31">
        <f>2912</f>
        <v>2912</v>
      </c>
      <c r="L290" s="32" t="s">
        <v>1110</v>
      </c>
      <c r="M290" s="31">
        <f>2963.5</f>
        <v>2963.5</v>
      </c>
      <c r="N290" s="32" t="s">
        <v>1112</v>
      </c>
      <c r="O290" s="31">
        <f>2875</f>
        <v>2875</v>
      </c>
      <c r="P290" s="32" t="s">
        <v>678</v>
      </c>
      <c r="Q290" s="31">
        <f>2946.5</f>
        <v>2946.5</v>
      </c>
      <c r="R290" s="32" t="s">
        <v>883</v>
      </c>
      <c r="S290" s="33">
        <f>2933.43</f>
        <v>2933.43</v>
      </c>
      <c r="T290" s="30">
        <f>2068140</f>
        <v>2068140</v>
      </c>
      <c r="U290" s="30">
        <f>827510</f>
        <v>827510</v>
      </c>
      <c r="V290" s="30">
        <f>6041500421</f>
        <v>6041500421</v>
      </c>
      <c r="W290" s="30">
        <f>2414028641</f>
        <v>2414028641</v>
      </c>
      <c r="X290" s="34">
        <f>20</f>
        <v>20</v>
      </c>
    </row>
    <row r="291" spans="1:24" x14ac:dyDescent="0.15">
      <c r="A291" s="25" t="s">
        <v>1128</v>
      </c>
      <c r="B291" s="25" t="s">
        <v>650</v>
      </c>
      <c r="C291" s="25" t="s">
        <v>651</v>
      </c>
      <c r="D291" s="25" t="s">
        <v>652</v>
      </c>
      <c r="E291" s="26" t="s">
        <v>43</v>
      </c>
      <c r="F291" s="27" t="s">
        <v>43</v>
      </c>
      <c r="G291" s="28" t="s">
        <v>43</v>
      </c>
      <c r="H291" s="29"/>
      <c r="I291" s="29" t="s">
        <v>44</v>
      </c>
      <c r="J291" s="30">
        <v>10</v>
      </c>
      <c r="K291" s="31">
        <f>337.7</f>
        <v>337.7</v>
      </c>
      <c r="L291" s="32" t="s">
        <v>1110</v>
      </c>
      <c r="M291" s="31">
        <f>343.3</f>
        <v>343.3</v>
      </c>
      <c r="N291" s="32" t="s">
        <v>883</v>
      </c>
      <c r="O291" s="31">
        <f>330.7</f>
        <v>330.7</v>
      </c>
      <c r="P291" s="32" t="s">
        <v>684</v>
      </c>
      <c r="Q291" s="31">
        <f>342.2</f>
        <v>342.2</v>
      </c>
      <c r="R291" s="32" t="s">
        <v>883</v>
      </c>
      <c r="S291" s="33">
        <f>337.89</f>
        <v>337.89</v>
      </c>
      <c r="T291" s="30">
        <f>21281010</f>
        <v>21281010</v>
      </c>
      <c r="U291" s="30">
        <f>16634400</f>
        <v>16634400</v>
      </c>
      <c r="V291" s="30">
        <f>7186690653</f>
        <v>7186690653</v>
      </c>
      <c r="W291" s="30">
        <f>5619184072</f>
        <v>5619184072</v>
      </c>
      <c r="X291" s="34">
        <f>20</f>
        <v>20</v>
      </c>
    </row>
    <row r="292" spans="1:24" x14ac:dyDescent="0.15">
      <c r="A292" s="25" t="s">
        <v>1128</v>
      </c>
      <c r="B292" s="25" t="s">
        <v>653</v>
      </c>
      <c r="C292" s="25" t="s">
        <v>654</v>
      </c>
      <c r="D292" s="25" t="s">
        <v>655</v>
      </c>
      <c r="E292" s="26" t="s">
        <v>43</v>
      </c>
      <c r="F292" s="27" t="s">
        <v>43</v>
      </c>
      <c r="G292" s="28" t="s">
        <v>43</v>
      </c>
      <c r="H292" s="29"/>
      <c r="I292" s="29" t="s">
        <v>44</v>
      </c>
      <c r="J292" s="30">
        <v>1</v>
      </c>
      <c r="K292" s="31">
        <f>1270</f>
        <v>1270</v>
      </c>
      <c r="L292" s="32" t="s">
        <v>1110</v>
      </c>
      <c r="M292" s="31">
        <f>1303</f>
        <v>1303</v>
      </c>
      <c r="N292" s="32" t="s">
        <v>1113</v>
      </c>
      <c r="O292" s="31">
        <f>1253</f>
        <v>1253</v>
      </c>
      <c r="P292" s="32" t="s">
        <v>1112</v>
      </c>
      <c r="Q292" s="31">
        <f>1277</f>
        <v>1277</v>
      </c>
      <c r="R292" s="32" t="s">
        <v>883</v>
      </c>
      <c r="S292" s="33">
        <f>1277.5</f>
        <v>1277.5</v>
      </c>
      <c r="T292" s="30">
        <f>26234193</f>
        <v>26234193</v>
      </c>
      <c r="U292" s="30">
        <f>47726</f>
        <v>47726</v>
      </c>
      <c r="V292" s="30">
        <f>33435602256</f>
        <v>33435602256</v>
      </c>
      <c r="W292" s="30">
        <f>61585034</f>
        <v>61585034</v>
      </c>
      <c r="X292" s="34">
        <f>20</f>
        <v>20</v>
      </c>
    </row>
    <row r="293" spans="1:24" x14ac:dyDescent="0.15">
      <c r="A293" s="25" t="s">
        <v>1128</v>
      </c>
      <c r="B293" s="25" t="s">
        <v>656</v>
      </c>
      <c r="C293" s="25" t="s">
        <v>657</v>
      </c>
      <c r="D293" s="25" t="s">
        <v>658</v>
      </c>
      <c r="E293" s="26" t="s">
        <v>43</v>
      </c>
      <c r="F293" s="27" t="s">
        <v>43</v>
      </c>
      <c r="G293" s="28" t="s">
        <v>43</v>
      </c>
      <c r="H293" s="29"/>
      <c r="I293" s="29" t="s">
        <v>44</v>
      </c>
      <c r="J293" s="30">
        <v>1</v>
      </c>
      <c r="K293" s="31">
        <f>1767</f>
        <v>1767</v>
      </c>
      <c r="L293" s="32" t="s">
        <v>1110</v>
      </c>
      <c r="M293" s="31">
        <f>1811</f>
        <v>1811</v>
      </c>
      <c r="N293" s="32" t="s">
        <v>875</v>
      </c>
      <c r="O293" s="31">
        <f>1767</f>
        <v>1767</v>
      </c>
      <c r="P293" s="32" t="s">
        <v>1110</v>
      </c>
      <c r="Q293" s="31">
        <f>1804</f>
        <v>1804</v>
      </c>
      <c r="R293" s="32" t="s">
        <v>883</v>
      </c>
      <c r="S293" s="33">
        <f>1791.95</f>
        <v>1791.95</v>
      </c>
      <c r="T293" s="30">
        <f>74641</f>
        <v>74641</v>
      </c>
      <c r="U293" s="30">
        <f>2</f>
        <v>2</v>
      </c>
      <c r="V293" s="30">
        <f>133795073</f>
        <v>133795073</v>
      </c>
      <c r="W293" s="30">
        <f>3606</f>
        <v>3606</v>
      </c>
      <c r="X293" s="34">
        <f>20</f>
        <v>20</v>
      </c>
    </row>
    <row r="294" spans="1:24" x14ac:dyDescent="0.15">
      <c r="A294" s="25" t="s">
        <v>1128</v>
      </c>
      <c r="B294" s="25" t="s">
        <v>659</v>
      </c>
      <c r="C294" s="25" t="s">
        <v>660</v>
      </c>
      <c r="D294" s="25" t="s">
        <v>661</v>
      </c>
      <c r="E294" s="26" t="s">
        <v>43</v>
      </c>
      <c r="F294" s="27" t="s">
        <v>43</v>
      </c>
      <c r="G294" s="28" t="s">
        <v>43</v>
      </c>
      <c r="H294" s="29"/>
      <c r="I294" s="29" t="s">
        <v>44</v>
      </c>
      <c r="J294" s="30">
        <v>1</v>
      </c>
      <c r="K294" s="31">
        <f>2104</f>
        <v>2104</v>
      </c>
      <c r="L294" s="32" t="s">
        <v>1110</v>
      </c>
      <c r="M294" s="31">
        <f>2130</f>
        <v>2130</v>
      </c>
      <c r="N294" s="32" t="s">
        <v>677</v>
      </c>
      <c r="O294" s="31">
        <f>2101</f>
        <v>2101</v>
      </c>
      <c r="P294" s="32" t="s">
        <v>875</v>
      </c>
      <c r="Q294" s="31">
        <f>2127</f>
        <v>2127</v>
      </c>
      <c r="R294" s="32" t="s">
        <v>883</v>
      </c>
      <c r="S294" s="33">
        <f>2117.29</f>
        <v>2117.29</v>
      </c>
      <c r="T294" s="30">
        <f>543229</f>
        <v>543229</v>
      </c>
      <c r="U294" s="30">
        <f>520000</f>
        <v>520000</v>
      </c>
      <c r="V294" s="30">
        <f>1146528492</f>
        <v>1146528492</v>
      </c>
      <c r="W294" s="30">
        <f>1097620000</f>
        <v>1097620000</v>
      </c>
      <c r="X294" s="34">
        <f>17</f>
        <v>17</v>
      </c>
    </row>
    <row r="295" spans="1:24" x14ac:dyDescent="0.15">
      <c r="A295" s="25" t="s">
        <v>1128</v>
      </c>
      <c r="B295" s="25" t="s">
        <v>662</v>
      </c>
      <c r="C295" s="25" t="s">
        <v>663</v>
      </c>
      <c r="D295" s="25" t="s">
        <v>948</v>
      </c>
      <c r="E295" s="26" t="s">
        <v>43</v>
      </c>
      <c r="F295" s="27" t="s">
        <v>43</v>
      </c>
      <c r="G295" s="28" t="s">
        <v>43</v>
      </c>
      <c r="H295" s="29"/>
      <c r="I295" s="29" t="s">
        <v>44</v>
      </c>
      <c r="J295" s="30">
        <v>1</v>
      </c>
      <c r="K295" s="31">
        <f>3945</f>
        <v>3945</v>
      </c>
      <c r="L295" s="32" t="s">
        <v>1110</v>
      </c>
      <c r="M295" s="31">
        <f>4125</f>
        <v>4125</v>
      </c>
      <c r="N295" s="32" t="s">
        <v>874</v>
      </c>
      <c r="O295" s="31">
        <f>3845</f>
        <v>3845</v>
      </c>
      <c r="P295" s="32" t="s">
        <v>677</v>
      </c>
      <c r="Q295" s="31">
        <f>4090</f>
        <v>4090</v>
      </c>
      <c r="R295" s="32" t="s">
        <v>883</v>
      </c>
      <c r="S295" s="33">
        <f>4004.25</f>
        <v>4004.25</v>
      </c>
      <c r="T295" s="30">
        <f>671774</f>
        <v>671774</v>
      </c>
      <c r="U295" s="30">
        <f>233357</f>
        <v>233357</v>
      </c>
      <c r="V295" s="30">
        <f>2688753420</f>
        <v>2688753420</v>
      </c>
      <c r="W295" s="30">
        <f>946559370</f>
        <v>946559370</v>
      </c>
      <c r="X295" s="34">
        <f>20</f>
        <v>20</v>
      </c>
    </row>
    <row r="296" spans="1:24" x14ac:dyDescent="0.15">
      <c r="A296" s="25" t="s">
        <v>1128</v>
      </c>
      <c r="B296" s="25" t="s">
        <v>664</v>
      </c>
      <c r="C296" s="25" t="s">
        <v>665</v>
      </c>
      <c r="D296" s="25" t="s">
        <v>949</v>
      </c>
      <c r="E296" s="26" t="s">
        <v>43</v>
      </c>
      <c r="F296" s="27" t="s">
        <v>43</v>
      </c>
      <c r="G296" s="28" t="s">
        <v>43</v>
      </c>
      <c r="H296" s="29"/>
      <c r="I296" s="29" t="s">
        <v>44</v>
      </c>
      <c r="J296" s="30">
        <v>1</v>
      </c>
      <c r="K296" s="31">
        <f>2681</f>
        <v>2681</v>
      </c>
      <c r="L296" s="32" t="s">
        <v>1110</v>
      </c>
      <c r="M296" s="31">
        <f>2825</f>
        <v>2825</v>
      </c>
      <c r="N296" s="32" t="s">
        <v>874</v>
      </c>
      <c r="O296" s="31">
        <f>2622</f>
        <v>2622</v>
      </c>
      <c r="P296" s="32" t="s">
        <v>677</v>
      </c>
      <c r="Q296" s="31">
        <f>2808</f>
        <v>2808</v>
      </c>
      <c r="R296" s="32" t="s">
        <v>883</v>
      </c>
      <c r="S296" s="33">
        <f>2737.8</f>
        <v>2737.8</v>
      </c>
      <c r="T296" s="30">
        <f>856197</f>
        <v>856197</v>
      </c>
      <c r="U296" s="30">
        <f>60000</f>
        <v>60000</v>
      </c>
      <c r="V296" s="30">
        <f>2347916982</f>
        <v>2347916982</v>
      </c>
      <c r="W296" s="30">
        <f>162864000</f>
        <v>162864000</v>
      </c>
      <c r="X296" s="34">
        <f>20</f>
        <v>20</v>
      </c>
    </row>
    <row r="297" spans="1:24" x14ac:dyDescent="0.15">
      <c r="A297" s="25" t="s">
        <v>1128</v>
      </c>
      <c r="B297" s="25" t="s">
        <v>666</v>
      </c>
      <c r="C297" s="25" t="s">
        <v>667</v>
      </c>
      <c r="D297" s="25" t="s">
        <v>668</v>
      </c>
      <c r="E297" s="26" t="s">
        <v>43</v>
      </c>
      <c r="F297" s="27" t="s">
        <v>43</v>
      </c>
      <c r="G297" s="28" t="s">
        <v>43</v>
      </c>
      <c r="H297" s="29"/>
      <c r="I297" s="29" t="s">
        <v>44</v>
      </c>
      <c r="J297" s="30">
        <v>1</v>
      </c>
      <c r="K297" s="31">
        <f>2222</f>
        <v>2222</v>
      </c>
      <c r="L297" s="32" t="s">
        <v>1110</v>
      </c>
      <c r="M297" s="31">
        <f>2323</f>
        <v>2323</v>
      </c>
      <c r="N297" s="32" t="s">
        <v>1112</v>
      </c>
      <c r="O297" s="31">
        <f>2143</f>
        <v>2143</v>
      </c>
      <c r="P297" s="32" t="s">
        <v>678</v>
      </c>
      <c r="Q297" s="31">
        <f>2232</f>
        <v>2232</v>
      </c>
      <c r="R297" s="32" t="s">
        <v>883</v>
      </c>
      <c r="S297" s="33">
        <f>2226.25</f>
        <v>2226.25</v>
      </c>
      <c r="T297" s="30">
        <f>65587</f>
        <v>65587</v>
      </c>
      <c r="U297" s="30" t="str">
        <f>"－"</f>
        <v>－</v>
      </c>
      <c r="V297" s="30">
        <f>145784218</f>
        <v>145784218</v>
      </c>
      <c r="W297" s="30" t="str">
        <f>"－"</f>
        <v>－</v>
      </c>
      <c r="X297" s="34">
        <f>20</f>
        <v>20</v>
      </c>
    </row>
    <row r="298" spans="1:24" x14ac:dyDescent="0.15">
      <c r="A298" s="25" t="s">
        <v>1128</v>
      </c>
      <c r="B298" s="25" t="s">
        <v>669</v>
      </c>
      <c r="C298" s="25" t="s">
        <v>670</v>
      </c>
      <c r="D298" s="25" t="s">
        <v>671</v>
      </c>
      <c r="E298" s="26" t="s">
        <v>43</v>
      </c>
      <c r="F298" s="27" t="s">
        <v>43</v>
      </c>
      <c r="G298" s="28" t="s">
        <v>43</v>
      </c>
      <c r="H298" s="29"/>
      <c r="I298" s="29" t="s">
        <v>44</v>
      </c>
      <c r="J298" s="30">
        <v>1</v>
      </c>
      <c r="K298" s="31">
        <f>1295</f>
        <v>1295</v>
      </c>
      <c r="L298" s="32" t="s">
        <v>1110</v>
      </c>
      <c r="M298" s="31">
        <f>1378</f>
        <v>1378</v>
      </c>
      <c r="N298" s="32" t="s">
        <v>1112</v>
      </c>
      <c r="O298" s="31">
        <f>1263</f>
        <v>1263</v>
      </c>
      <c r="P298" s="32" t="s">
        <v>1124</v>
      </c>
      <c r="Q298" s="31">
        <f>1357</f>
        <v>1357</v>
      </c>
      <c r="R298" s="32" t="s">
        <v>883</v>
      </c>
      <c r="S298" s="33">
        <f>1321.5</f>
        <v>1321.5</v>
      </c>
      <c r="T298" s="30">
        <f>53019</f>
        <v>53019</v>
      </c>
      <c r="U298" s="30" t="str">
        <f>"－"</f>
        <v>－</v>
      </c>
      <c r="V298" s="30">
        <f>70164863</f>
        <v>70164863</v>
      </c>
      <c r="W298" s="30" t="str">
        <f>"－"</f>
        <v>－</v>
      </c>
      <c r="X298" s="34">
        <f>20</f>
        <v>20</v>
      </c>
    </row>
    <row r="299" spans="1:24" x14ac:dyDescent="0.15">
      <c r="A299" s="25" t="s">
        <v>1128</v>
      </c>
      <c r="B299" s="25" t="s">
        <v>687</v>
      </c>
      <c r="C299" s="25" t="s">
        <v>688</v>
      </c>
      <c r="D299" s="25" t="s">
        <v>689</v>
      </c>
      <c r="E299" s="26" t="s">
        <v>43</v>
      </c>
      <c r="F299" s="27" t="s">
        <v>43</v>
      </c>
      <c r="G299" s="28" t="s">
        <v>43</v>
      </c>
      <c r="H299" s="29"/>
      <c r="I299" s="29" t="s">
        <v>44</v>
      </c>
      <c r="J299" s="30">
        <v>1</v>
      </c>
      <c r="K299" s="31">
        <f>1714</f>
        <v>1714</v>
      </c>
      <c r="L299" s="32" t="s">
        <v>1110</v>
      </c>
      <c r="M299" s="31">
        <f>1762</f>
        <v>1762</v>
      </c>
      <c r="N299" s="32" t="s">
        <v>1124</v>
      </c>
      <c r="O299" s="31">
        <f>1597</f>
        <v>1597</v>
      </c>
      <c r="P299" s="32" t="s">
        <v>1114</v>
      </c>
      <c r="Q299" s="31">
        <f>1606</f>
        <v>1606</v>
      </c>
      <c r="R299" s="32" t="s">
        <v>883</v>
      </c>
      <c r="S299" s="33">
        <f>1693.35</f>
        <v>1693.35</v>
      </c>
      <c r="T299" s="30">
        <f>31350</f>
        <v>31350</v>
      </c>
      <c r="U299" s="30" t="str">
        <f>"－"</f>
        <v>－</v>
      </c>
      <c r="V299" s="30">
        <f>53020233</f>
        <v>53020233</v>
      </c>
      <c r="W299" s="30" t="str">
        <f>"－"</f>
        <v>－</v>
      </c>
      <c r="X299" s="34">
        <f>20</f>
        <v>20</v>
      </c>
    </row>
    <row r="300" spans="1:24" x14ac:dyDescent="0.15">
      <c r="A300" s="25" t="s">
        <v>1128</v>
      </c>
      <c r="B300" s="25" t="s">
        <v>690</v>
      </c>
      <c r="C300" s="25" t="s">
        <v>691</v>
      </c>
      <c r="D300" s="25" t="s">
        <v>692</v>
      </c>
      <c r="E300" s="26" t="s">
        <v>43</v>
      </c>
      <c r="F300" s="27" t="s">
        <v>43</v>
      </c>
      <c r="G300" s="28" t="s">
        <v>43</v>
      </c>
      <c r="H300" s="29"/>
      <c r="I300" s="29" t="s">
        <v>44</v>
      </c>
      <c r="J300" s="30">
        <v>1</v>
      </c>
      <c r="K300" s="31">
        <f>2267</f>
        <v>2267</v>
      </c>
      <c r="L300" s="32" t="s">
        <v>1110</v>
      </c>
      <c r="M300" s="31">
        <f>2390</f>
        <v>2390</v>
      </c>
      <c r="N300" s="32" t="s">
        <v>1112</v>
      </c>
      <c r="O300" s="31">
        <f>2262</f>
        <v>2262</v>
      </c>
      <c r="P300" s="32" t="s">
        <v>684</v>
      </c>
      <c r="Q300" s="31">
        <f>2318</f>
        <v>2318</v>
      </c>
      <c r="R300" s="32" t="s">
        <v>883</v>
      </c>
      <c r="S300" s="33">
        <f>2335.45</f>
        <v>2335.4499999999998</v>
      </c>
      <c r="T300" s="30">
        <f>6888</f>
        <v>6888</v>
      </c>
      <c r="U300" s="30" t="str">
        <f>"－"</f>
        <v>－</v>
      </c>
      <c r="V300" s="30">
        <f>15973855</f>
        <v>15973855</v>
      </c>
      <c r="W300" s="30" t="str">
        <f>"－"</f>
        <v>－</v>
      </c>
      <c r="X300" s="34">
        <f>20</f>
        <v>20</v>
      </c>
    </row>
    <row r="301" spans="1:24" x14ac:dyDescent="0.15">
      <c r="A301" s="25" t="s">
        <v>1128</v>
      </c>
      <c r="B301" s="25" t="s">
        <v>693</v>
      </c>
      <c r="C301" s="25" t="s">
        <v>694</v>
      </c>
      <c r="D301" s="25" t="s">
        <v>695</v>
      </c>
      <c r="E301" s="26" t="s">
        <v>43</v>
      </c>
      <c r="F301" s="27" t="s">
        <v>43</v>
      </c>
      <c r="G301" s="28" t="s">
        <v>43</v>
      </c>
      <c r="H301" s="29"/>
      <c r="I301" s="29" t="s">
        <v>44</v>
      </c>
      <c r="J301" s="30">
        <v>1</v>
      </c>
      <c r="K301" s="31">
        <f>11865</f>
        <v>11865</v>
      </c>
      <c r="L301" s="32" t="s">
        <v>1110</v>
      </c>
      <c r="M301" s="31">
        <f>12225</f>
        <v>12225</v>
      </c>
      <c r="N301" s="32" t="s">
        <v>883</v>
      </c>
      <c r="O301" s="31">
        <f>11840</f>
        <v>11840</v>
      </c>
      <c r="P301" s="32" t="s">
        <v>1124</v>
      </c>
      <c r="Q301" s="31">
        <f>12190</f>
        <v>12190</v>
      </c>
      <c r="R301" s="32" t="s">
        <v>883</v>
      </c>
      <c r="S301" s="33">
        <f>12042</f>
        <v>12042</v>
      </c>
      <c r="T301" s="30">
        <f>157104</f>
        <v>157104</v>
      </c>
      <c r="U301" s="30">
        <f>33</f>
        <v>33</v>
      </c>
      <c r="V301" s="30">
        <f>1887429280</f>
        <v>1887429280</v>
      </c>
      <c r="W301" s="30">
        <f>393030</f>
        <v>393030</v>
      </c>
      <c r="X301" s="34">
        <f>20</f>
        <v>20</v>
      </c>
    </row>
    <row r="302" spans="1:24" x14ac:dyDescent="0.15">
      <c r="A302" s="25" t="s">
        <v>1128</v>
      </c>
      <c r="B302" s="25" t="s">
        <v>696</v>
      </c>
      <c r="C302" s="25" t="s">
        <v>697</v>
      </c>
      <c r="D302" s="25" t="s">
        <v>698</v>
      </c>
      <c r="E302" s="26" t="s">
        <v>43</v>
      </c>
      <c r="F302" s="27" t="s">
        <v>43</v>
      </c>
      <c r="G302" s="28" t="s">
        <v>43</v>
      </c>
      <c r="H302" s="29"/>
      <c r="I302" s="29" t="s">
        <v>44</v>
      </c>
      <c r="J302" s="30">
        <v>1</v>
      </c>
      <c r="K302" s="31">
        <f>19420</f>
        <v>19420</v>
      </c>
      <c r="L302" s="32" t="s">
        <v>1110</v>
      </c>
      <c r="M302" s="31">
        <f>20005</f>
        <v>20005</v>
      </c>
      <c r="N302" s="32" t="s">
        <v>874</v>
      </c>
      <c r="O302" s="31">
        <f>18950</f>
        <v>18950</v>
      </c>
      <c r="P302" s="32" t="s">
        <v>684</v>
      </c>
      <c r="Q302" s="31">
        <f>19850</f>
        <v>19850</v>
      </c>
      <c r="R302" s="32" t="s">
        <v>883</v>
      </c>
      <c r="S302" s="33">
        <f>19536.75</f>
        <v>19536.75</v>
      </c>
      <c r="T302" s="30">
        <f>491472</f>
        <v>491472</v>
      </c>
      <c r="U302" s="30">
        <f>7100</f>
        <v>7100</v>
      </c>
      <c r="V302" s="30">
        <f>9594858992</f>
        <v>9594858992</v>
      </c>
      <c r="W302" s="30">
        <f>140770767</f>
        <v>140770767</v>
      </c>
      <c r="X302" s="34">
        <f>20</f>
        <v>20</v>
      </c>
    </row>
    <row r="303" spans="1:24" x14ac:dyDescent="0.15">
      <c r="A303" s="25" t="s">
        <v>1128</v>
      </c>
      <c r="B303" s="25" t="s">
        <v>699</v>
      </c>
      <c r="C303" s="25" t="s">
        <v>700</v>
      </c>
      <c r="D303" s="25" t="s">
        <v>701</v>
      </c>
      <c r="E303" s="26" t="s">
        <v>43</v>
      </c>
      <c r="F303" s="27" t="s">
        <v>43</v>
      </c>
      <c r="G303" s="28" t="s">
        <v>43</v>
      </c>
      <c r="H303" s="29"/>
      <c r="I303" s="29" t="s">
        <v>44</v>
      </c>
      <c r="J303" s="30">
        <v>1</v>
      </c>
      <c r="K303" s="31">
        <f>12200</f>
        <v>12200</v>
      </c>
      <c r="L303" s="32" t="s">
        <v>1110</v>
      </c>
      <c r="M303" s="31">
        <f>12415</f>
        <v>12415</v>
      </c>
      <c r="N303" s="32" t="s">
        <v>1112</v>
      </c>
      <c r="O303" s="31">
        <f>12045</f>
        <v>12045</v>
      </c>
      <c r="P303" s="32" t="s">
        <v>678</v>
      </c>
      <c r="Q303" s="31">
        <f>12320</f>
        <v>12320</v>
      </c>
      <c r="R303" s="32" t="s">
        <v>883</v>
      </c>
      <c r="S303" s="33">
        <f>12274.5</f>
        <v>12274.5</v>
      </c>
      <c r="T303" s="30">
        <f>385966</f>
        <v>385966</v>
      </c>
      <c r="U303" s="30">
        <f>164165</f>
        <v>164165</v>
      </c>
      <c r="V303" s="30">
        <f>4732968085</f>
        <v>4732968085</v>
      </c>
      <c r="W303" s="30">
        <f>2011603275</f>
        <v>2011603275</v>
      </c>
      <c r="X303" s="34">
        <f>20</f>
        <v>20</v>
      </c>
    </row>
    <row r="304" spans="1:24" x14ac:dyDescent="0.15">
      <c r="A304" s="25" t="s">
        <v>1128</v>
      </c>
      <c r="B304" s="25" t="s">
        <v>702</v>
      </c>
      <c r="C304" s="25" t="s">
        <v>703</v>
      </c>
      <c r="D304" s="25" t="s">
        <v>704</v>
      </c>
      <c r="E304" s="26" t="s">
        <v>43</v>
      </c>
      <c r="F304" s="27" t="s">
        <v>43</v>
      </c>
      <c r="G304" s="28" t="s">
        <v>43</v>
      </c>
      <c r="H304" s="29"/>
      <c r="I304" s="29" t="s">
        <v>44</v>
      </c>
      <c r="J304" s="30">
        <v>10</v>
      </c>
      <c r="K304" s="31">
        <f>353.3</f>
        <v>353.3</v>
      </c>
      <c r="L304" s="32" t="s">
        <v>1110</v>
      </c>
      <c r="M304" s="31">
        <f>374.1</f>
        <v>374.1</v>
      </c>
      <c r="N304" s="32" t="s">
        <v>883</v>
      </c>
      <c r="O304" s="31">
        <f>345.8</f>
        <v>345.8</v>
      </c>
      <c r="P304" s="32" t="s">
        <v>684</v>
      </c>
      <c r="Q304" s="31">
        <f>366.4</f>
        <v>366.4</v>
      </c>
      <c r="R304" s="32" t="s">
        <v>883</v>
      </c>
      <c r="S304" s="33">
        <f>357.06</f>
        <v>357.06</v>
      </c>
      <c r="T304" s="30">
        <f>9730550</f>
        <v>9730550</v>
      </c>
      <c r="U304" s="30">
        <f>688700</f>
        <v>688700</v>
      </c>
      <c r="V304" s="30">
        <f>3478069540</f>
        <v>3478069540</v>
      </c>
      <c r="W304" s="30">
        <f>249948036</f>
        <v>249948036</v>
      </c>
      <c r="X304" s="34">
        <f>20</f>
        <v>20</v>
      </c>
    </row>
    <row r="305" spans="1:24" x14ac:dyDescent="0.15">
      <c r="A305" s="25" t="s">
        <v>1128</v>
      </c>
      <c r="B305" s="25" t="s">
        <v>705</v>
      </c>
      <c r="C305" s="25" t="s">
        <v>706</v>
      </c>
      <c r="D305" s="25" t="s">
        <v>707</v>
      </c>
      <c r="E305" s="26" t="s">
        <v>43</v>
      </c>
      <c r="F305" s="27" t="s">
        <v>43</v>
      </c>
      <c r="G305" s="28" t="s">
        <v>43</v>
      </c>
      <c r="H305" s="29"/>
      <c r="I305" s="29" t="s">
        <v>44</v>
      </c>
      <c r="J305" s="30">
        <v>10</v>
      </c>
      <c r="K305" s="31">
        <f>2337.5</f>
        <v>2337.5</v>
      </c>
      <c r="L305" s="32" t="s">
        <v>1110</v>
      </c>
      <c r="M305" s="31">
        <f>2394.5</f>
        <v>2394.5</v>
      </c>
      <c r="N305" s="32" t="s">
        <v>883</v>
      </c>
      <c r="O305" s="31">
        <f>2320</f>
        <v>2320</v>
      </c>
      <c r="P305" s="32" t="s">
        <v>1115</v>
      </c>
      <c r="Q305" s="31">
        <f>2383.5</f>
        <v>2383.5</v>
      </c>
      <c r="R305" s="32" t="s">
        <v>883</v>
      </c>
      <c r="S305" s="33">
        <f>2357.63</f>
        <v>2357.63</v>
      </c>
      <c r="T305" s="30">
        <f>1213450</f>
        <v>1213450</v>
      </c>
      <c r="U305" s="30">
        <f>516100</f>
        <v>516100</v>
      </c>
      <c r="V305" s="30">
        <f>2850964169</f>
        <v>2850964169</v>
      </c>
      <c r="W305" s="30">
        <f>1208479614</f>
        <v>1208479614</v>
      </c>
      <c r="X305" s="34">
        <f>20</f>
        <v>20</v>
      </c>
    </row>
    <row r="306" spans="1:24" x14ac:dyDescent="0.15">
      <c r="A306" s="25" t="s">
        <v>1128</v>
      </c>
      <c r="B306" s="25" t="s">
        <v>708</v>
      </c>
      <c r="C306" s="25" t="s">
        <v>709</v>
      </c>
      <c r="D306" s="25" t="s">
        <v>710</v>
      </c>
      <c r="E306" s="26" t="s">
        <v>43</v>
      </c>
      <c r="F306" s="27" t="s">
        <v>43</v>
      </c>
      <c r="G306" s="28" t="s">
        <v>43</v>
      </c>
      <c r="H306" s="29"/>
      <c r="I306" s="29" t="s">
        <v>44</v>
      </c>
      <c r="J306" s="30">
        <v>10</v>
      </c>
      <c r="K306" s="31">
        <f>3658</f>
        <v>3658</v>
      </c>
      <c r="L306" s="32" t="s">
        <v>1110</v>
      </c>
      <c r="M306" s="31">
        <f>3795</f>
        <v>3795</v>
      </c>
      <c r="N306" s="32" t="s">
        <v>883</v>
      </c>
      <c r="O306" s="31">
        <f>3567</f>
        <v>3567</v>
      </c>
      <c r="P306" s="32" t="s">
        <v>684</v>
      </c>
      <c r="Q306" s="31">
        <f>3795</f>
        <v>3795</v>
      </c>
      <c r="R306" s="32" t="s">
        <v>883</v>
      </c>
      <c r="S306" s="33">
        <f>3690.1</f>
        <v>3690.1</v>
      </c>
      <c r="T306" s="30">
        <f>11400</f>
        <v>11400</v>
      </c>
      <c r="U306" s="30">
        <f>30</f>
        <v>30</v>
      </c>
      <c r="V306" s="30">
        <f>42034510</f>
        <v>42034510</v>
      </c>
      <c r="W306" s="30">
        <f>112320</f>
        <v>112320</v>
      </c>
      <c r="X306" s="34">
        <f>20</f>
        <v>20</v>
      </c>
    </row>
    <row r="307" spans="1:24" x14ac:dyDescent="0.15">
      <c r="A307" s="25" t="s">
        <v>1128</v>
      </c>
      <c r="B307" s="25" t="s">
        <v>711</v>
      </c>
      <c r="C307" s="25" t="s">
        <v>712</v>
      </c>
      <c r="D307" s="25" t="s">
        <v>713</v>
      </c>
      <c r="E307" s="26" t="s">
        <v>43</v>
      </c>
      <c r="F307" s="27" t="s">
        <v>43</v>
      </c>
      <c r="G307" s="28" t="s">
        <v>43</v>
      </c>
      <c r="H307" s="29"/>
      <c r="I307" s="29" t="s">
        <v>44</v>
      </c>
      <c r="J307" s="30">
        <v>1</v>
      </c>
      <c r="K307" s="31">
        <f>3295</f>
        <v>3295</v>
      </c>
      <c r="L307" s="32" t="s">
        <v>1110</v>
      </c>
      <c r="M307" s="31">
        <f>3475</f>
        <v>3475</v>
      </c>
      <c r="N307" s="32" t="s">
        <v>675</v>
      </c>
      <c r="O307" s="31">
        <f>3205</f>
        <v>3205</v>
      </c>
      <c r="P307" s="32" t="s">
        <v>678</v>
      </c>
      <c r="Q307" s="31">
        <f>3365</f>
        <v>3365</v>
      </c>
      <c r="R307" s="32" t="s">
        <v>883</v>
      </c>
      <c r="S307" s="33">
        <f>3328.75</f>
        <v>3328.75</v>
      </c>
      <c r="T307" s="30">
        <f>22285</f>
        <v>22285</v>
      </c>
      <c r="U307" s="30" t="str">
        <f>"－"</f>
        <v>－</v>
      </c>
      <c r="V307" s="30">
        <f>74732410</f>
        <v>74732410</v>
      </c>
      <c r="W307" s="30" t="str">
        <f>"－"</f>
        <v>－</v>
      </c>
      <c r="X307" s="34">
        <f>20</f>
        <v>20</v>
      </c>
    </row>
    <row r="308" spans="1:24" x14ac:dyDescent="0.15">
      <c r="A308" s="25" t="s">
        <v>1128</v>
      </c>
      <c r="B308" s="25" t="s">
        <v>714</v>
      </c>
      <c r="C308" s="25" t="s">
        <v>1035</v>
      </c>
      <c r="D308" s="25" t="s">
        <v>1034</v>
      </c>
      <c r="E308" s="26" t="s">
        <v>43</v>
      </c>
      <c r="F308" s="27" t="s">
        <v>43</v>
      </c>
      <c r="G308" s="28" t="s">
        <v>43</v>
      </c>
      <c r="H308" s="29"/>
      <c r="I308" s="29" t="s">
        <v>44</v>
      </c>
      <c r="J308" s="30">
        <v>1</v>
      </c>
      <c r="K308" s="31">
        <f>1658</f>
        <v>1658</v>
      </c>
      <c r="L308" s="32" t="s">
        <v>1110</v>
      </c>
      <c r="M308" s="31">
        <f>1701</f>
        <v>1701</v>
      </c>
      <c r="N308" s="32" t="s">
        <v>883</v>
      </c>
      <c r="O308" s="31">
        <f>1625</f>
        <v>1625</v>
      </c>
      <c r="P308" s="32" t="s">
        <v>677</v>
      </c>
      <c r="Q308" s="31">
        <f>1701</f>
        <v>1701</v>
      </c>
      <c r="R308" s="32" t="s">
        <v>883</v>
      </c>
      <c r="S308" s="33">
        <f>1673</f>
        <v>1673</v>
      </c>
      <c r="T308" s="30">
        <f>64965</f>
        <v>64965</v>
      </c>
      <c r="U308" s="30">
        <f>1</f>
        <v>1</v>
      </c>
      <c r="V308" s="30">
        <f>107881415</f>
        <v>107881415</v>
      </c>
      <c r="W308" s="30">
        <f>1701</f>
        <v>1701</v>
      </c>
      <c r="X308" s="34">
        <f>20</f>
        <v>20</v>
      </c>
    </row>
    <row r="309" spans="1:24" x14ac:dyDescent="0.15">
      <c r="A309" s="25" t="s">
        <v>1128</v>
      </c>
      <c r="B309" s="25" t="s">
        <v>715</v>
      </c>
      <c r="C309" s="25" t="s">
        <v>716</v>
      </c>
      <c r="D309" s="25" t="s">
        <v>717</v>
      </c>
      <c r="E309" s="26" t="s">
        <v>43</v>
      </c>
      <c r="F309" s="27" t="s">
        <v>43</v>
      </c>
      <c r="G309" s="28" t="s">
        <v>43</v>
      </c>
      <c r="H309" s="29"/>
      <c r="I309" s="29" t="s">
        <v>44</v>
      </c>
      <c r="J309" s="30">
        <v>1</v>
      </c>
      <c r="K309" s="31">
        <f>2153</f>
        <v>2153</v>
      </c>
      <c r="L309" s="32" t="s">
        <v>1110</v>
      </c>
      <c r="M309" s="31">
        <f>2200</f>
        <v>2200</v>
      </c>
      <c r="N309" s="32" t="s">
        <v>1115</v>
      </c>
      <c r="O309" s="31">
        <f>2050</f>
        <v>2050</v>
      </c>
      <c r="P309" s="32" t="s">
        <v>677</v>
      </c>
      <c r="Q309" s="31">
        <f>2137</f>
        <v>2137</v>
      </c>
      <c r="R309" s="32" t="s">
        <v>883</v>
      </c>
      <c r="S309" s="33">
        <f>2136</f>
        <v>2136</v>
      </c>
      <c r="T309" s="30">
        <f>268404</f>
        <v>268404</v>
      </c>
      <c r="U309" s="30">
        <f>10001</f>
        <v>10001</v>
      </c>
      <c r="V309" s="30">
        <f>570084551</f>
        <v>570084551</v>
      </c>
      <c r="W309" s="30">
        <f>21463170</f>
        <v>21463170</v>
      </c>
      <c r="X309" s="34">
        <f>20</f>
        <v>20</v>
      </c>
    </row>
    <row r="310" spans="1:24" x14ac:dyDescent="0.15">
      <c r="A310" s="25" t="s">
        <v>1128</v>
      </c>
      <c r="B310" s="25" t="s">
        <v>718</v>
      </c>
      <c r="C310" s="25" t="s">
        <v>719</v>
      </c>
      <c r="D310" s="25" t="s">
        <v>720</v>
      </c>
      <c r="E310" s="26" t="s">
        <v>43</v>
      </c>
      <c r="F310" s="27" t="s">
        <v>43</v>
      </c>
      <c r="G310" s="28" t="s">
        <v>43</v>
      </c>
      <c r="H310" s="29"/>
      <c r="I310" s="29" t="s">
        <v>44</v>
      </c>
      <c r="J310" s="30">
        <v>1</v>
      </c>
      <c r="K310" s="31">
        <f>1677</f>
        <v>1677</v>
      </c>
      <c r="L310" s="32" t="s">
        <v>1110</v>
      </c>
      <c r="M310" s="31">
        <f>1696</f>
        <v>1696</v>
      </c>
      <c r="N310" s="32" t="s">
        <v>675</v>
      </c>
      <c r="O310" s="31">
        <f>1624</f>
        <v>1624</v>
      </c>
      <c r="P310" s="32" t="s">
        <v>1117</v>
      </c>
      <c r="Q310" s="31">
        <f>1642</f>
        <v>1642</v>
      </c>
      <c r="R310" s="32" t="s">
        <v>883</v>
      </c>
      <c r="S310" s="33">
        <f>1658.9</f>
        <v>1658.9</v>
      </c>
      <c r="T310" s="30">
        <f>39010</f>
        <v>39010</v>
      </c>
      <c r="U310" s="30" t="str">
        <f>"－"</f>
        <v>－</v>
      </c>
      <c r="V310" s="30">
        <f>64981563</f>
        <v>64981563</v>
      </c>
      <c r="W310" s="30" t="str">
        <f>"－"</f>
        <v>－</v>
      </c>
      <c r="X310" s="34">
        <f>20</f>
        <v>20</v>
      </c>
    </row>
    <row r="311" spans="1:24" x14ac:dyDescent="0.15">
      <c r="A311" s="25" t="s">
        <v>1128</v>
      </c>
      <c r="B311" s="25" t="s">
        <v>721</v>
      </c>
      <c r="C311" s="25" t="s">
        <v>722</v>
      </c>
      <c r="D311" s="25" t="s">
        <v>723</v>
      </c>
      <c r="E311" s="26" t="s">
        <v>43</v>
      </c>
      <c r="F311" s="27" t="s">
        <v>43</v>
      </c>
      <c r="G311" s="28" t="s">
        <v>43</v>
      </c>
      <c r="H311" s="29"/>
      <c r="I311" s="29" t="s">
        <v>44</v>
      </c>
      <c r="J311" s="30">
        <v>1</v>
      </c>
      <c r="K311" s="31">
        <f>3025</f>
        <v>3025</v>
      </c>
      <c r="L311" s="32" t="s">
        <v>1110</v>
      </c>
      <c r="M311" s="31">
        <f>3035</f>
        <v>3035</v>
      </c>
      <c r="N311" s="32" t="s">
        <v>1112</v>
      </c>
      <c r="O311" s="31">
        <f>2881</f>
        <v>2881</v>
      </c>
      <c r="P311" s="32" t="s">
        <v>677</v>
      </c>
      <c r="Q311" s="31">
        <f>2964</f>
        <v>2964</v>
      </c>
      <c r="R311" s="32" t="s">
        <v>883</v>
      </c>
      <c r="S311" s="33">
        <f>2954.5</f>
        <v>2954.5</v>
      </c>
      <c r="T311" s="30">
        <f>37767</f>
        <v>37767</v>
      </c>
      <c r="U311" s="30" t="str">
        <f>"－"</f>
        <v>－</v>
      </c>
      <c r="V311" s="30">
        <f>111726143</f>
        <v>111726143</v>
      </c>
      <c r="W311" s="30" t="str">
        <f>"－"</f>
        <v>－</v>
      </c>
      <c r="X311" s="34">
        <f>20</f>
        <v>20</v>
      </c>
    </row>
    <row r="312" spans="1:24" x14ac:dyDescent="0.15">
      <c r="A312" s="25" t="s">
        <v>1128</v>
      </c>
      <c r="B312" s="25" t="s">
        <v>724</v>
      </c>
      <c r="C312" s="25" t="s">
        <v>1033</v>
      </c>
      <c r="D312" s="25" t="s">
        <v>1032</v>
      </c>
      <c r="E312" s="26" t="s">
        <v>43</v>
      </c>
      <c r="F312" s="27" t="s">
        <v>43</v>
      </c>
      <c r="G312" s="28" t="s">
        <v>43</v>
      </c>
      <c r="H312" s="29"/>
      <c r="I312" s="29" t="s">
        <v>44</v>
      </c>
      <c r="J312" s="30">
        <v>1</v>
      </c>
      <c r="K312" s="31">
        <f>2965</f>
        <v>2965</v>
      </c>
      <c r="L312" s="32" t="s">
        <v>1110</v>
      </c>
      <c r="M312" s="31">
        <f>3185</f>
        <v>3185</v>
      </c>
      <c r="N312" s="32" t="s">
        <v>675</v>
      </c>
      <c r="O312" s="31">
        <f>2868</f>
        <v>2868</v>
      </c>
      <c r="P312" s="32" t="s">
        <v>677</v>
      </c>
      <c r="Q312" s="31">
        <f>3135</f>
        <v>3135</v>
      </c>
      <c r="R312" s="32" t="s">
        <v>883</v>
      </c>
      <c r="S312" s="33">
        <f>3040.95</f>
        <v>3040.95</v>
      </c>
      <c r="T312" s="30">
        <f>838214</f>
        <v>838214</v>
      </c>
      <c r="U312" s="30">
        <f>321030</f>
        <v>321030</v>
      </c>
      <c r="V312" s="30">
        <f>2562382657</f>
        <v>2562382657</v>
      </c>
      <c r="W312" s="30">
        <f>1007141835</f>
        <v>1007141835</v>
      </c>
      <c r="X312" s="34">
        <f>20</f>
        <v>20</v>
      </c>
    </row>
    <row r="313" spans="1:24" x14ac:dyDescent="0.15">
      <c r="A313" s="25" t="s">
        <v>1128</v>
      </c>
      <c r="B313" s="25" t="s">
        <v>725</v>
      </c>
      <c r="C313" s="25" t="s">
        <v>726</v>
      </c>
      <c r="D313" s="25" t="s">
        <v>727</v>
      </c>
      <c r="E313" s="26" t="s">
        <v>43</v>
      </c>
      <c r="F313" s="27" t="s">
        <v>43</v>
      </c>
      <c r="G313" s="28" t="s">
        <v>43</v>
      </c>
      <c r="H313" s="29"/>
      <c r="I313" s="29" t="s">
        <v>44</v>
      </c>
      <c r="J313" s="30">
        <v>1</v>
      </c>
      <c r="K313" s="31">
        <f>35520</f>
        <v>35520</v>
      </c>
      <c r="L313" s="32" t="s">
        <v>1110</v>
      </c>
      <c r="M313" s="31">
        <f>37210</f>
        <v>37210</v>
      </c>
      <c r="N313" s="32" t="s">
        <v>874</v>
      </c>
      <c r="O313" s="31">
        <f>34730</f>
        <v>34730</v>
      </c>
      <c r="P313" s="32" t="s">
        <v>677</v>
      </c>
      <c r="Q313" s="31">
        <f>36890</f>
        <v>36890</v>
      </c>
      <c r="R313" s="32" t="s">
        <v>883</v>
      </c>
      <c r="S313" s="33">
        <f>36053.5</f>
        <v>36053.5</v>
      </c>
      <c r="T313" s="30">
        <f>1637</f>
        <v>1637</v>
      </c>
      <c r="U313" s="30" t="str">
        <f>"－"</f>
        <v>－</v>
      </c>
      <c r="V313" s="30">
        <f>58786190</f>
        <v>58786190</v>
      </c>
      <c r="W313" s="30" t="str">
        <f>"－"</f>
        <v>－</v>
      </c>
      <c r="X313" s="34">
        <f>20</f>
        <v>20</v>
      </c>
    </row>
    <row r="314" spans="1:24" x14ac:dyDescent="0.15">
      <c r="A314" s="25" t="s">
        <v>1128</v>
      </c>
      <c r="B314" s="25" t="s">
        <v>728</v>
      </c>
      <c r="C314" s="25" t="s">
        <v>729</v>
      </c>
      <c r="D314" s="25" t="s">
        <v>730</v>
      </c>
      <c r="E314" s="26" t="s">
        <v>43</v>
      </c>
      <c r="F314" s="27" t="s">
        <v>43</v>
      </c>
      <c r="G314" s="28" t="s">
        <v>43</v>
      </c>
      <c r="H314" s="29"/>
      <c r="I314" s="29" t="s">
        <v>44</v>
      </c>
      <c r="J314" s="30">
        <v>1</v>
      </c>
      <c r="K314" s="31">
        <f>2819</f>
        <v>2819</v>
      </c>
      <c r="L314" s="32" t="s">
        <v>1110</v>
      </c>
      <c r="M314" s="31">
        <f>2967</f>
        <v>2967</v>
      </c>
      <c r="N314" s="32" t="s">
        <v>1112</v>
      </c>
      <c r="O314" s="31">
        <f>2714</f>
        <v>2714</v>
      </c>
      <c r="P314" s="32" t="s">
        <v>677</v>
      </c>
      <c r="Q314" s="31">
        <f>2896</f>
        <v>2896</v>
      </c>
      <c r="R314" s="32" t="s">
        <v>883</v>
      </c>
      <c r="S314" s="33">
        <f>2819.79</f>
        <v>2819.79</v>
      </c>
      <c r="T314" s="30">
        <f>3492</f>
        <v>3492</v>
      </c>
      <c r="U314" s="30" t="str">
        <f>"－"</f>
        <v>－</v>
      </c>
      <c r="V314" s="30">
        <f>9915675</f>
        <v>9915675</v>
      </c>
      <c r="W314" s="30" t="str">
        <f>"－"</f>
        <v>－</v>
      </c>
      <c r="X314" s="34">
        <f>19</f>
        <v>19</v>
      </c>
    </row>
    <row r="315" spans="1:24" x14ac:dyDescent="0.15">
      <c r="A315" s="25" t="s">
        <v>1128</v>
      </c>
      <c r="B315" s="25" t="s">
        <v>731</v>
      </c>
      <c r="C315" s="25" t="s">
        <v>732</v>
      </c>
      <c r="D315" s="25" t="s">
        <v>733</v>
      </c>
      <c r="E315" s="26" t="s">
        <v>43</v>
      </c>
      <c r="F315" s="27" t="s">
        <v>43</v>
      </c>
      <c r="G315" s="28" t="s">
        <v>43</v>
      </c>
      <c r="H315" s="29"/>
      <c r="I315" s="29" t="s">
        <v>44</v>
      </c>
      <c r="J315" s="30">
        <v>1</v>
      </c>
      <c r="K315" s="31">
        <f>4865</f>
        <v>4865</v>
      </c>
      <c r="L315" s="32" t="s">
        <v>1110</v>
      </c>
      <c r="M315" s="31">
        <f>5150</f>
        <v>5150</v>
      </c>
      <c r="N315" s="32" t="s">
        <v>1115</v>
      </c>
      <c r="O315" s="31">
        <f>4575</f>
        <v>4575</v>
      </c>
      <c r="P315" s="32" t="s">
        <v>875</v>
      </c>
      <c r="Q315" s="31">
        <f>5120</f>
        <v>5120</v>
      </c>
      <c r="R315" s="32" t="s">
        <v>883</v>
      </c>
      <c r="S315" s="33">
        <f>4905</f>
        <v>4905</v>
      </c>
      <c r="T315" s="30">
        <f>21517312</f>
        <v>21517312</v>
      </c>
      <c r="U315" s="30">
        <f>460527</f>
        <v>460527</v>
      </c>
      <c r="V315" s="30">
        <f>105366966191</f>
        <v>105366966191</v>
      </c>
      <c r="W315" s="30">
        <f>2210753066</f>
        <v>2210753066</v>
      </c>
      <c r="X315" s="34">
        <f>20</f>
        <v>20</v>
      </c>
    </row>
    <row r="316" spans="1:24" x14ac:dyDescent="0.15">
      <c r="A316" s="25" t="s">
        <v>1128</v>
      </c>
      <c r="B316" s="25" t="s">
        <v>734</v>
      </c>
      <c r="C316" s="25" t="s">
        <v>735</v>
      </c>
      <c r="D316" s="25" t="s">
        <v>736</v>
      </c>
      <c r="E316" s="26" t="s">
        <v>43</v>
      </c>
      <c r="F316" s="27" t="s">
        <v>43</v>
      </c>
      <c r="G316" s="28" t="s">
        <v>43</v>
      </c>
      <c r="H316" s="29"/>
      <c r="I316" s="29" t="s">
        <v>44</v>
      </c>
      <c r="J316" s="30">
        <v>1</v>
      </c>
      <c r="K316" s="31">
        <f>2091</f>
        <v>2091</v>
      </c>
      <c r="L316" s="32" t="s">
        <v>1110</v>
      </c>
      <c r="M316" s="31">
        <f>2180</f>
        <v>2180</v>
      </c>
      <c r="N316" s="32" t="s">
        <v>679</v>
      </c>
      <c r="O316" s="31">
        <f>2042</f>
        <v>2042</v>
      </c>
      <c r="P316" s="32" t="s">
        <v>677</v>
      </c>
      <c r="Q316" s="31">
        <f>2151</f>
        <v>2151</v>
      </c>
      <c r="R316" s="32" t="s">
        <v>883</v>
      </c>
      <c r="S316" s="33">
        <f>2109.2</f>
        <v>2109.1999999999998</v>
      </c>
      <c r="T316" s="30">
        <f>56661</f>
        <v>56661</v>
      </c>
      <c r="U316" s="30" t="str">
        <f>"－"</f>
        <v>－</v>
      </c>
      <c r="V316" s="30">
        <f>119263585</f>
        <v>119263585</v>
      </c>
      <c r="W316" s="30" t="str">
        <f>"－"</f>
        <v>－</v>
      </c>
      <c r="X316" s="34">
        <f>20</f>
        <v>20</v>
      </c>
    </row>
    <row r="317" spans="1:24" x14ac:dyDescent="0.15">
      <c r="A317" s="25" t="s">
        <v>1128</v>
      </c>
      <c r="B317" s="25" t="s">
        <v>737</v>
      </c>
      <c r="C317" s="25" t="s">
        <v>738</v>
      </c>
      <c r="D317" s="25" t="s">
        <v>739</v>
      </c>
      <c r="E317" s="26" t="s">
        <v>43</v>
      </c>
      <c r="F317" s="27" t="s">
        <v>43</v>
      </c>
      <c r="G317" s="28" t="s">
        <v>43</v>
      </c>
      <c r="H317" s="29"/>
      <c r="I317" s="29" t="s">
        <v>44</v>
      </c>
      <c r="J317" s="30">
        <v>1</v>
      </c>
      <c r="K317" s="31">
        <f>1830</f>
        <v>1830</v>
      </c>
      <c r="L317" s="32" t="s">
        <v>1110</v>
      </c>
      <c r="M317" s="31">
        <f>1960</f>
        <v>1960</v>
      </c>
      <c r="N317" s="32" t="s">
        <v>1111</v>
      </c>
      <c r="O317" s="31">
        <f>1782</f>
        <v>1782</v>
      </c>
      <c r="P317" s="32" t="s">
        <v>677</v>
      </c>
      <c r="Q317" s="31">
        <f>1950</f>
        <v>1950</v>
      </c>
      <c r="R317" s="32" t="s">
        <v>883</v>
      </c>
      <c r="S317" s="33">
        <f>1880.4</f>
        <v>1880.4</v>
      </c>
      <c r="T317" s="30">
        <f>10319</f>
        <v>10319</v>
      </c>
      <c r="U317" s="30" t="str">
        <f>"－"</f>
        <v>－</v>
      </c>
      <c r="V317" s="30">
        <f>19399733</f>
        <v>19399733</v>
      </c>
      <c r="W317" s="30" t="str">
        <f>"－"</f>
        <v>－</v>
      </c>
      <c r="X317" s="34">
        <f>20</f>
        <v>20</v>
      </c>
    </row>
    <row r="318" spans="1:24" x14ac:dyDescent="0.15">
      <c r="A318" s="25" t="s">
        <v>1128</v>
      </c>
      <c r="B318" s="25" t="s">
        <v>740</v>
      </c>
      <c r="C318" s="25" t="s">
        <v>741</v>
      </c>
      <c r="D318" s="25" t="s">
        <v>742</v>
      </c>
      <c r="E318" s="26" t="s">
        <v>43</v>
      </c>
      <c r="F318" s="27" t="s">
        <v>43</v>
      </c>
      <c r="G318" s="28" t="s">
        <v>43</v>
      </c>
      <c r="H318" s="29"/>
      <c r="I318" s="29" t="s">
        <v>44</v>
      </c>
      <c r="J318" s="30">
        <v>10</v>
      </c>
      <c r="K318" s="31">
        <f>5555</f>
        <v>5555</v>
      </c>
      <c r="L318" s="32" t="s">
        <v>1110</v>
      </c>
      <c r="M318" s="31">
        <f>5611</f>
        <v>5611</v>
      </c>
      <c r="N318" s="32" t="s">
        <v>1114</v>
      </c>
      <c r="O318" s="31">
        <f>5440</f>
        <v>5440</v>
      </c>
      <c r="P318" s="32" t="s">
        <v>875</v>
      </c>
      <c r="Q318" s="31">
        <f>5611</f>
        <v>5611</v>
      </c>
      <c r="R318" s="32" t="s">
        <v>883</v>
      </c>
      <c r="S318" s="33">
        <f>5537.11</f>
        <v>5537.11</v>
      </c>
      <c r="T318" s="30">
        <f>263680</f>
        <v>263680</v>
      </c>
      <c r="U318" s="30">
        <f>19000</f>
        <v>19000</v>
      </c>
      <c r="V318" s="30">
        <f>1464456189</f>
        <v>1464456189</v>
      </c>
      <c r="W318" s="30">
        <f>105391709</f>
        <v>105391709</v>
      </c>
      <c r="X318" s="34">
        <f>18</f>
        <v>18</v>
      </c>
    </row>
    <row r="319" spans="1:24" x14ac:dyDescent="0.15">
      <c r="A319" s="25" t="s">
        <v>1128</v>
      </c>
      <c r="B319" s="25" t="s">
        <v>743</v>
      </c>
      <c r="C319" s="25" t="s">
        <v>744</v>
      </c>
      <c r="D319" s="25" t="s">
        <v>745</v>
      </c>
      <c r="E319" s="26" t="s">
        <v>43</v>
      </c>
      <c r="F319" s="27" t="s">
        <v>43</v>
      </c>
      <c r="G319" s="28" t="s">
        <v>43</v>
      </c>
      <c r="H319" s="29"/>
      <c r="I319" s="29" t="s">
        <v>44</v>
      </c>
      <c r="J319" s="30">
        <v>10</v>
      </c>
      <c r="K319" s="31">
        <f>3776</f>
        <v>3776</v>
      </c>
      <c r="L319" s="32" t="s">
        <v>1110</v>
      </c>
      <c r="M319" s="31">
        <f>4073</f>
        <v>4073</v>
      </c>
      <c r="N319" s="32" t="s">
        <v>674</v>
      </c>
      <c r="O319" s="31">
        <f>3734</f>
        <v>3734</v>
      </c>
      <c r="P319" s="32" t="s">
        <v>680</v>
      </c>
      <c r="Q319" s="31">
        <f>3832</f>
        <v>3832</v>
      </c>
      <c r="R319" s="32" t="s">
        <v>883</v>
      </c>
      <c r="S319" s="33">
        <f>3776.55</f>
        <v>3776.55</v>
      </c>
      <c r="T319" s="30">
        <f>767310</f>
        <v>767310</v>
      </c>
      <c r="U319" s="30">
        <f>704100</f>
        <v>704100</v>
      </c>
      <c r="V319" s="30">
        <f>2882282859</f>
        <v>2882282859</v>
      </c>
      <c r="W319" s="30">
        <f>2644786309</f>
        <v>2644786309</v>
      </c>
      <c r="X319" s="34">
        <f>20</f>
        <v>20</v>
      </c>
    </row>
    <row r="320" spans="1:24" x14ac:dyDescent="0.15">
      <c r="A320" s="25" t="s">
        <v>1128</v>
      </c>
      <c r="B320" s="25" t="s">
        <v>746</v>
      </c>
      <c r="C320" s="25" t="s">
        <v>747</v>
      </c>
      <c r="D320" s="25" t="s">
        <v>748</v>
      </c>
      <c r="E320" s="26" t="s">
        <v>43</v>
      </c>
      <c r="F320" s="27" t="s">
        <v>43</v>
      </c>
      <c r="G320" s="28" t="s">
        <v>43</v>
      </c>
      <c r="H320" s="29"/>
      <c r="I320" s="29" t="s">
        <v>44</v>
      </c>
      <c r="J320" s="30">
        <v>10</v>
      </c>
      <c r="K320" s="31">
        <f>637</f>
        <v>637</v>
      </c>
      <c r="L320" s="32" t="s">
        <v>1110</v>
      </c>
      <c r="M320" s="31">
        <f>643.2</f>
        <v>643.20000000000005</v>
      </c>
      <c r="N320" s="32" t="s">
        <v>684</v>
      </c>
      <c r="O320" s="31">
        <f>633.5</f>
        <v>633.5</v>
      </c>
      <c r="P320" s="32" t="s">
        <v>680</v>
      </c>
      <c r="Q320" s="31">
        <f>640.1</f>
        <v>640.1</v>
      </c>
      <c r="R320" s="32" t="s">
        <v>883</v>
      </c>
      <c r="S320" s="33">
        <f>638.96</f>
        <v>638.96</v>
      </c>
      <c r="T320" s="30">
        <f>6250</f>
        <v>6250</v>
      </c>
      <c r="U320" s="30" t="str">
        <f>"－"</f>
        <v>－</v>
      </c>
      <c r="V320" s="30">
        <f>3984510</f>
        <v>3984510</v>
      </c>
      <c r="W320" s="30" t="str">
        <f>"－"</f>
        <v>－</v>
      </c>
      <c r="X320" s="34">
        <f>20</f>
        <v>20</v>
      </c>
    </row>
    <row r="321" spans="1:24" x14ac:dyDescent="0.15">
      <c r="A321" s="25" t="s">
        <v>1128</v>
      </c>
      <c r="B321" s="25" t="s">
        <v>749</v>
      </c>
      <c r="C321" s="25" t="s">
        <v>750</v>
      </c>
      <c r="D321" s="25" t="s">
        <v>751</v>
      </c>
      <c r="E321" s="26" t="s">
        <v>43</v>
      </c>
      <c r="F321" s="27" t="s">
        <v>43</v>
      </c>
      <c r="G321" s="28" t="s">
        <v>43</v>
      </c>
      <c r="H321" s="29"/>
      <c r="I321" s="29" t="s">
        <v>44</v>
      </c>
      <c r="J321" s="30">
        <v>1</v>
      </c>
      <c r="K321" s="31">
        <f>2618</f>
        <v>2618</v>
      </c>
      <c r="L321" s="32" t="s">
        <v>1110</v>
      </c>
      <c r="M321" s="31">
        <f>2683</f>
        <v>2683</v>
      </c>
      <c r="N321" s="32" t="s">
        <v>1115</v>
      </c>
      <c r="O321" s="31">
        <f>2502</f>
        <v>2502</v>
      </c>
      <c r="P321" s="32" t="s">
        <v>875</v>
      </c>
      <c r="Q321" s="31">
        <f>2612</f>
        <v>2612</v>
      </c>
      <c r="R321" s="32" t="s">
        <v>883</v>
      </c>
      <c r="S321" s="33">
        <f>2600.85</f>
        <v>2600.85</v>
      </c>
      <c r="T321" s="30">
        <f>5192</f>
        <v>5192</v>
      </c>
      <c r="U321" s="30" t="str">
        <f>"－"</f>
        <v>－</v>
      </c>
      <c r="V321" s="30">
        <f>13516856</f>
        <v>13516856</v>
      </c>
      <c r="W321" s="30" t="str">
        <f>"－"</f>
        <v>－</v>
      </c>
      <c r="X321" s="34">
        <f>20</f>
        <v>20</v>
      </c>
    </row>
    <row r="322" spans="1:24" x14ac:dyDescent="0.15">
      <c r="A322" s="25" t="s">
        <v>1128</v>
      </c>
      <c r="B322" s="25" t="s">
        <v>752</v>
      </c>
      <c r="C322" s="25" t="s">
        <v>1031</v>
      </c>
      <c r="D322" s="25" t="s">
        <v>1030</v>
      </c>
      <c r="E322" s="26" t="s">
        <v>43</v>
      </c>
      <c r="F322" s="27" t="s">
        <v>43</v>
      </c>
      <c r="G322" s="28" t="s">
        <v>43</v>
      </c>
      <c r="H322" s="29"/>
      <c r="I322" s="29" t="s">
        <v>44</v>
      </c>
      <c r="J322" s="30">
        <v>1</v>
      </c>
      <c r="K322" s="31">
        <f>2279</f>
        <v>2279</v>
      </c>
      <c r="L322" s="32" t="s">
        <v>1110</v>
      </c>
      <c r="M322" s="31">
        <f>2470</f>
        <v>2470</v>
      </c>
      <c r="N322" s="32" t="s">
        <v>875</v>
      </c>
      <c r="O322" s="31">
        <f>2182</f>
        <v>2182</v>
      </c>
      <c r="P322" s="32" t="s">
        <v>1117</v>
      </c>
      <c r="Q322" s="31">
        <f>2234</f>
        <v>2234</v>
      </c>
      <c r="R322" s="32" t="s">
        <v>883</v>
      </c>
      <c r="S322" s="33">
        <f>2246.1</f>
        <v>2246.1</v>
      </c>
      <c r="T322" s="30">
        <f>16117</f>
        <v>16117</v>
      </c>
      <c r="U322" s="30">
        <f>4</f>
        <v>4</v>
      </c>
      <c r="V322" s="30">
        <f>36122069</f>
        <v>36122069</v>
      </c>
      <c r="W322" s="30">
        <f>9284</f>
        <v>9284</v>
      </c>
      <c r="X322" s="34">
        <f>20</f>
        <v>20</v>
      </c>
    </row>
    <row r="323" spans="1:24" x14ac:dyDescent="0.15">
      <c r="A323" s="25" t="s">
        <v>1128</v>
      </c>
      <c r="B323" s="25" t="s">
        <v>753</v>
      </c>
      <c r="C323" s="25" t="s">
        <v>754</v>
      </c>
      <c r="D323" s="25" t="s">
        <v>755</v>
      </c>
      <c r="E323" s="26" t="s">
        <v>43</v>
      </c>
      <c r="F323" s="27" t="s">
        <v>43</v>
      </c>
      <c r="G323" s="28" t="s">
        <v>43</v>
      </c>
      <c r="H323" s="29"/>
      <c r="I323" s="29" t="s">
        <v>44</v>
      </c>
      <c r="J323" s="30">
        <v>1</v>
      </c>
      <c r="K323" s="31">
        <f>8245</f>
        <v>8245</v>
      </c>
      <c r="L323" s="32" t="s">
        <v>1110</v>
      </c>
      <c r="M323" s="31">
        <f>8391</f>
        <v>8391</v>
      </c>
      <c r="N323" s="32" t="s">
        <v>1111</v>
      </c>
      <c r="O323" s="31">
        <f>8146</f>
        <v>8146</v>
      </c>
      <c r="P323" s="32" t="s">
        <v>875</v>
      </c>
      <c r="Q323" s="31">
        <f>8375</f>
        <v>8375</v>
      </c>
      <c r="R323" s="32" t="s">
        <v>883</v>
      </c>
      <c r="S323" s="33">
        <f>8272.45</f>
        <v>8272.4500000000007</v>
      </c>
      <c r="T323" s="30">
        <f>291022</f>
        <v>291022</v>
      </c>
      <c r="U323" s="30">
        <f>250004</f>
        <v>250004</v>
      </c>
      <c r="V323" s="30">
        <f>2381749000</f>
        <v>2381749000</v>
      </c>
      <c r="W323" s="30">
        <f>2041319659</f>
        <v>2041319659</v>
      </c>
      <c r="X323" s="34">
        <f>20</f>
        <v>20</v>
      </c>
    </row>
    <row r="324" spans="1:24" x14ac:dyDescent="0.15">
      <c r="A324" s="25" t="s">
        <v>1128</v>
      </c>
      <c r="B324" s="25" t="s">
        <v>756</v>
      </c>
      <c r="C324" s="25" t="s">
        <v>757</v>
      </c>
      <c r="D324" s="25" t="s">
        <v>758</v>
      </c>
      <c r="E324" s="26" t="s">
        <v>43</v>
      </c>
      <c r="F324" s="27" t="s">
        <v>43</v>
      </c>
      <c r="G324" s="28" t="s">
        <v>43</v>
      </c>
      <c r="H324" s="29"/>
      <c r="I324" s="29" t="s">
        <v>44</v>
      </c>
      <c r="J324" s="30">
        <v>1</v>
      </c>
      <c r="K324" s="31">
        <f>5602</f>
        <v>5602</v>
      </c>
      <c r="L324" s="32" t="s">
        <v>1110</v>
      </c>
      <c r="M324" s="31">
        <f>5750</f>
        <v>5750</v>
      </c>
      <c r="N324" s="32" t="s">
        <v>883</v>
      </c>
      <c r="O324" s="31">
        <f>5578</f>
        <v>5578</v>
      </c>
      <c r="P324" s="32" t="s">
        <v>680</v>
      </c>
      <c r="Q324" s="31">
        <f>5654</f>
        <v>5654</v>
      </c>
      <c r="R324" s="32" t="s">
        <v>883</v>
      </c>
      <c r="S324" s="33">
        <f>5635.05</f>
        <v>5635.05</v>
      </c>
      <c r="T324" s="30">
        <f>282646</f>
        <v>282646</v>
      </c>
      <c r="U324" s="30">
        <f>266977</f>
        <v>266977</v>
      </c>
      <c r="V324" s="30">
        <f>1588436452</f>
        <v>1588436452</v>
      </c>
      <c r="W324" s="30">
        <f>1500114634</f>
        <v>1500114634</v>
      </c>
      <c r="X324" s="34">
        <f>20</f>
        <v>20</v>
      </c>
    </row>
    <row r="325" spans="1:24" x14ac:dyDescent="0.15">
      <c r="A325" s="25" t="s">
        <v>1128</v>
      </c>
      <c r="B325" s="25" t="s">
        <v>762</v>
      </c>
      <c r="C325" s="25" t="s">
        <v>763</v>
      </c>
      <c r="D325" s="25" t="s">
        <v>764</v>
      </c>
      <c r="E325" s="26" t="s">
        <v>43</v>
      </c>
      <c r="F325" s="27" t="s">
        <v>43</v>
      </c>
      <c r="G325" s="28" t="s">
        <v>43</v>
      </c>
      <c r="H325" s="29"/>
      <c r="I325" s="29" t="s">
        <v>44</v>
      </c>
      <c r="J325" s="30">
        <v>1</v>
      </c>
      <c r="K325" s="31">
        <f>25115</f>
        <v>25115</v>
      </c>
      <c r="L325" s="32" t="s">
        <v>1110</v>
      </c>
      <c r="M325" s="31">
        <f>26640</f>
        <v>26640</v>
      </c>
      <c r="N325" s="32" t="s">
        <v>883</v>
      </c>
      <c r="O325" s="31">
        <f>24420</f>
        <v>24420</v>
      </c>
      <c r="P325" s="32" t="s">
        <v>684</v>
      </c>
      <c r="Q325" s="31">
        <f>25580</f>
        <v>25580</v>
      </c>
      <c r="R325" s="32" t="s">
        <v>883</v>
      </c>
      <c r="S325" s="33">
        <f>25201.25</f>
        <v>25201.25</v>
      </c>
      <c r="T325" s="30">
        <f>129850</f>
        <v>129850</v>
      </c>
      <c r="U325" s="30">
        <f>1</f>
        <v>1</v>
      </c>
      <c r="V325" s="30">
        <f>3242688210</f>
        <v>3242688210</v>
      </c>
      <c r="W325" s="30">
        <f>25580</f>
        <v>25580</v>
      </c>
      <c r="X325" s="34">
        <f>20</f>
        <v>20</v>
      </c>
    </row>
    <row r="326" spans="1:24" x14ac:dyDescent="0.15">
      <c r="A326" s="25" t="s">
        <v>1128</v>
      </c>
      <c r="B326" s="25" t="s">
        <v>765</v>
      </c>
      <c r="C326" s="25" t="s">
        <v>766</v>
      </c>
      <c r="D326" s="25" t="s">
        <v>767</v>
      </c>
      <c r="E326" s="26" t="s">
        <v>43</v>
      </c>
      <c r="F326" s="27" t="s">
        <v>43</v>
      </c>
      <c r="G326" s="28" t="s">
        <v>43</v>
      </c>
      <c r="H326" s="29"/>
      <c r="I326" s="29" t="s">
        <v>44</v>
      </c>
      <c r="J326" s="30">
        <v>1</v>
      </c>
      <c r="K326" s="31">
        <f>11495</f>
        <v>11495</v>
      </c>
      <c r="L326" s="32" t="s">
        <v>1110</v>
      </c>
      <c r="M326" s="31">
        <f>11720</f>
        <v>11720</v>
      </c>
      <c r="N326" s="32" t="s">
        <v>675</v>
      </c>
      <c r="O326" s="31">
        <f>11325</f>
        <v>11325</v>
      </c>
      <c r="P326" s="32" t="s">
        <v>678</v>
      </c>
      <c r="Q326" s="31">
        <f>11590</f>
        <v>11590</v>
      </c>
      <c r="R326" s="32" t="s">
        <v>883</v>
      </c>
      <c r="S326" s="33">
        <f>11540.75</f>
        <v>11540.75</v>
      </c>
      <c r="T326" s="30">
        <f>383450</f>
        <v>383450</v>
      </c>
      <c r="U326" s="30">
        <f>162500</f>
        <v>162500</v>
      </c>
      <c r="V326" s="30">
        <f>4436902343</f>
        <v>4436902343</v>
      </c>
      <c r="W326" s="30">
        <f>1888199228</f>
        <v>1888199228</v>
      </c>
      <c r="X326" s="34">
        <f>20</f>
        <v>20</v>
      </c>
    </row>
    <row r="327" spans="1:24" x14ac:dyDescent="0.15">
      <c r="A327" s="25" t="s">
        <v>1128</v>
      </c>
      <c r="B327" s="25" t="s">
        <v>768</v>
      </c>
      <c r="C327" s="25" t="s">
        <v>769</v>
      </c>
      <c r="D327" s="25" t="s">
        <v>770</v>
      </c>
      <c r="E327" s="26" t="s">
        <v>43</v>
      </c>
      <c r="F327" s="27" t="s">
        <v>43</v>
      </c>
      <c r="G327" s="28" t="s">
        <v>43</v>
      </c>
      <c r="H327" s="29"/>
      <c r="I327" s="29" t="s">
        <v>44</v>
      </c>
      <c r="J327" s="30">
        <v>1</v>
      </c>
      <c r="K327" s="31">
        <f>20415</f>
        <v>20415</v>
      </c>
      <c r="L327" s="32" t="s">
        <v>1110</v>
      </c>
      <c r="M327" s="31">
        <f>20655</f>
        <v>20655</v>
      </c>
      <c r="N327" s="32" t="s">
        <v>678</v>
      </c>
      <c r="O327" s="31">
        <f>20035</f>
        <v>20035</v>
      </c>
      <c r="P327" s="32" t="s">
        <v>1112</v>
      </c>
      <c r="Q327" s="31">
        <f>20150</f>
        <v>20150</v>
      </c>
      <c r="R327" s="32" t="s">
        <v>883</v>
      </c>
      <c r="S327" s="33">
        <f>20277.75</f>
        <v>20277.75</v>
      </c>
      <c r="T327" s="30">
        <f>137688</f>
        <v>137688</v>
      </c>
      <c r="U327" s="30">
        <f>88800</f>
        <v>88800</v>
      </c>
      <c r="V327" s="30">
        <f>2797681110</f>
        <v>2797681110</v>
      </c>
      <c r="W327" s="30">
        <f>1806248100</f>
        <v>1806248100</v>
      </c>
      <c r="X327" s="34">
        <f>20</f>
        <v>20</v>
      </c>
    </row>
    <row r="328" spans="1:24" x14ac:dyDescent="0.15">
      <c r="A328" s="25" t="s">
        <v>1128</v>
      </c>
      <c r="B328" s="25" t="s">
        <v>771</v>
      </c>
      <c r="C328" s="25" t="s">
        <v>772</v>
      </c>
      <c r="D328" s="25" t="s">
        <v>773</v>
      </c>
      <c r="E328" s="26" t="s">
        <v>43</v>
      </c>
      <c r="F328" s="27" t="s">
        <v>43</v>
      </c>
      <c r="G328" s="28" t="s">
        <v>43</v>
      </c>
      <c r="H328" s="29"/>
      <c r="I328" s="29" t="s">
        <v>44</v>
      </c>
      <c r="J328" s="30">
        <v>10</v>
      </c>
      <c r="K328" s="31">
        <f>4198</f>
        <v>4198</v>
      </c>
      <c r="L328" s="32" t="s">
        <v>1124</v>
      </c>
      <c r="M328" s="31">
        <f>4215</f>
        <v>4215</v>
      </c>
      <c r="N328" s="32" t="s">
        <v>677</v>
      </c>
      <c r="O328" s="31">
        <f>4157</f>
        <v>4157</v>
      </c>
      <c r="P328" s="32" t="s">
        <v>875</v>
      </c>
      <c r="Q328" s="31">
        <f>4178</f>
        <v>4178</v>
      </c>
      <c r="R328" s="32" t="s">
        <v>874</v>
      </c>
      <c r="S328" s="33">
        <f>4188</f>
        <v>4188</v>
      </c>
      <c r="T328" s="30">
        <f>396420</f>
        <v>396420</v>
      </c>
      <c r="U328" s="30">
        <f>396000</f>
        <v>396000</v>
      </c>
      <c r="V328" s="30">
        <f>1655422240</f>
        <v>1655422240</v>
      </c>
      <c r="W328" s="30">
        <f>1653662950</f>
        <v>1653662950</v>
      </c>
      <c r="X328" s="34">
        <f>8</f>
        <v>8</v>
      </c>
    </row>
    <row r="329" spans="1:24" x14ac:dyDescent="0.15">
      <c r="A329" s="25" t="s">
        <v>1128</v>
      </c>
      <c r="B329" s="25" t="s">
        <v>774</v>
      </c>
      <c r="C329" s="25" t="s">
        <v>775</v>
      </c>
      <c r="D329" s="25" t="s">
        <v>776</v>
      </c>
      <c r="E329" s="26" t="s">
        <v>43</v>
      </c>
      <c r="F329" s="27" t="s">
        <v>43</v>
      </c>
      <c r="G329" s="28" t="s">
        <v>43</v>
      </c>
      <c r="H329" s="29"/>
      <c r="I329" s="29" t="s">
        <v>44</v>
      </c>
      <c r="J329" s="30">
        <v>10</v>
      </c>
      <c r="K329" s="31">
        <f>5173</f>
        <v>5173</v>
      </c>
      <c r="L329" s="32" t="s">
        <v>675</v>
      </c>
      <c r="M329" s="31">
        <f>5333</f>
        <v>5333</v>
      </c>
      <c r="N329" s="32" t="s">
        <v>883</v>
      </c>
      <c r="O329" s="31">
        <f>5130</f>
        <v>5130</v>
      </c>
      <c r="P329" s="32" t="s">
        <v>875</v>
      </c>
      <c r="Q329" s="31">
        <f>5260</f>
        <v>5260</v>
      </c>
      <c r="R329" s="32" t="s">
        <v>883</v>
      </c>
      <c r="S329" s="33">
        <f>5212.42</f>
        <v>5212.42</v>
      </c>
      <c r="T329" s="30">
        <f>26070</f>
        <v>26070</v>
      </c>
      <c r="U329" s="30">
        <f>3800</f>
        <v>3800</v>
      </c>
      <c r="V329" s="30">
        <f>136916900</f>
        <v>136916900</v>
      </c>
      <c r="W329" s="30">
        <f>19983820</f>
        <v>19983820</v>
      </c>
      <c r="X329" s="34">
        <f>19</f>
        <v>19</v>
      </c>
    </row>
    <row r="330" spans="1:24" x14ac:dyDescent="0.15">
      <c r="A330" s="25" t="s">
        <v>1128</v>
      </c>
      <c r="B330" s="25" t="s">
        <v>786</v>
      </c>
      <c r="C330" s="25" t="s">
        <v>787</v>
      </c>
      <c r="D330" s="25" t="s">
        <v>788</v>
      </c>
      <c r="E330" s="26" t="s">
        <v>43</v>
      </c>
      <c r="F330" s="27" t="s">
        <v>43</v>
      </c>
      <c r="G330" s="28" t="s">
        <v>43</v>
      </c>
      <c r="H330" s="29"/>
      <c r="I330" s="29" t="s">
        <v>44</v>
      </c>
      <c r="J330" s="30">
        <v>10</v>
      </c>
      <c r="K330" s="31">
        <f>2397.5</f>
        <v>2397.5</v>
      </c>
      <c r="L330" s="32" t="s">
        <v>1110</v>
      </c>
      <c r="M330" s="31">
        <f>2450</f>
        <v>2450</v>
      </c>
      <c r="N330" s="32" t="s">
        <v>674</v>
      </c>
      <c r="O330" s="31">
        <f>2365.5</f>
        <v>2365.5</v>
      </c>
      <c r="P330" s="32" t="s">
        <v>678</v>
      </c>
      <c r="Q330" s="31">
        <f>2414</f>
        <v>2414</v>
      </c>
      <c r="R330" s="32" t="s">
        <v>883</v>
      </c>
      <c r="S330" s="33">
        <f>2412.45</f>
        <v>2412.4499999999998</v>
      </c>
      <c r="T330" s="30">
        <f>1166350</f>
        <v>1166350</v>
      </c>
      <c r="U330" s="30">
        <f>205000</f>
        <v>205000</v>
      </c>
      <c r="V330" s="30">
        <f>2812929350</f>
        <v>2812929350</v>
      </c>
      <c r="W330" s="30">
        <f>497637500</f>
        <v>497637500</v>
      </c>
      <c r="X330" s="34">
        <f>20</f>
        <v>20</v>
      </c>
    </row>
    <row r="331" spans="1:24" x14ac:dyDescent="0.15">
      <c r="A331" s="25" t="s">
        <v>1128</v>
      </c>
      <c r="B331" s="25" t="s">
        <v>789</v>
      </c>
      <c r="C331" s="25" t="s">
        <v>790</v>
      </c>
      <c r="D331" s="25" t="s">
        <v>791</v>
      </c>
      <c r="E331" s="26" t="s">
        <v>43</v>
      </c>
      <c r="F331" s="27" t="s">
        <v>43</v>
      </c>
      <c r="G331" s="28" t="s">
        <v>43</v>
      </c>
      <c r="H331" s="29"/>
      <c r="I331" s="29" t="s">
        <v>44</v>
      </c>
      <c r="J331" s="30">
        <v>10</v>
      </c>
      <c r="K331" s="31">
        <f>2095.5</f>
        <v>2095.5</v>
      </c>
      <c r="L331" s="32" t="s">
        <v>1110</v>
      </c>
      <c r="M331" s="31">
        <f>2149.5</f>
        <v>2149.5</v>
      </c>
      <c r="N331" s="32" t="s">
        <v>883</v>
      </c>
      <c r="O331" s="31">
        <f>2070</f>
        <v>2070</v>
      </c>
      <c r="P331" s="32" t="s">
        <v>1115</v>
      </c>
      <c r="Q331" s="31">
        <f>2133.5</f>
        <v>2133.5</v>
      </c>
      <c r="R331" s="32" t="s">
        <v>883</v>
      </c>
      <c r="S331" s="33">
        <f>2098.78</f>
        <v>2098.7800000000002</v>
      </c>
      <c r="T331" s="30">
        <f>868340</f>
        <v>868340</v>
      </c>
      <c r="U331" s="30">
        <f>10</f>
        <v>10</v>
      </c>
      <c r="V331" s="30">
        <f>1829787240</f>
        <v>1829787240</v>
      </c>
      <c r="W331" s="30">
        <f>21335</f>
        <v>21335</v>
      </c>
      <c r="X331" s="34">
        <f>20</f>
        <v>20</v>
      </c>
    </row>
    <row r="332" spans="1:24" x14ac:dyDescent="0.15">
      <c r="A332" s="25" t="s">
        <v>1128</v>
      </c>
      <c r="B332" s="25" t="s">
        <v>792</v>
      </c>
      <c r="C332" s="25" t="s">
        <v>793</v>
      </c>
      <c r="D332" s="25" t="s">
        <v>794</v>
      </c>
      <c r="E332" s="26" t="s">
        <v>43</v>
      </c>
      <c r="F332" s="27" t="s">
        <v>43</v>
      </c>
      <c r="G332" s="28" t="s">
        <v>43</v>
      </c>
      <c r="H332" s="29"/>
      <c r="I332" s="29" t="s">
        <v>44</v>
      </c>
      <c r="J332" s="30">
        <v>1</v>
      </c>
      <c r="K332" s="31">
        <f>1912</f>
        <v>1912</v>
      </c>
      <c r="L332" s="32" t="s">
        <v>1110</v>
      </c>
      <c r="M332" s="31">
        <f>1960</f>
        <v>1960</v>
      </c>
      <c r="N332" s="32" t="s">
        <v>1111</v>
      </c>
      <c r="O332" s="31">
        <f>1854</f>
        <v>1854</v>
      </c>
      <c r="P332" s="32" t="s">
        <v>677</v>
      </c>
      <c r="Q332" s="31">
        <f>1931</f>
        <v>1931</v>
      </c>
      <c r="R332" s="32" t="s">
        <v>883</v>
      </c>
      <c r="S332" s="33">
        <f>1913.9</f>
        <v>1913.9</v>
      </c>
      <c r="T332" s="30">
        <f>5253</f>
        <v>5253</v>
      </c>
      <c r="U332" s="30" t="str">
        <f>"－"</f>
        <v>－</v>
      </c>
      <c r="V332" s="30">
        <f>10067975</f>
        <v>10067975</v>
      </c>
      <c r="W332" s="30" t="str">
        <f>"－"</f>
        <v>－</v>
      </c>
      <c r="X332" s="34">
        <f>20</f>
        <v>20</v>
      </c>
    </row>
    <row r="333" spans="1:24" x14ac:dyDescent="0.15">
      <c r="A333" s="25" t="s">
        <v>1128</v>
      </c>
      <c r="B333" s="25" t="s">
        <v>795</v>
      </c>
      <c r="C333" s="25" t="s">
        <v>796</v>
      </c>
      <c r="D333" s="25" t="s">
        <v>797</v>
      </c>
      <c r="E333" s="26" t="s">
        <v>43</v>
      </c>
      <c r="F333" s="27" t="s">
        <v>43</v>
      </c>
      <c r="G333" s="28" t="s">
        <v>43</v>
      </c>
      <c r="H333" s="29"/>
      <c r="I333" s="29" t="s">
        <v>44</v>
      </c>
      <c r="J333" s="30">
        <v>1</v>
      </c>
      <c r="K333" s="31">
        <f>2054</f>
        <v>2054</v>
      </c>
      <c r="L333" s="32" t="s">
        <v>1110</v>
      </c>
      <c r="M333" s="31">
        <f>2127</f>
        <v>2127</v>
      </c>
      <c r="N333" s="32" t="s">
        <v>1111</v>
      </c>
      <c r="O333" s="31">
        <f>2017</f>
        <v>2017</v>
      </c>
      <c r="P333" s="32" t="s">
        <v>1123</v>
      </c>
      <c r="Q333" s="31">
        <f>2110</f>
        <v>2110</v>
      </c>
      <c r="R333" s="32" t="s">
        <v>883</v>
      </c>
      <c r="S333" s="33">
        <f>2086.75</f>
        <v>2086.75</v>
      </c>
      <c r="T333" s="30">
        <f>7713</f>
        <v>7713</v>
      </c>
      <c r="U333" s="30" t="str">
        <f>"－"</f>
        <v>－</v>
      </c>
      <c r="V333" s="30">
        <f>16064401</f>
        <v>16064401</v>
      </c>
      <c r="W333" s="30" t="str">
        <f>"－"</f>
        <v>－</v>
      </c>
      <c r="X333" s="34">
        <f>16</f>
        <v>16</v>
      </c>
    </row>
    <row r="334" spans="1:24" x14ac:dyDescent="0.15">
      <c r="A334" s="25" t="s">
        <v>1128</v>
      </c>
      <c r="B334" s="25" t="s">
        <v>798</v>
      </c>
      <c r="C334" s="25" t="s">
        <v>799</v>
      </c>
      <c r="D334" s="25" t="s">
        <v>800</v>
      </c>
      <c r="E334" s="26" t="s">
        <v>43</v>
      </c>
      <c r="F334" s="27" t="s">
        <v>43</v>
      </c>
      <c r="G334" s="28" t="s">
        <v>43</v>
      </c>
      <c r="H334" s="29"/>
      <c r="I334" s="29" t="s">
        <v>44</v>
      </c>
      <c r="J334" s="30">
        <v>1</v>
      </c>
      <c r="K334" s="31">
        <f>4325</f>
        <v>4325</v>
      </c>
      <c r="L334" s="32" t="s">
        <v>1110</v>
      </c>
      <c r="M334" s="31">
        <f>4415</f>
        <v>4415</v>
      </c>
      <c r="N334" s="32" t="s">
        <v>874</v>
      </c>
      <c r="O334" s="31">
        <f>4190</f>
        <v>4190</v>
      </c>
      <c r="P334" s="32" t="s">
        <v>677</v>
      </c>
      <c r="Q334" s="31">
        <f>4375</f>
        <v>4375</v>
      </c>
      <c r="R334" s="32" t="s">
        <v>883</v>
      </c>
      <c r="S334" s="33">
        <f>4314.75</f>
        <v>4314.75</v>
      </c>
      <c r="T334" s="30">
        <f>44720</f>
        <v>44720</v>
      </c>
      <c r="U334" s="30">
        <f>2</f>
        <v>2</v>
      </c>
      <c r="V334" s="30">
        <f>193017075</f>
        <v>193017075</v>
      </c>
      <c r="W334" s="30">
        <f>8645</f>
        <v>8645</v>
      </c>
      <c r="X334" s="34">
        <f>20</f>
        <v>20</v>
      </c>
    </row>
    <row r="335" spans="1:24" x14ac:dyDescent="0.15">
      <c r="A335" s="25" t="s">
        <v>1128</v>
      </c>
      <c r="B335" s="25" t="s">
        <v>801</v>
      </c>
      <c r="C335" s="25" t="s">
        <v>802</v>
      </c>
      <c r="D335" s="25" t="s">
        <v>803</v>
      </c>
      <c r="E335" s="26" t="s">
        <v>43</v>
      </c>
      <c r="F335" s="27" t="s">
        <v>43</v>
      </c>
      <c r="G335" s="28" t="s">
        <v>43</v>
      </c>
      <c r="H335" s="29"/>
      <c r="I335" s="29" t="s">
        <v>44</v>
      </c>
      <c r="J335" s="30">
        <v>10</v>
      </c>
      <c r="K335" s="31">
        <f>2749</f>
        <v>2749</v>
      </c>
      <c r="L335" s="32" t="s">
        <v>1110</v>
      </c>
      <c r="M335" s="31">
        <f>2826</f>
        <v>2826</v>
      </c>
      <c r="N335" s="32" t="s">
        <v>1111</v>
      </c>
      <c r="O335" s="31">
        <f>2652</f>
        <v>2652</v>
      </c>
      <c r="P335" s="32" t="s">
        <v>677</v>
      </c>
      <c r="Q335" s="31">
        <f>2820</f>
        <v>2820</v>
      </c>
      <c r="R335" s="32" t="s">
        <v>1111</v>
      </c>
      <c r="S335" s="33">
        <f>2754.55</f>
        <v>2754.55</v>
      </c>
      <c r="T335" s="30">
        <f>9360</f>
        <v>9360</v>
      </c>
      <c r="U335" s="30" t="str">
        <f>"－"</f>
        <v>－</v>
      </c>
      <c r="V335" s="30">
        <f>26124210</f>
        <v>26124210</v>
      </c>
      <c r="W335" s="30" t="str">
        <f>"－"</f>
        <v>－</v>
      </c>
      <c r="X335" s="34">
        <f>10</f>
        <v>10</v>
      </c>
    </row>
    <row r="336" spans="1:24" x14ac:dyDescent="0.15">
      <c r="A336" s="25" t="s">
        <v>1128</v>
      </c>
      <c r="B336" s="25" t="s">
        <v>812</v>
      </c>
      <c r="C336" s="25" t="s">
        <v>813</v>
      </c>
      <c r="D336" s="25" t="s">
        <v>814</v>
      </c>
      <c r="E336" s="26" t="s">
        <v>43</v>
      </c>
      <c r="F336" s="27" t="s">
        <v>43</v>
      </c>
      <c r="G336" s="28" t="s">
        <v>43</v>
      </c>
      <c r="H336" s="29"/>
      <c r="I336" s="29" t="s">
        <v>44</v>
      </c>
      <c r="J336" s="30">
        <v>10</v>
      </c>
      <c r="K336" s="31">
        <f>260.3</f>
        <v>260.3</v>
      </c>
      <c r="L336" s="32" t="s">
        <v>1110</v>
      </c>
      <c r="M336" s="31">
        <f>279</f>
        <v>279</v>
      </c>
      <c r="N336" s="32" t="s">
        <v>679</v>
      </c>
      <c r="O336" s="31">
        <f>254.8</f>
        <v>254.8</v>
      </c>
      <c r="P336" s="32" t="s">
        <v>677</v>
      </c>
      <c r="Q336" s="31">
        <f>269</f>
        <v>269</v>
      </c>
      <c r="R336" s="32" t="s">
        <v>883</v>
      </c>
      <c r="S336" s="33">
        <f>265.32</f>
        <v>265.32</v>
      </c>
      <c r="T336" s="30">
        <f>17760</f>
        <v>17760</v>
      </c>
      <c r="U336" s="30" t="str">
        <f>"－"</f>
        <v>－</v>
      </c>
      <c r="V336" s="30">
        <f>4726928</f>
        <v>4726928</v>
      </c>
      <c r="W336" s="30" t="str">
        <f>"－"</f>
        <v>－</v>
      </c>
      <c r="X336" s="34">
        <f>20</f>
        <v>20</v>
      </c>
    </row>
    <row r="337" spans="1:24" x14ac:dyDescent="0.15">
      <c r="A337" s="25" t="s">
        <v>1128</v>
      </c>
      <c r="B337" s="25" t="s">
        <v>804</v>
      </c>
      <c r="C337" s="25" t="s">
        <v>805</v>
      </c>
      <c r="D337" s="25" t="s">
        <v>806</v>
      </c>
      <c r="E337" s="26" t="s">
        <v>43</v>
      </c>
      <c r="F337" s="27" t="s">
        <v>43</v>
      </c>
      <c r="G337" s="28" t="s">
        <v>43</v>
      </c>
      <c r="H337" s="29"/>
      <c r="I337" s="29" t="s">
        <v>44</v>
      </c>
      <c r="J337" s="30">
        <v>10</v>
      </c>
      <c r="K337" s="31">
        <f>169.9</f>
        <v>169.9</v>
      </c>
      <c r="L337" s="32" t="s">
        <v>1110</v>
      </c>
      <c r="M337" s="31">
        <f>184.8</f>
        <v>184.8</v>
      </c>
      <c r="N337" s="32" t="s">
        <v>679</v>
      </c>
      <c r="O337" s="31">
        <f>163.9</f>
        <v>163.9</v>
      </c>
      <c r="P337" s="32" t="s">
        <v>1123</v>
      </c>
      <c r="Q337" s="31">
        <f>178.4</f>
        <v>178.4</v>
      </c>
      <c r="R337" s="32" t="s">
        <v>883</v>
      </c>
      <c r="S337" s="33">
        <f>171.83</f>
        <v>171.83</v>
      </c>
      <c r="T337" s="30">
        <f>146700</f>
        <v>146700</v>
      </c>
      <c r="U337" s="30">
        <f>79170</f>
        <v>79170</v>
      </c>
      <c r="V337" s="30">
        <f>25955898</f>
        <v>25955898</v>
      </c>
      <c r="W337" s="30">
        <f>14108073</f>
        <v>14108073</v>
      </c>
      <c r="X337" s="34">
        <f>20</f>
        <v>20</v>
      </c>
    </row>
    <row r="338" spans="1:24" x14ac:dyDescent="0.15">
      <c r="A338" s="25" t="s">
        <v>1128</v>
      </c>
      <c r="B338" s="25" t="s">
        <v>807</v>
      </c>
      <c r="C338" s="25" t="s">
        <v>808</v>
      </c>
      <c r="D338" s="25" t="s">
        <v>809</v>
      </c>
      <c r="E338" s="26" t="s">
        <v>43</v>
      </c>
      <c r="F338" s="27" t="s">
        <v>43</v>
      </c>
      <c r="G338" s="28" t="s">
        <v>43</v>
      </c>
      <c r="H338" s="29"/>
      <c r="I338" s="29" t="s">
        <v>44</v>
      </c>
      <c r="J338" s="30">
        <v>10</v>
      </c>
      <c r="K338" s="31">
        <f>679.3</f>
        <v>679.3</v>
      </c>
      <c r="L338" s="32" t="s">
        <v>675</v>
      </c>
      <c r="M338" s="31">
        <f>690.2</f>
        <v>690.2</v>
      </c>
      <c r="N338" s="32" t="s">
        <v>1113</v>
      </c>
      <c r="O338" s="31">
        <f>679.3</f>
        <v>679.3</v>
      </c>
      <c r="P338" s="32" t="s">
        <v>675</v>
      </c>
      <c r="Q338" s="31">
        <f>684.2</f>
        <v>684.2</v>
      </c>
      <c r="R338" s="32" t="s">
        <v>883</v>
      </c>
      <c r="S338" s="33">
        <f>683.29</f>
        <v>683.29</v>
      </c>
      <c r="T338" s="30">
        <f>137040</f>
        <v>137040</v>
      </c>
      <c r="U338" s="30">
        <f>133240</f>
        <v>133240</v>
      </c>
      <c r="V338" s="30">
        <f>93300083</f>
        <v>93300083</v>
      </c>
      <c r="W338" s="30">
        <f>90709792</f>
        <v>90709792</v>
      </c>
      <c r="X338" s="34">
        <f>11</f>
        <v>11</v>
      </c>
    </row>
    <row r="339" spans="1:24" x14ac:dyDescent="0.15">
      <c r="A339" s="25" t="s">
        <v>1128</v>
      </c>
      <c r="B339" s="25" t="s">
        <v>815</v>
      </c>
      <c r="C339" s="25" t="s">
        <v>816</v>
      </c>
      <c r="D339" s="25" t="s">
        <v>817</v>
      </c>
      <c r="E339" s="26" t="s">
        <v>43</v>
      </c>
      <c r="F339" s="27" t="s">
        <v>43</v>
      </c>
      <c r="G339" s="28" t="s">
        <v>43</v>
      </c>
      <c r="H339" s="29"/>
      <c r="I339" s="29" t="s">
        <v>44</v>
      </c>
      <c r="J339" s="30">
        <v>1</v>
      </c>
      <c r="K339" s="31">
        <f>1458</f>
        <v>1458</v>
      </c>
      <c r="L339" s="32" t="s">
        <v>1110</v>
      </c>
      <c r="M339" s="31">
        <f>1567</f>
        <v>1567</v>
      </c>
      <c r="N339" s="32" t="s">
        <v>675</v>
      </c>
      <c r="O339" s="31">
        <f>1401</f>
        <v>1401</v>
      </c>
      <c r="P339" s="32" t="s">
        <v>684</v>
      </c>
      <c r="Q339" s="31">
        <f>1507</f>
        <v>1507</v>
      </c>
      <c r="R339" s="32" t="s">
        <v>883</v>
      </c>
      <c r="S339" s="33">
        <f>1486.45</f>
        <v>1486.45</v>
      </c>
      <c r="T339" s="30">
        <f>605011</f>
        <v>605011</v>
      </c>
      <c r="U339" s="30">
        <f>738</f>
        <v>738</v>
      </c>
      <c r="V339" s="30">
        <f>901542141</f>
        <v>901542141</v>
      </c>
      <c r="W339" s="30">
        <f>1122175</f>
        <v>1122175</v>
      </c>
      <c r="X339" s="34">
        <f>20</f>
        <v>20</v>
      </c>
    </row>
    <row r="340" spans="1:24" x14ac:dyDescent="0.15">
      <c r="A340" s="25" t="s">
        <v>1128</v>
      </c>
      <c r="B340" s="25" t="s">
        <v>818</v>
      </c>
      <c r="C340" s="25" t="s">
        <v>819</v>
      </c>
      <c r="D340" s="25" t="s">
        <v>820</v>
      </c>
      <c r="E340" s="26" t="s">
        <v>43</v>
      </c>
      <c r="F340" s="27" t="s">
        <v>43</v>
      </c>
      <c r="G340" s="28" t="s">
        <v>43</v>
      </c>
      <c r="H340" s="29"/>
      <c r="I340" s="29" t="s">
        <v>44</v>
      </c>
      <c r="J340" s="30">
        <v>1</v>
      </c>
      <c r="K340" s="31">
        <f>886</f>
        <v>886</v>
      </c>
      <c r="L340" s="32" t="s">
        <v>1110</v>
      </c>
      <c r="M340" s="31">
        <f>942</f>
        <v>942</v>
      </c>
      <c r="N340" s="32" t="s">
        <v>679</v>
      </c>
      <c r="O340" s="31">
        <f>855</f>
        <v>855</v>
      </c>
      <c r="P340" s="32" t="s">
        <v>1123</v>
      </c>
      <c r="Q340" s="31">
        <f>925</f>
        <v>925</v>
      </c>
      <c r="R340" s="32" t="s">
        <v>883</v>
      </c>
      <c r="S340" s="33">
        <f>896.8</f>
        <v>896.8</v>
      </c>
      <c r="T340" s="30">
        <f>107482</f>
        <v>107482</v>
      </c>
      <c r="U340" s="30" t="str">
        <f>"－"</f>
        <v>－</v>
      </c>
      <c r="V340" s="30">
        <f>94058159</f>
        <v>94058159</v>
      </c>
      <c r="W340" s="30" t="str">
        <f>"－"</f>
        <v>－</v>
      </c>
      <c r="X340" s="34">
        <f>20</f>
        <v>20</v>
      </c>
    </row>
    <row r="341" spans="1:24" x14ac:dyDescent="0.15">
      <c r="A341" s="25" t="s">
        <v>1128</v>
      </c>
      <c r="B341" s="25" t="s">
        <v>821</v>
      </c>
      <c r="C341" s="25" t="s">
        <v>822</v>
      </c>
      <c r="D341" s="25" t="s">
        <v>823</v>
      </c>
      <c r="E341" s="26" t="s">
        <v>43</v>
      </c>
      <c r="F341" s="27" t="s">
        <v>43</v>
      </c>
      <c r="G341" s="28" t="s">
        <v>43</v>
      </c>
      <c r="H341" s="29"/>
      <c r="I341" s="29" t="s">
        <v>44</v>
      </c>
      <c r="J341" s="30">
        <v>10</v>
      </c>
      <c r="K341" s="31">
        <f>710.1</f>
        <v>710.1</v>
      </c>
      <c r="L341" s="32" t="s">
        <v>1110</v>
      </c>
      <c r="M341" s="31">
        <f>717.9</f>
        <v>717.9</v>
      </c>
      <c r="N341" s="32" t="s">
        <v>684</v>
      </c>
      <c r="O341" s="31">
        <f>705.5</f>
        <v>705.5</v>
      </c>
      <c r="P341" s="32" t="s">
        <v>680</v>
      </c>
      <c r="Q341" s="31">
        <f>710.5</f>
        <v>710.5</v>
      </c>
      <c r="R341" s="32" t="s">
        <v>883</v>
      </c>
      <c r="S341" s="33">
        <f>711.18</f>
        <v>711.18</v>
      </c>
      <c r="T341" s="30">
        <f>626130</f>
        <v>626130</v>
      </c>
      <c r="U341" s="30">
        <f>130</f>
        <v>130</v>
      </c>
      <c r="V341" s="30">
        <f>444746629</f>
        <v>444746629</v>
      </c>
      <c r="W341" s="30">
        <f>92326</f>
        <v>92326</v>
      </c>
      <c r="X341" s="34">
        <f>20</f>
        <v>20</v>
      </c>
    </row>
    <row r="342" spans="1:24" x14ac:dyDescent="0.15">
      <c r="A342" s="25" t="s">
        <v>1128</v>
      </c>
      <c r="B342" s="25" t="s">
        <v>824</v>
      </c>
      <c r="C342" s="25" t="s">
        <v>825</v>
      </c>
      <c r="D342" s="25" t="s">
        <v>826</v>
      </c>
      <c r="E342" s="26" t="s">
        <v>43</v>
      </c>
      <c r="F342" s="27" t="s">
        <v>43</v>
      </c>
      <c r="G342" s="28" t="s">
        <v>43</v>
      </c>
      <c r="H342" s="29"/>
      <c r="I342" s="29" t="s">
        <v>44</v>
      </c>
      <c r="J342" s="30">
        <v>10</v>
      </c>
      <c r="K342" s="31">
        <f>691</f>
        <v>691</v>
      </c>
      <c r="L342" s="32" t="s">
        <v>1110</v>
      </c>
      <c r="M342" s="31">
        <f>704.2</f>
        <v>704.2</v>
      </c>
      <c r="N342" s="32" t="s">
        <v>875</v>
      </c>
      <c r="O342" s="31">
        <f>690.1</f>
        <v>690.1</v>
      </c>
      <c r="P342" s="32" t="s">
        <v>680</v>
      </c>
      <c r="Q342" s="31">
        <f>696.9</f>
        <v>696.9</v>
      </c>
      <c r="R342" s="32" t="s">
        <v>883</v>
      </c>
      <c r="S342" s="33">
        <f>695.11</f>
        <v>695.11</v>
      </c>
      <c r="T342" s="30">
        <f>2808380</f>
        <v>2808380</v>
      </c>
      <c r="U342" s="30">
        <f>2566000</f>
        <v>2566000</v>
      </c>
      <c r="V342" s="30">
        <f>1945628940</f>
        <v>1945628940</v>
      </c>
      <c r="W342" s="30">
        <f>1777783000</f>
        <v>1777783000</v>
      </c>
      <c r="X342" s="34">
        <f>20</f>
        <v>20</v>
      </c>
    </row>
    <row r="343" spans="1:24" x14ac:dyDescent="0.15">
      <c r="A343" s="25" t="s">
        <v>1128</v>
      </c>
      <c r="B343" s="25" t="s">
        <v>827</v>
      </c>
      <c r="C343" s="25" t="s">
        <v>828</v>
      </c>
      <c r="D343" s="25" t="s">
        <v>829</v>
      </c>
      <c r="E343" s="26" t="s">
        <v>43</v>
      </c>
      <c r="F343" s="27" t="s">
        <v>43</v>
      </c>
      <c r="G343" s="28" t="s">
        <v>43</v>
      </c>
      <c r="H343" s="29"/>
      <c r="I343" s="29" t="s">
        <v>44</v>
      </c>
      <c r="J343" s="30">
        <v>1</v>
      </c>
      <c r="K343" s="31">
        <f>1267</f>
        <v>1267</v>
      </c>
      <c r="L343" s="32" t="s">
        <v>1110</v>
      </c>
      <c r="M343" s="31">
        <f>1277</f>
        <v>1277</v>
      </c>
      <c r="N343" s="32" t="s">
        <v>679</v>
      </c>
      <c r="O343" s="31">
        <f>1198</f>
        <v>1198</v>
      </c>
      <c r="P343" s="32" t="s">
        <v>677</v>
      </c>
      <c r="Q343" s="31">
        <f>1250</f>
        <v>1250</v>
      </c>
      <c r="R343" s="32" t="s">
        <v>883</v>
      </c>
      <c r="S343" s="33">
        <f>1231.3</f>
        <v>1231.3</v>
      </c>
      <c r="T343" s="30">
        <f>34096</f>
        <v>34096</v>
      </c>
      <c r="U343" s="30" t="str">
        <f>"－"</f>
        <v>－</v>
      </c>
      <c r="V343" s="30">
        <f>41806284</f>
        <v>41806284</v>
      </c>
      <c r="W343" s="30" t="str">
        <f>"－"</f>
        <v>－</v>
      </c>
      <c r="X343" s="34">
        <f>20</f>
        <v>20</v>
      </c>
    </row>
    <row r="344" spans="1:24" x14ac:dyDescent="0.15">
      <c r="A344" s="25" t="s">
        <v>1128</v>
      </c>
      <c r="B344" s="25" t="s">
        <v>836</v>
      </c>
      <c r="C344" s="25" t="s">
        <v>837</v>
      </c>
      <c r="D344" s="25" t="s">
        <v>838</v>
      </c>
      <c r="E344" s="26" t="s">
        <v>43</v>
      </c>
      <c r="F344" s="27" t="s">
        <v>43</v>
      </c>
      <c r="G344" s="28" t="s">
        <v>43</v>
      </c>
      <c r="H344" s="29"/>
      <c r="I344" s="29" t="s">
        <v>44</v>
      </c>
      <c r="J344" s="30">
        <v>10</v>
      </c>
      <c r="K344" s="31">
        <f>2656.5</f>
        <v>2656.5</v>
      </c>
      <c r="L344" s="32" t="s">
        <v>1110</v>
      </c>
      <c r="M344" s="31">
        <f>2733</f>
        <v>2733</v>
      </c>
      <c r="N344" s="32" t="s">
        <v>883</v>
      </c>
      <c r="O344" s="31">
        <f>2610.5</f>
        <v>2610.5</v>
      </c>
      <c r="P344" s="32" t="s">
        <v>1110</v>
      </c>
      <c r="Q344" s="31">
        <f>2713</f>
        <v>2713</v>
      </c>
      <c r="R344" s="32" t="s">
        <v>883</v>
      </c>
      <c r="S344" s="33">
        <f>2660.39</f>
        <v>2660.39</v>
      </c>
      <c r="T344" s="30">
        <f>10730</f>
        <v>10730</v>
      </c>
      <c r="U344" s="30" t="str">
        <f>"－"</f>
        <v>－</v>
      </c>
      <c r="V344" s="30">
        <f>28705885</f>
        <v>28705885</v>
      </c>
      <c r="W344" s="30" t="str">
        <f>"－"</f>
        <v>－</v>
      </c>
      <c r="X344" s="34">
        <f>19</f>
        <v>19</v>
      </c>
    </row>
    <row r="345" spans="1:24" x14ac:dyDescent="0.15">
      <c r="A345" s="25" t="s">
        <v>1128</v>
      </c>
      <c r="B345" s="25" t="s">
        <v>839</v>
      </c>
      <c r="C345" s="25" t="s">
        <v>840</v>
      </c>
      <c r="D345" s="25" t="s">
        <v>841</v>
      </c>
      <c r="E345" s="26" t="s">
        <v>43</v>
      </c>
      <c r="F345" s="27" t="s">
        <v>43</v>
      </c>
      <c r="G345" s="28" t="s">
        <v>43</v>
      </c>
      <c r="H345" s="29"/>
      <c r="I345" s="29" t="s">
        <v>44</v>
      </c>
      <c r="J345" s="30">
        <v>10</v>
      </c>
      <c r="K345" s="31">
        <f>2522</f>
        <v>2522</v>
      </c>
      <c r="L345" s="32" t="s">
        <v>1110</v>
      </c>
      <c r="M345" s="31">
        <f>2643.5</f>
        <v>2643.5</v>
      </c>
      <c r="N345" s="32" t="s">
        <v>883</v>
      </c>
      <c r="O345" s="31">
        <f>2522</f>
        <v>2522</v>
      </c>
      <c r="P345" s="32" t="s">
        <v>1110</v>
      </c>
      <c r="Q345" s="31">
        <f>2639.5</f>
        <v>2639.5</v>
      </c>
      <c r="R345" s="32" t="s">
        <v>883</v>
      </c>
      <c r="S345" s="33">
        <f>2570.76</f>
        <v>2570.7600000000002</v>
      </c>
      <c r="T345" s="30">
        <f>34950</f>
        <v>34950</v>
      </c>
      <c r="U345" s="30" t="str">
        <f>"－"</f>
        <v>－</v>
      </c>
      <c r="V345" s="30">
        <f>90567500</f>
        <v>90567500</v>
      </c>
      <c r="W345" s="30" t="str">
        <f>"－"</f>
        <v>－</v>
      </c>
      <c r="X345" s="34">
        <f>19</f>
        <v>19</v>
      </c>
    </row>
    <row r="346" spans="1:24" x14ac:dyDescent="0.15">
      <c r="A346" s="25" t="s">
        <v>1128</v>
      </c>
      <c r="B346" s="25" t="s">
        <v>830</v>
      </c>
      <c r="C346" s="25" t="s">
        <v>831</v>
      </c>
      <c r="D346" s="25" t="s">
        <v>832</v>
      </c>
      <c r="E346" s="26" t="s">
        <v>43</v>
      </c>
      <c r="F346" s="27" t="s">
        <v>43</v>
      </c>
      <c r="G346" s="28" t="s">
        <v>43</v>
      </c>
      <c r="H346" s="29"/>
      <c r="I346" s="29" t="s">
        <v>44</v>
      </c>
      <c r="J346" s="30">
        <v>10</v>
      </c>
      <c r="K346" s="31">
        <f>5363</f>
        <v>5363</v>
      </c>
      <c r="L346" s="32" t="s">
        <v>675</v>
      </c>
      <c r="M346" s="31">
        <f>5537</f>
        <v>5537</v>
      </c>
      <c r="N346" s="32" t="s">
        <v>883</v>
      </c>
      <c r="O346" s="31">
        <f>5351</f>
        <v>5351</v>
      </c>
      <c r="P346" s="32" t="s">
        <v>680</v>
      </c>
      <c r="Q346" s="31">
        <f>5408</f>
        <v>5408</v>
      </c>
      <c r="R346" s="32" t="s">
        <v>883</v>
      </c>
      <c r="S346" s="33">
        <f>5377.83</f>
        <v>5377.83</v>
      </c>
      <c r="T346" s="30">
        <f>20390</f>
        <v>20390</v>
      </c>
      <c r="U346" s="30">
        <f>20000</f>
        <v>20000</v>
      </c>
      <c r="V346" s="30">
        <f>109562660</f>
        <v>109562660</v>
      </c>
      <c r="W346" s="30">
        <f>107460000</f>
        <v>107460000</v>
      </c>
      <c r="X346" s="34">
        <f>6</f>
        <v>6</v>
      </c>
    </row>
    <row r="347" spans="1:24" x14ac:dyDescent="0.15">
      <c r="A347" s="25" t="s">
        <v>1128</v>
      </c>
      <c r="B347" s="25" t="s">
        <v>833</v>
      </c>
      <c r="C347" s="25" t="s">
        <v>834</v>
      </c>
      <c r="D347" s="25" t="s">
        <v>835</v>
      </c>
      <c r="E347" s="26" t="s">
        <v>43</v>
      </c>
      <c r="F347" s="27" t="s">
        <v>43</v>
      </c>
      <c r="G347" s="28" t="s">
        <v>43</v>
      </c>
      <c r="H347" s="29"/>
      <c r="I347" s="29" t="s">
        <v>44</v>
      </c>
      <c r="J347" s="30">
        <v>10</v>
      </c>
      <c r="K347" s="31">
        <f>4312</f>
        <v>4312</v>
      </c>
      <c r="L347" s="32" t="s">
        <v>1110</v>
      </c>
      <c r="M347" s="31">
        <f>4378</f>
        <v>4378</v>
      </c>
      <c r="N347" s="32" t="s">
        <v>684</v>
      </c>
      <c r="O347" s="31">
        <f>4312</f>
        <v>4312</v>
      </c>
      <c r="P347" s="32" t="s">
        <v>1110</v>
      </c>
      <c r="Q347" s="31">
        <f>4333</f>
        <v>4333</v>
      </c>
      <c r="R347" s="32" t="s">
        <v>874</v>
      </c>
      <c r="S347" s="33">
        <f>4345.33</f>
        <v>4345.33</v>
      </c>
      <c r="T347" s="30">
        <f>37730</f>
        <v>37730</v>
      </c>
      <c r="U347" s="30">
        <f>12000</f>
        <v>12000</v>
      </c>
      <c r="V347" s="30">
        <f>163130350</f>
        <v>163130350</v>
      </c>
      <c r="W347" s="30">
        <f>52065600</f>
        <v>52065600</v>
      </c>
      <c r="X347" s="34">
        <f>6</f>
        <v>6</v>
      </c>
    </row>
    <row r="348" spans="1:24" x14ac:dyDescent="0.15">
      <c r="A348" s="25" t="s">
        <v>1128</v>
      </c>
      <c r="B348" s="25" t="s">
        <v>842</v>
      </c>
      <c r="C348" s="25" t="s">
        <v>843</v>
      </c>
      <c r="D348" s="25" t="s">
        <v>844</v>
      </c>
      <c r="E348" s="26" t="s">
        <v>43</v>
      </c>
      <c r="F348" s="27" t="s">
        <v>43</v>
      </c>
      <c r="G348" s="28" t="s">
        <v>43</v>
      </c>
      <c r="H348" s="29"/>
      <c r="I348" s="29" t="s">
        <v>44</v>
      </c>
      <c r="J348" s="30">
        <v>10</v>
      </c>
      <c r="K348" s="31">
        <f>1921</f>
        <v>1921</v>
      </c>
      <c r="L348" s="32" t="s">
        <v>1110</v>
      </c>
      <c r="M348" s="31">
        <f>2321</f>
        <v>2321</v>
      </c>
      <c r="N348" s="32" t="s">
        <v>883</v>
      </c>
      <c r="O348" s="31">
        <f>1894</f>
        <v>1894</v>
      </c>
      <c r="P348" s="32" t="s">
        <v>678</v>
      </c>
      <c r="Q348" s="31">
        <f>1920.5</f>
        <v>1920.5</v>
      </c>
      <c r="R348" s="32" t="s">
        <v>883</v>
      </c>
      <c r="S348" s="33">
        <f>1918.39</f>
        <v>1918.39</v>
      </c>
      <c r="T348" s="30">
        <f>940</f>
        <v>940</v>
      </c>
      <c r="U348" s="30" t="str">
        <f>"－"</f>
        <v>－</v>
      </c>
      <c r="V348" s="30">
        <f>1804860</f>
        <v>1804860</v>
      </c>
      <c r="W348" s="30" t="str">
        <f>"－"</f>
        <v>－</v>
      </c>
      <c r="X348" s="34">
        <f>9</f>
        <v>9</v>
      </c>
    </row>
    <row r="349" spans="1:24" x14ac:dyDescent="0.15">
      <c r="A349" s="25" t="s">
        <v>1128</v>
      </c>
      <c r="B349" s="25" t="s">
        <v>845</v>
      </c>
      <c r="C349" s="25" t="s">
        <v>846</v>
      </c>
      <c r="D349" s="25" t="s">
        <v>847</v>
      </c>
      <c r="E349" s="26" t="s">
        <v>43</v>
      </c>
      <c r="F349" s="27" t="s">
        <v>43</v>
      </c>
      <c r="G349" s="28" t="s">
        <v>43</v>
      </c>
      <c r="H349" s="29"/>
      <c r="I349" s="29" t="s">
        <v>44</v>
      </c>
      <c r="J349" s="30">
        <v>1</v>
      </c>
      <c r="K349" s="31">
        <f>1324</f>
        <v>1324</v>
      </c>
      <c r="L349" s="32" t="s">
        <v>1110</v>
      </c>
      <c r="M349" s="31">
        <f>1391</f>
        <v>1391</v>
      </c>
      <c r="N349" s="32" t="s">
        <v>883</v>
      </c>
      <c r="O349" s="31">
        <f>1303</f>
        <v>1303</v>
      </c>
      <c r="P349" s="32" t="s">
        <v>680</v>
      </c>
      <c r="Q349" s="31">
        <f>1391</f>
        <v>1391</v>
      </c>
      <c r="R349" s="32" t="s">
        <v>883</v>
      </c>
      <c r="S349" s="33">
        <f>1339.7</f>
        <v>1339.7</v>
      </c>
      <c r="T349" s="30">
        <f>5524</f>
        <v>5524</v>
      </c>
      <c r="U349" s="30" t="str">
        <f>"－"</f>
        <v>－</v>
      </c>
      <c r="V349" s="30">
        <f>7398346</f>
        <v>7398346</v>
      </c>
      <c r="W349" s="30" t="str">
        <f>"－"</f>
        <v>－</v>
      </c>
      <c r="X349" s="34">
        <f>20</f>
        <v>20</v>
      </c>
    </row>
    <row r="350" spans="1:24" x14ac:dyDescent="0.15">
      <c r="A350" s="25" t="s">
        <v>1128</v>
      </c>
      <c r="B350" s="25" t="s">
        <v>848</v>
      </c>
      <c r="C350" s="25" t="s">
        <v>849</v>
      </c>
      <c r="D350" s="25" t="s">
        <v>850</v>
      </c>
      <c r="E350" s="26" t="s">
        <v>43</v>
      </c>
      <c r="F350" s="27" t="s">
        <v>43</v>
      </c>
      <c r="G350" s="28" t="s">
        <v>43</v>
      </c>
      <c r="H350" s="29"/>
      <c r="I350" s="29" t="s">
        <v>44</v>
      </c>
      <c r="J350" s="30">
        <v>1</v>
      </c>
      <c r="K350" s="31">
        <f>1187</f>
        <v>1187</v>
      </c>
      <c r="L350" s="32" t="s">
        <v>1110</v>
      </c>
      <c r="M350" s="31">
        <f>1250</f>
        <v>1250</v>
      </c>
      <c r="N350" s="32" t="s">
        <v>674</v>
      </c>
      <c r="O350" s="31">
        <f>1125</f>
        <v>1125</v>
      </c>
      <c r="P350" s="32" t="s">
        <v>684</v>
      </c>
      <c r="Q350" s="31">
        <f>1199</f>
        <v>1199</v>
      </c>
      <c r="R350" s="32" t="s">
        <v>883</v>
      </c>
      <c r="S350" s="33">
        <f>1178.2</f>
        <v>1178.2</v>
      </c>
      <c r="T350" s="30">
        <f>1944692</f>
        <v>1944692</v>
      </c>
      <c r="U350" s="30">
        <f>272</f>
        <v>272</v>
      </c>
      <c r="V350" s="30">
        <f>2279950920</f>
        <v>2279950920</v>
      </c>
      <c r="W350" s="30">
        <f>305422</f>
        <v>305422</v>
      </c>
      <c r="X350" s="34">
        <f>20</f>
        <v>20</v>
      </c>
    </row>
    <row r="351" spans="1:24" x14ac:dyDescent="0.15">
      <c r="A351" s="25" t="s">
        <v>1128</v>
      </c>
      <c r="B351" s="25" t="s">
        <v>851</v>
      </c>
      <c r="C351" s="25" t="s">
        <v>852</v>
      </c>
      <c r="D351" s="25" t="s">
        <v>853</v>
      </c>
      <c r="E351" s="26" t="s">
        <v>43</v>
      </c>
      <c r="F351" s="27" t="s">
        <v>43</v>
      </c>
      <c r="G351" s="28" t="s">
        <v>43</v>
      </c>
      <c r="H351" s="29"/>
      <c r="I351" s="29" t="s">
        <v>44</v>
      </c>
      <c r="J351" s="30">
        <v>1</v>
      </c>
      <c r="K351" s="31">
        <f>1017</f>
        <v>1017</v>
      </c>
      <c r="L351" s="32" t="s">
        <v>1110</v>
      </c>
      <c r="M351" s="31">
        <f>1047</f>
        <v>1047</v>
      </c>
      <c r="N351" s="32" t="s">
        <v>1124</v>
      </c>
      <c r="O351" s="31">
        <f>992</f>
        <v>992</v>
      </c>
      <c r="P351" s="32" t="s">
        <v>677</v>
      </c>
      <c r="Q351" s="31">
        <f>1025</f>
        <v>1025</v>
      </c>
      <c r="R351" s="32" t="s">
        <v>883</v>
      </c>
      <c r="S351" s="33">
        <f>1015.05</f>
        <v>1015.05</v>
      </c>
      <c r="T351" s="30">
        <f>774243</f>
        <v>774243</v>
      </c>
      <c r="U351" s="30" t="str">
        <f>"－"</f>
        <v>－</v>
      </c>
      <c r="V351" s="30">
        <f>784757558</f>
        <v>784757558</v>
      </c>
      <c r="W351" s="30" t="str">
        <f>"－"</f>
        <v>－</v>
      </c>
      <c r="X351" s="34">
        <f>20</f>
        <v>20</v>
      </c>
    </row>
    <row r="352" spans="1:24" x14ac:dyDescent="0.15">
      <c r="A352" s="25" t="s">
        <v>1128</v>
      </c>
      <c r="B352" s="25" t="s">
        <v>858</v>
      </c>
      <c r="C352" s="25" t="s">
        <v>859</v>
      </c>
      <c r="D352" s="25" t="s">
        <v>860</v>
      </c>
      <c r="E352" s="26" t="s">
        <v>43</v>
      </c>
      <c r="F352" s="27" t="s">
        <v>43</v>
      </c>
      <c r="G352" s="28" t="s">
        <v>43</v>
      </c>
      <c r="H352" s="29"/>
      <c r="I352" s="29" t="s">
        <v>44</v>
      </c>
      <c r="J352" s="30">
        <v>1</v>
      </c>
      <c r="K352" s="31">
        <f>1142</f>
        <v>1142</v>
      </c>
      <c r="L352" s="32" t="s">
        <v>1110</v>
      </c>
      <c r="M352" s="31">
        <f>1196</f>
        <v>1196</v>
      </c>
      <c r="N352" s="32" t="s">
        <v>883</v>
      </c>
      <c r="O352" s="31">
        <f>1117</f>
        <v>1117</v>
      </c>
      <c r="P352" s="32" t="s">
        <v>680</v>
      </c>
      <c r="Q352" s="31">
        <f>1189</f>
        <v>1189</v>
      </c>
      <c r="R352" s="32" t="s">
        <v>883</v>
      </c>
      <c r="S352" s="33">
        <f>1152.6</f>
        <v>1152.5999999999999</v>
      </c>
      <c r="T352" s="30">
        <f>19059</f>
        <v>19059</v>
      </c>
      <c r="U352" s="30" t="str">
        <f>"－"</f>
        <v>－</v>
      </c>
      <c r="V352" s="30">
        <f>22015757</f>
        <v>22015757</v>
      </c>
      <c r="W352" s="30" t="str">
        <f>"－"</f>
        <v>－</v>
      </c>
      <c r="X352" s="34">
        <f>20</f>
        <v>20</v>
      </c>
    </row>
    <row r="353" spans="1:24" x14ac:dyDescent="0.15">
      <c r="A353" s="25" t="s">
        <v>1128</v>
      </c>
      <c r="B353" s="25" t="s">
        <v>861</v>
      </c>
      <c r="C353" s="25" t="s">
        <v>862</v>
      </c>
      <c r="D353" s="25" t="s">
        <v>863</v>
      </c>
      <c r="E353" s="26" t="s">
        <v>43</v>
      </c>
      <c r="F353" s="27" t="s">
        <v>43</v>
      </c>
      <c r="G353" s="28" t="s">
        <v>43</v>
      </c>
      <c r="H353" s="29"/>
      <c r="I353" s="29" t="s">
        <v>44</v>
      </c>
      <c r="J353" s="30">
        <v>1</v>
      </c>
      <c r="K353" s="31">
        <f>1041</f>
        <v>1041</v>
      </c>
      <c r="L353" s="32" t="s">
        <v>1110</v>
      </c>
      <c r="M353" s="31">
        <f>1076</f>
        <v>1076</v>
      </c>
      <c r="N353" s="32" t="s">
        <v>679</v>
      </c>
      <c r="O353" s="31">
        <f>1013</f>
        <v>1013</v>
      </c>
      <c r="P353" s="32" t="s">
        <v>677</v>
      </c>
      <c r="Q353" s="31">
        <f>1075</f>
        <v>1075</v>
      </c>
      <c r="R353" s="32" t="s">
        <v>883</v>
      </c>
      <c r="S353" s="33">
        <f>1047.7</f>
        <v>1047.7</v>
      </c>
      <c r="T353" s="30">
        <f>273276</f>
        <v>273276</v>
      </c>
      <c r="U353" s="30" t="str">
        <f>"－"</f>
        <v>－</v>
      </c>
      <c r="V353" s="30">
        <f>285165000</f>
        <v>285165000</v>
      </c>
      <c r="W353" s="30" t="str">
        <f>"－"</f>
        <v>－</v>
      </c>
      <c r="X353" s="34">
        <f>20</f>
        <v>20</v>
      </c>
    </row>
    <row r="354" spans="1:24" x14ac:dyDescent="0.15">
      <c r="A354" s="25" t="s">
        <v>1128</v>
      </c>
      <c r="B354" s="25" t="s">
        <v>864</v>
      </c>
      <c r="C354" s="25" t="s">
        <v>865</v>
      </c>
      <c r="D354" s="25" t="s">
        <v>950</v>
      </c>
      <c r="E354" s="26" t="s">
        <v>43</v>
      </c>
      <c r="F354" s="27" t="s">
        <v>43</v>
      </c>
      <c r="G354" s="28" t="s">
        <v>43</v>
      </c>
      <c r="H354" s="29"/>
      <c r="I354" s="29" t="s">
        <v>44</v>
      </c>
      <c r="J354" s="30">
        <v>1</v>
      </c>
      <c r="K354" s="31">
        <f>38810</f>
        <v>38810</v>
      </c>
      <c r="L354" s="32" t="s">
        <v>1110</v>
      </c>
      <c r="M354" s="31">
        <f>40070</f>
        <v>40070</v>
      </c>
      <c r="N354" s="32" t="s">
        <v>675</v>
      </c>
      <c r="O354" s="31">
        <f>37690</f>
        <v>37690</v>
      </c>
      <c r="P354" s="32" t="s">
        <v>678</v>
      </c>
      <c r="Q354" s="31">
        <f>39550</f>
        <v>39550</v>
      </c>
      <c r="R354" s="32" t="s">
        <v>883</v>
      </c>
      <c r="S354" s="33">
        <f>39192.5</f>
        <v>39192.5</v>
      </c>
      <c r="T354" s="30">
        <f>252771</f>
        <v>252771</v>
      </c>
      <c r="U354" s="30">
        <f>135</f>
        <v>135</v>
      </c>
      <c r="V354" s="30">
        <f>9884537330</f>
        <v>9884537330</v>
      </c>
      <c r="W354" s="30">
        <f>5144740</f>
        <v>5144740</v>
      </c>
      <c r="X354" s="34">
        <f>20</f>
        <v>20</v>
      </c>
    </row>
    <row r="355" spans="1:24" x14ac:dyDescent="0.15">
      <c r="A355" s="25" t="s">
        <v>1128</v>
      </c>
      <c r="B355" s="25" t="s">
        <v>866</v>
      </c>
      <c r="C355" s="25" t="s">
        <v>867</v>
      </c>
      <c r="D355" s="25" t="s">
        <v>951</v>
      </c>
      <c r="E355" s="26" t="s">
        <v>43</v>
      </c>
      <c r="F355" s="27" t="s">
        <v>43</v>
      </c>
      <c r="G355" s="28" t="s">
        <v>43</v>
      </c>
      <c r="H355" s="29"/>
      <c r="I355" s="29" t="s">
        <v>44</v>
      </c>
      <c r="J355" s="30">
        <v>1</v>
      </c>
      <c r="K355" s="31">
        <f>24350</f>
        <v>24350</v>
      </c>
      <c r="L355" s="32" t="s">
        <v>1110</v>
      </c>
      <c r="M355" s="31">
        <f>24860</f>
        <v>24860</v>
      </c>
      <c r="N355" s="32" t="s">
        <v>678</v>
      </c>
      <c r="O355" s="31">
        <f>23285</f>
        <v>23285</v>
      </c>
      <c r="P355" s="32" t="s">
        <v>883</v>
      </c>
      <c r="Q355" s="31">
        <f>23675</f>
        <v>23675</v>
      </c>
      <c r="R355" s="32" t="s">
        <v>883</v>
      </c>
      <c r="S355" s="33">
        <f>23964.75</f>
        <v>23964.75</v>
      </c>
      <c r="T355" s="30">
        <f>188785</f>
        <v>188785</v>
      </c>
      <c r="U355" s="30">
        <f>9</f>
        <v>9</v>
      </c>
      <c r="V355" s="30">
        <f>4549371685</f>
        <v>4549371685</v>
      </c>
      <c r="W355" s="30">
        <f>205485</f>
        <v>205485</v>
      </c>
      <c r="X355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ED6F-6F41-4F51-AD42-1F651A10F46E}">
  <sheetPr>
    <pageSetUpPr fitToPage="1"/>
  </sheetPr>
  <dimension ref="A1:X352"/>
  <sheetViews>
    <sheetView showGridLines="0" view="pageBreakPreview" zoomScaleNormal="70" zoomScaleSheetLayoutView="100" workbookViewId="0">
      <pane ySplit="6" topLeftCell="A7" activePane="bottomLeft" state="frozen"/>
      <selection pane="bottomLeft" activeCell="A7" sqref="A7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1109</v>
      </c>
      <c r="B7" s="25" t="s">
        <v>42</v>
      </c>
      <c r="C7" s="25" t="s">
        <v>896</v>
      </c>
      <c r="D7" s="25" t="s">
        <v>897</v>
      </c>
      <c r="E7" s="26" t="s">
        <v>43</v>
      </c>
      <c r="F7" s="27" t="s">
        <v>43</v>
      </c>
      <c r="G7" s="28" t="s">
        <v>43</v>
      </c>
      <c r="H7" s="29"/>
      <c r="I7" s="29" t="s">
        <v>44</v>
      </c>
      <c r="J7" s="30">
        <v>10</v>
      </c>
      <c r="K7" s="31">
        <f>2678</f>
        <v>2678</v>
      </c>
      <c r="L7" s="32" t="s">
        <v>1110</v>
      </c>
      <c r="M7" s="31">
        <f>2847.5</f>
        <v>2847.5</v>
      </c>
      <c r="N7" s="32" t="s">
        <v>1111</v>
      </c>
      <c r="O7" s="31">
        <f>2672</f>
        <v>2672</v>
      </c>
      <c r="P7" s="32" t="s">
        <v>1110</v>
      </c>
      <c r="Q7" s="31">
        <f>2828.5</f>
        <v>2828.5</v>
      </c>
      <c r="R7" s="32" t="s">
        <v>883</v>
      </c>
      <c r="S7" s="33">
        <f>2756.58</f>
        <v>2756.58</v>
      </c>
      <c r="T7" s="30">
        <f>15230270</f>
        <v>15230270</v>
      </c>
      <c r="U7" s="30">
        <f>12553550</f>
        <v>12553550</v>
      </c>
      <c r="V7" s="30">
        <f>41500458033</f>
        <v>41500458033</v>
      </c>
      <c r="W7" s="30">
        <f>34071847123</f>
        <v>34071847123</v>
      </c>
      <c r="X7" s="34">
        <f>19</f>
        <v>19</v>
      </c>
    </row>
    <row r="8" spans="1:24" x14ac:dyDescent="0.15">
      <c r="A8" s="25" t="s">
        <v>1109</v>
      </c>
      <c r="B8" s="25" t="s">
        <v>45</v>
      </c>
      <c r="C8" s="25" t="s">
        <v>46</v>
      </c>
      <c r="D8" s="25" t="s">
        <v>47</v>
      </c>
      <c r="E8" s="26" t="s">
        <v>43</v>
      </c>
      <c r="F8" s="27" t="s">
        <v>43</v>
      </c>
      <c r="G8" s="28" t="s">
        <v>43</v>
      </c>
      <c r="H8" s="29"/>
      <c r="I8" s="29" t="s">
        <v>44</v>
      </c>
      <c r="J8" s="30">
        <v>10</v>
      </c>
      <c r="K8" s="31">
        <f>2649.5</f>
        <v>2649.5</v>
      </c>
      <c r="L8" s="32" t="s">
        <v>1110</v>
      </c>
      <c r="M8" s="31">
        <f>2817.5</f>
        <v>2817.5</v>
      </c>
      <c r="N8" s="32" t="s">
        <v>1111</v>
      </c>
      <c r="O8" s="31">
        <f>2643</f>
        <v>2643</v>
      </c>
      <c r="P8" s="32" t="s">
        <v>1110</v>
      </c>
      <c r="Q8" s="31">
        <f>2805</f>
        <v>2805</v>
      </c>
      <c r="R8" s="32" t="s">
        <v>883</v>
      </c>
      <c r="S8" s="33">
        <f>2728.26</f>
        <v>2728.26</v>
      </c>
      <c r="T8" s="30">
        <f>35111420</f>
        <v>35111420</v>
      </c>
      <c r="U8" s="30">
        <f>2932930</f>
        <v>2932930</v>
      </c>
      <c r="V8" s="30">
        <f>95744446195</f>
        <v>95744446195</v>
      </c>
      <c r="W8" s="30">
        <f>8088778720</f>
        <v>8088778720</v>
      </c>
      <c r="X8" s="34">
        <f>19</f>
        <v>19</v>
      </c>
    </row>
    <row r="9" spans="1:24" x14ac:dyDescent="0.15">
      <c r="A9" s="25" t="s">
        <v>1109</v>
      </c>
      <c r="B9" s="25" t="s">
        <v>48</v>
      </c>
      <c r="C9" s="25" t="s">
        <v>49</v>
      </c>
      <c r="D9" s="25" t="s">
        <v>50</v>
      </c>
      <c r="E9" s="26" t="s">
        <v>43</v>
      </c>
      <c r="F9" s="27" t="s">
        <v>43</v>
      </c>
      <c r="G9" s="28" t="s">
        <v>43</v>
      </c>
      <c r="H9" s="29"/>
      <c r="I9" s="29" t="s">
        <v>44</v>
      </c>
      <c r="J9" s="30">
        <v>1</v>
      </c>
      <c r="K9" s="31">
        <f>2617</f>
        <v>2617</v>
      </c>
      <c r="L9" s="32" t="s">
        <v>1110</v>
      </c>
      <c r="M9" s="31">
        <f>2784</f>
        <v>2784</v>
      </c>
      <c r="N9" s="32" t="s">
        <v>1111</v>
      </c>
      <c r="O9" s="31">
        <f>2611</f>
        <v>2611</v>
      </c>
      <c r="P9" s="32" t="s">
        <v>1110</v>
      </c>
      <c r="Q9" s="31">
        <f>2764</f>
        <v>2764</v>
      </c>
      <c r="R9" s="32" t="s">
        <v>883</v>
      </c>
      <c r="S9" s="33">
        <f>2694.68</f>
        <v>2694.68</v>
      </c>
      <c r="T9" s="30">
        <f>5747419</f>
        <v>5747419</v>
      </c>
      <c r="U9" s="30">
        <f>233811</f>
        <v>233811</v>
      </c>
      <c r="V9" s="30">
        <f>15659002878</f>
        <v>15659002878</v>
      </c>
      <c r="W9" s="30">
        <f>630913525</f>
        <v>630913525</v>
      </c>
      <c r="X9" s="34">
        <f>19</f>
        <v>19</v>
      </c>
    </row>
    <row r="10" spans="1:24" x14ac:dyDescent="0.15">
      <c r="A10" s="25" t="s">
        <v>1109</v>
      </c>
      <c r="B10" s="25" t="s">
        <v>51</v>
      </c>
      <c r="C10" s="25" t="s">
        <v>52</v>
      </c>
      <c r="D10" s="25" t="s">
        <v>53</v>
      </c>
      <c r="E10" s="26" t="s">
        <v>43</v>
      </c>
      <c r="F10" s="27" t="s">
        <v>43</v>
      </c>
      <c r="G10" s="28" t="s">
        <v>43</v>
      </c>
      <c r="H10" s="29"/>
      <c r="I10" s="29" t="s">
        <v>44</v>
      </c>
      <c r="J10" s="30">
        <v>1</v>
      </c>
      <c r="K10" s="31">
        <f>36640</f>
        <v>36640</v>
      </c>
      <c r="L10" s="32" t="s">
        <v>1110</v>
      </c>
      <c r="M10" s="31">
        <f>39750</f>
        <v>39750</v>
      </c>
      <c r="N10" s="32" t="s">
        <v>1112</v>
      </c>
      <c r="O10" s="31">
        <f>36020</f>
        <v>36020</v>
      </c>
      <c r="P10" s="32" t="s">
        <v>674</v>
      </c>
      <c r="Q10" s="31">
        <f>38840</f>
        <v>38840</v>
      </c>
      <c r="R10" s="32" t="s">
        <v>883</v>
      </c>
      <c r="S10" s="33">
        <f>38153.16</f>
        <v>38153.160000000003</v>
      </c>
      <c r="T10" s="30">
        <f>6343</f>
        <v>6343</v>
      </c>
      <c r="U10" s="30" t="str">
        <f>"－"</f>
        <v>－</v>
      </c>
      <c r="V10" s="30">
        <f>242056950</f>
        <v>242056950</v>
      </c>
      <c r="W10" s="30" t="str">
        <f>"－"</f>
        <v>－</v>
      </c>
      <c r="X10" s="34">
        <f>19</f>
        <v>19</v>
      </c>
    </row>
    <row r="11" spans="1:24" x14ac:dyDescent="0.15">
      <c r="A11" s="25" t="s">
        <v>1109</v>
      </c>
      <c r="B11" s="25" t="s">
        <v>54</v>
      </c>
      <c r="C11" s="25" t="s">
        <v>55</v>
      </c>
      <c r="D11" s="25" t="s">
        <v>56</v>
      </c>
      <c r="E11" s="26" t="s">
        <v>43</v>
      </c>
      <c r="F11" s="27" t="s">
        <v>43</v>
      </c>
      <c r="G11" s="28" t="s">
        <v>43</v>
      </c>
      <c r="H11" s="29"/>
      <c r="I11" s="29" t="s">
        <v>44</v>
      </c>
      <c r="J11" s="30">
        <v>10</v>
      </c>
      <c r="K11" s="31">
        <f>1314</f>
        <v>1314</v>
      </c>
      <c r="L11" s="32" t="s">
        <v>1110</v>
      </c>
      <c r="M11" s="31">
        <f>1430</f>
        <v>1430</v>
      </c>
      <c r="N11" s="32" t="s">
        <v>1111</v>
      </c>
      <c r="O11" s="31">
        <f>1301</f>
        <v>1301</v>
      </c>
      <c r="P11" s="32" t="s">
        <v>1110</v>
      </c>
      <c r="Q11" s="31">
        <f>1413</f>
        <v>1413</v>
      </c>
      <c r="R11" s="32" t="s">
        <v>883</v>
      </c>
      <c r="S11" s="33">
        <f>1370.89</f>
        <v>1370.89</v>
      </c>
      <c r="T11" s="30">
        <f>551260</f>
        <v>551260</v>
      </c>
      <c r="U11" s="30">
        <f>11080</f>
        <v>11080</v>
      </c>
      <c r="V11" s="30">
        <f>761635875</f>
        <v>761635875</v>
      </c>
      <c r="W11" s="30">
        <f>14731550</f>
        <v>14731550</v>
      </c>
      <c r="X11" s="34">
        <f>19</f>
        <v>19</v>
      </c>
    </row>
    <row r="12" spans="1:24" x14ac:dyDescent="0.15">
      <c r="A12" s="25" t="s">
        <v>1109</v>
      </c>
      <c r="B12" s="25" t="s">
        <v>57</v>
      </c>
      <c r="C12" s="25" t="s">
        <v>58</v>
      </c>
      <c r="D12" s="25" t="s">
        <v>59</v>
      </c>
      <c r="E12" s="26" t="s">
        <v>43</v>
      </c>
      <c r="F12" s="27" t="s">
        <v>43</v>
      </c>
      <c r="G12" s="28" t="s">
        <v>43</v>
      </c>
      <c r="H12" s="29"/>
      <c r="I12" s="29" t="s">
        <v>44</v>
      </c>
      <c r="J12" s="30">
        <v>1000</v>
      </c>
      <c r="K12" s="31">
        <f>454.6</f>
        <v>454.6</v>
      </c>
      <c r="L12" s="32" t="s">
        <v>1110</v>
      </c>
      <c r="M12" s="31">
        <f>496</f>
        <v>496</v>
      </c>
      <c r="N12" s="32" t="s">
        <v>676</v>
      </c>
      <c r="O12" s="31">
        <f>450.2</f>
        <v>450.2</v>
      </c>
      <c r="P12" s="32" t="s">
        <v>1113</v>
      </c>
      <c r="Q12" s="31">
        <f>490</f>
        <v>490</v>
      </c>
      <c r="R12" s="32" t="s">
        <v>1114</v>
      </c>
      <c r="S12" s="33">
        <f>470.86</f>
        <v>470.86</v>
      </c>
      <c r="T12" s="30">
        <f>117000</f>
        <v>117000</v>
      </c>
      <c r="U12" s="30" t="str">
        <f>"－"</f>
        <v>－</v>
      </c>
      <c r="V12" s="30">
        <f>55152900</f>
        <v>55152900</v>
      </c>
      <c r="W12" s="30" t="str">
        <f>"－"</f>
        <v>－</v>
      </c>
      <c r="X12" s="34">
        <f>16</f>
        <v>16</v>
      </c>
    </row>
    <row r="13" spans="1:24" x14ac:dyDescent="0.15">
      <c r="A13" s="25" t="s">
        <v>1109</v>
      </c>
      <c r="B13" s="25" t="s">
        <v>60</v>
      </c>
      <c r="C13" s="25" t="s">
        <v>898</v>
      </c>
      <c r="D13" s="25" t="s">
        <v>899</v>
      </c>
      <c r="E13" s="26" t="s">
        <v>43</v>
      </c>
      <c r="F13" s="27" t="s">
        <v>43</v>
      </c>
      <c r="G13" s="28" t="s">
        <v>43</v>
      </c>
      <c r="H13" s="29"/>
      <c r="I13" s="29" t="s">
        <v>44</v>
      </c>
      <c r="J13" s="30">
        <v>1</v>
      </c>
      <c r="K13" s="31">
        <f>37160</f>
        <v>37160</v>
      </c>
      <c r="L13" s="32" t="s">
        <v>1110</v>
      </c>
      <c r="M13" s="31">
        <f>40740</f>
        <v>40740</v>
      </c>
      <c r="N13" s="32" t="s">
        <v>676</v>
      </c>
      <c r="O13" s="31">
        <f>37040</f>
        <v>37040</v>
      </c>
      <c r="P13" s="32" t="s">
        <v>1115</v>
      </c>
      <c r="Q13" s="31">
        <f>40500</f>
        <v>40500</v>
      </c>
      <c r="R13" s="32" t="s">
        <v>883</v>
      </c>
      <c r="S13" s="33">
        <f>39051.05</f>
        <v>39051.050000000003</v>
      </c>
      <c r="T13" s="30">
        <f>843100</f>
        <v>843100</v>
      </c>
      <c r="U13" s="30">
        <f>61468</f>
        <v>61468</v>
      </c>
      <c r="V13" s="30">
        <f>33144043456</f>
        <v>33144043456</v>
      </c>
      <c r="W13" s="30">
        <f>2402649226</f>
        <v>2402649226</v>
      </c>
      <c r="X13" s="34">
        <f>19</f>
        <v>19</v>
      </c>
    </row>
    <row r="14" spans="1:24" x14ac:dyDescent="0.15">
      <c r="A14" s="25" t="s">
        <v>1109</v>
      </c>
      <c r="B14" s="25" t="s">
        <v>61</v>
      </c>
      <c r="C14" s="25" t="s">
        <v>62</v>
      </c>
      <c r="D14" s="25" t="s">
        <v>63</v>
      </c>
      <c r="E14" s="26" t="s">
        <v>43</v>
      </c>
      <c r="F14" s="27" t="s">
        <v>43</v>
      </c>
      <c r="G14" s="28" t="s">
        <v>43</v>
      </c>
      <c r="H14" s="29"/>
      <c r="I14" s="29" t="s">
        <v>44</v>
      </c>
      <c r="J14" s="30">
        <v>1</v>
      </c>
      <c r="K14" s="31">
        <f>37290</f>
        <v>37290</v>
      </c>
      <c r="L14" s="32" t="s">
        <v>1110</v>
      </c>
      <c r="M14" s="31">
        <f>40900</f>
        <v>40900</v>
      </c>
      <c r="N14" s="32" t="s">
        <v>676</v>
      </c>
      <c r="O14" s="31">
        <f>37190</f>
        <v>37190</v>
      </c>
      <c r="P14" s="32" t="s">
        <v>1115</v>
      </c>
      <c r="Q14" s="31">
        <f>40670</f>
        <v>40670</v>
      </c>
      <c r="R14" s="32" t="s">
        <v>883</v>
      </c>
      <c r="S14" s="33">
        <f>39203.68</f>
        <v>39203.68</v>
      </c>
      <c r="T14" s="30">
        <f>6737366</f>
        <v>6737366</v>
      </c>
      <c r="U14" s="30">
        <f>528009</f>
        <v>528009</v>
      </c>
      <c r="V14" s="30">
        <f>263835360301</f>
        <v>263835360301</v>
      </c>
      <c r="W14" s="30">
        <f>20107144441</f>
        <v>20107144441</v>
      </c>
      <c r="X14" s="34">
        <f>19</f>
        <v>19</v>
      </c>
    </row>
    <row r="15" spans="1:24" x14ac:dyDescent="0.15">
      <c r="A15" s="25" t="s">
        <v>1109</v>
      </c>
      <c r="B15" s="25" t="s">
        <v>64</v>
      </c>
      <c r="C15" s="25" t="s">
        <v>65</v>
      </c>
      <c r="D15" s="25" t="s">
        <v>66</v>
      </c>
      <c r="E15" s="26" t="s">
        <v>43</v>
      </c>
      <c r="F15" s="27" t="s">
        <v>43</v>
      </c>
      <c r="G15" s="28" t="s">
        <v>43</v>
      </c>
      <c r="H15" s="29"/>
      <c r="I15" s="29" t="s">
        <v>44</v>
      </c>
      <c r="J15" s="30">
        <v>10</v>
      </c>
      <c r="K15" s="31">
        <f>6876</f>
        <v>6876</v>
      </c>
      <c r="L15" s="32" t="s">
        <v>1110</v>
      </c>
      <c r="M15" s="31">
        <f>7579</f>
        <v>7579</v>
      </c>
      <c r="N15" s="32" t="s">
        <v>1112</v>
      </c>
      <c r="O15" s="31">
        <f>6670</f>
        <v>6670</v>
      </c>
      <c r="P15" s="32" t="s">
        <v>1116</v>
      </c>
      <c r="Q15" s="31">
        <f>7402</f>
        <v>7402</v>
      </c>
      <c r="R15" s="32" t="s">
        <v>883</v>
      </c>
      <c r="S15" s="33">
        <f>7187.21</f>
        <v>7187.21</v>
      </c>
      <c r="T15" s="30">
        <f>25810</f>
        <v>25810</v>
      </c>
      <c r="U15" s="30" t="str">
        <f>"－"</f>
        <v>－</v>
      </c>
      <c r="V15" s="30">
        <f>184315510</f>
        <v>184315510</v>
      </c>
      <c r="W15" s="30" t="str">
        <f>"－"</f>
        <v>－</v>
      </c>
      <c r="X15" s="34">
        <f>19</f>
        <v>19</v>
      </c>
    </row>
    <row r="16" spans="1:24" x14ac:dyDescent="0.15">
      <c r="A16" s="25" t="s">
        <v>1109</v>
      </c>
      <c r="B16" s="25" t="s">
        <v>67</v>
      </c>
      <c r="C16" s="25" t="s">
        <v>810</v>
      </c>
      <c r="D16" s="25" t="s">
        <v>811</v>
      </c>
      <c r="E16" s="26" t="s">
        <v>43</v>
      </c>
      <c r="F16" s="27" t="s">
        <v>43</v>
      </c>
      <c r="G16" s="28" t="s">
        <v>43</v>
      </c>
      <c r="H16" s="29"/>
      <c r="I16" s="29" t="s">
        <v>44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x14ac:dyDescent="0.15">
      <c r="A17" s="25" t="s">
        <v>1109</v>
      </c>
      <c r="B17" s="25" t="s">
        <v>68</v>
      </c>
      <c r="C17" s="25" t="s">
        <v>69</v>
      </c>
      <c r="D17" s="25" t="s">
        <v>70</v>
      </c>
      <c r="E17" s="26" t="s">
        <v>43</v>
      </c>
      <c r="F17" s="27" t="s">
        <v>43</v>
      </c>
      <c r="G17" s="28" t="s">
        <v>43</v>
      </c>
      <c r="H17" s="29"/>
      <c r="I17" s="29" t="s">
        <v>44</v>
      </c>
      <c r="J17" s="30">
        <v>100</v>
      </c>
      <c r="K17" s="31">
        <f>246</f>
        <v>246</v>
      </c>
      <c r="L17" s="32" t="s">
        <v>1110</v>
      </c>
      <c r="M17" s="31">
        <f>253.8</f>
        <v>253.8</v>
      </c>
      <c r="N17" s="32" t="s">
        <v>883</v>
      </c>
      <c r="O17" s="31">
        <f>243.6</f>
        <v>243.6</v>
      </c>
      <c r="P17" s="32" t="s">
        <v>1117</v>
      </c>
      <c r="Q17" s="31">
        <f>253.8</f>
        <v>253.8</v>
      </c>
      <c r="R17" s="32" t="s">
        <v>883</v>
      </c>
      <c r="S17" s="33">
        <f>248.88</f>
        <v>248.88</v>
      </c>
      <c r="T17" s="30">
        <f>819400</f>
        <v>819400</v>
      </c>
      <c r="U17" s="30">
        <f>1200</f>
        <v>1200</v>
      </c>
      <c r="V17" s="30">
        <f>204146760</f>
        <v>204146760</v>
      </c>
      <c r="W17" s="30">
        <f>296710</f>
        <v>296710</v>
      </c>
      <c r="X17" s="34">
        <f>19</f>
        <v>19</v>
      </c>
    </row>
    <row r="18" spans="1:24" x14ac:dyDescent="0.15">
      <c r="A18" s="25" t="s">
        <v>1109</v>
      </c>
      <c r="B18" s="25" t="s">
        <v>71</v>
      </c>
      <c r="C18" s="25" t="s">
        <v>72</v>
      </c>
      <c r="D18" s="25" t="s">
        <v>73</v>
      </c>
      <c r="E18" s="26" t="s">
        <v>43</v>
      </c>
      <c r="F18" s="27" t="s">
        <v>43</v>
      </c>
      <c r="G18" s="28" t="s">
        <v>43</v>
      </c>
      <c r="H18" s="29"/>
      <c r="I18" s="29" t="s">
        <v>44</v>
      </c>
      <c r="J18" s="30">
        <v>1</v>
      </c>
      <c r="K18" s="31">
        <f>27795</f>
        <v>27795</v>
      </c>
      <c r="L18" s="32" t="s">
        <v>1110</v>
      </c>
      <c r="M18" s="31">
        <f>28405</f>
        <v>28405</v>
      </c>
      <c r="N18" s="32" t="s">
        <v>883</v>
      </c>
      <c r="O18" s="31">
        <f>27705</f>
        <v>27705</v>
      </c>
      <c r="P18" s="32" t="s">
        <v>875</v>
      </c>
      <c r="Q18" s="31">
        <f>28275</f>
        <v>28275</v>
      </c>
      <c r="R18" s="32" t="s">
        <v>883</v>
      </c>
      <c r="S18" s="33">
        <f>28044.74</f>
        <v>28044.74</v>
      </c>
      <c r="T18" s="30">
        <f>114034</f>
        <v>114034</v>
      </c>
      <c r="U18" s="30" t="str">
        <f>"－"</f>
        <v>－</v>
      </c>
      <c r="V18" s="30">
        <f>3192910975</f>
        <v>3192910975</v>
      </c>
      <c r="W18" s="30" t="str">
        <f>"－"</f>
        <v>－</v>
      </c>
      <c r="X18" s="34">
        <f>19</f>
        <v>19</v>
      </c>
    </row>
    <row r="19" spans="1:24" x14ac:dyDescent="0.15">
      <c r="A19" s="25" t="s">
        <v>1109</v>
      </c>
      <c r="B19" s="25" t="s">
        <v>74</v>
      </c>
      <c r="C19" s="25" t="s">
        <v>75</v>
      </c>
      <c r="D19" s="25" t="s">
        <v>76</v>
      </c>
      <c r="E19" s="26" t="s">
        <v>43</v>
      </c>
      <c r="F19" s="27" t="s">
        <v>43</v>
      </c>
      <c r="G19" s="28" t="s">
        <v>43</v>
      </c>
      <c r="H19" s="29"/>
      <c r="I19" s="29" t="s">
        <v>44</v>
      </c>
      <c r="J19" s="30">
        <v>10</v>
      </c>
      <c r="K19" s="31">
        <f>7374</f>
        <v>7374</v>
      </c>
      <c r="L19" s="32" t="s">
        <v>1110</v>
      </c>
      <c r="M19" s="31">
        <f>7528</f>
        <v>7528</v>
      </c>
      <c r="N19" s="32" t="s">
        <v>883</v>
      </c>
      <c r="O19" s="31">
        <f>7348</f>
        <v>7348</v>
      </c>
      <c r="P19" s="32" t="s">
        <v>875</v>
      </c>
      <c r="Q19" s="31">
        <f>7491</f>
        <v>7491</v>
      </c>
      <c r="R19" s="32" t="s">
        <v>883</v>
      </c>
      <c r="S19" s="33">
        <f>7442.68</f>
        <v>7442.68</v>
      </c>
      <c r="T19" s="30">
        <f>265540</f>
        <v>265540</v>
      </c>
      <c r="U19" s="30">
        <f>170</f>
        <v>170</v>
      </c>
      <c r="V19" s="30">
        <f>1973147590</f>
        <v>1973147590</v>
      </c>
      <c r="W19" s="30">
        <f>1260840</f>
        <v>1260840</v>
      </c>
      <c r="X19" s="34">
        <f>19</f>
        <v>19</v>
      </c>
    </row>
    <row r="20" spans="1:24" x14ac:dyDescent="0.15">
      <c r="A20" s="25" t="s">
        <v>1109</v>
      </c>
      <c r="B20" s="25" t="s">
        <v>77</v>
      </c>
      <c r="C20" s="25" t="s">
        <v>78</v>
      </c>
      <c r="D20" s="25" t="s">
        <v>79</v>
      </c>
      <c r="E20" s="26" t="s">
        <v>43</v>
      </c>
      <c r="F20" s="27" t="s">
        <v>43</v>
      </c>
      <c r="G20" s="28" t="s">
        <v>43</v>
      </c>
      <c r="H20" s="29"/>
      <c r="I20" s="29" t="s">
        <v>44</v>
      </c>
      <c r="J20" s="30">
        <v>1</v>
      </c>
      <c r="K20" s="31">
        <f>37480</f>
        <v>37480</v>
      </c>
      <c r="L20" s="32" t="s">
        <v>1110</v>
      </c>
      <c r="M20" s="31">
        <f>40780</f>
        <v>40780</v>
      </c>
      <c r="N20" s="32" t="s">
        <v>676</v>
      </c>
      <c r="O20" s="31">
        <f>37380</f>
        <v>37380</v>
      </c>
      <c r="P20" s="32" t="s">
        <v>1115</v>
      </c>
      <c r="Q20" s="31">
        <f>40560</f>
        <v>40560</v>
      </c>
      <c r="R20" s="32" t="s">
        <v>883</v>
      </c>
      <c r="S20" s="33">
        <f>39173.16</f>
        <v>39173.160000000003</v>
      </c>
      <c r="T20" s="30">
        <f>925248</f>
        <v>925248</v>
      </c>
      <c r="U20" s="30">
        <f>47395</f>
        <v>47395</v>
      </c>
      <c r="V20" s="30">
        <f>36042632891</f>
        <v>36042632891</v>
      </c>
      <c r="W20" s="30">
        <f>1808622681</f>
        <v>1808622681</v>
      </c>
      <c r="X20" s="34">
        <f>19</f>
        <v>19</v>
      </c>
    </row>
    <row r="21" spans="1:24" x14ac:dyDescent="0.15">
      <c r="A21" s="25" t="s">
        <v>1109</v>
      </c>
      <c r="B21" s="25" t="s">
        <v>80</v>
      </c>
      <c r="C21" s="25" t="s">
        <v>81</v>
      </c>
      <c r="D21" s="25" t="s">
        <v>82</v>
      </c>
      <c r="E21" s="26" t="s">
        <v>43</v>
      </c>
      <c r="F21" s="27" t="s">
        <v>43</v>
      </c>
      <c r="G21" s="28" t="s">
        <v>43</v>
      </c>
      <c r="H21" s="29"/>
      <c r="I21" s="29" t="s">
        <v>44</v>
      </c>
      <c r="J21" s="30">
        <v>1</v>
      </c>
      <c r="K21" s="31">
        <f>37320</f>
        <v>37320</v>
      </c>
      <c r="L21" s="32" t="s">
        <v>1110</v>
      </c>
      <c r="M21" s="31">
        <f>40940</f>
        <v>40940</v>
      </c>
      <c r="N21" s="32" t="s">
        <v>676</v>
      </c>
      <c r="O21" s="31">
        <f>37220</f>
        <v>37220</v>
      </c>
      <c r="P21" s="32" t="s">
        <v>1115</v>
      </c>
      <c r="Q21" s="31">
        <f>40700</f>
        <v>40700</v>
      </c>
      <c r="R21" s="32" t="s">
        <v>883</v>
      </c>
      <c r="S21" s="33">
        <f>39249.47</f>
        <v>39249.47</v>
      </c>
      <c r="T21" s="30">
        <f>704790</f>
        <v>704790</v>
      </c>
      <c r="U21" s="30">
        <f>169866</f>
        <v>169866</v>
      </c>
      <c r="V21" s="30">
        <f>27623892384</f>
        <v>27623892384</v>
      </c>
      <c r="W21" s="30">
        <f>6673391064</f>
        <v>6673391064</v>
      </c>
      <c r="X21" s="34">
        <f>19</f>
        <v>19</v>
      </c>
    </row>
    <row r="22" spans="1:24" x14ac:dyDescent="0.15">
      <c r="A22" s="25" t="s">
        <v>1109</v>
      </c>
      <c r="B22" s="25" t="s">
        <v>1079</v>
      </c>
      <c r="C22" s="25" t="s">
        <v>1080</v>
      </c>
      <c r="D22" s="25" t="s">
        <v>1081</v>
      </c>
      <c r="E22" s="26" t="s">
        <v>43</v>
      </c>
      <c r="F22" s="27" t="s">
        <v>43</v>
      </c>
      <c r="G22" s="28" t="s">
        <v>43</v>
      </c>
      <c r="H22" s="29"/>
      <c r="I22" s="29" t="s">
        <v>44</v>
      </c>
      <c r="J22" s="30">
        <v>1</v>
      </c>
      <c r="K22" s="31">
        <f>1022</f>
        <v>1022</v>
      </c>
      <c r="L22" s="32" t="s">
        <v>1110</v>
      </c>
      <c r="M22" s="31">
        <f>1179</f>
        <v>1179</v>
      </c>
      <c r="N22" s="32" t="s">
        <v>680</v>
      </c>
      <c r="O22" s="31">
        <f>994</f>
        <v>994</v>
      </c>
      <c r="P22" s="32" t="s">
        <v>1116</v>
      </c>
      <c r="Q22" s="31">
        <f>1026</f>
        <v>1026</v>
      </c>
      <c r="R22" s="32" t="s">
        <v>883</v>
      </c>
      <c r="S22" s="33">
        <f>1018.42</f>
        <v>1018.42</v>
      </c>
      <c r="T22" s="30">
        <f>266123</f>
        <v>266123</v>
      </c>
      <c r="U22" s="30">
        <f>1</f>
        <v>1</v>
      </c>
      <c r="V22" s="30">
        <f>271435459</f>
        <v>271435459</v>
      </c>
      <c r="W22" s="30">
        <f>1021</f>
        <v>1021</v>
      </c>
      <c r="X22" s="34">
        <f>19</f>
        <v>19</v>
      </c>
    </row>
    <row r="23" spans="1:24" x14ac:dyDescent="0.15">
      <c r="A23" s="25" t="s">
        <v>1109</v>
      </c>
      <c r="B23" s="25" t="s">
        <v>83</v>
      </c>
      <c r="C23" s="25" t="s">
        <v>967</v>
      </c>
      <c r="D23" s="25" t="s">
        <v>84</v>
      </c>
      <c r="E23" s="26" t="s">
        <v>43</v>
      </c>
      <c r="F23" s="27" t="s">
        <v>43</v>
      </c>
      <c r="G23" s="28" t="s">
        <v>43</v>
      </c>
      <c r="H23" s="29"/>
      <c r="I23" s="29" t="s">
        <v>44</v>
      </c>
      <c r="J23" s="30">
        <v>10</v>
      </c>
      <c r="K23" s="31">
        <f>1950</f>
        <v>1950</v>
      </c>
      <c r="L23" s="32" t="s">
        <v>1110</v>
      </c>
      <c r="M23" s="31">
        <f>1956.5</f>
        <v>1956.5</v>
      </c>
      <c r="N23" s="32" t="s">
        <v>674</v>
      </c>
      <c r="O23" s="31">
        <f>1805.5</f>
        <v>1805.5</v>
      </c>
      <c r="P23" s="32" t="s">
        <v>874</v>
      </c>
      <c r="Q23" s="31">
        <f>1837.5</f>
        <v>1837.5</v>
      </c>
      <c r="R23" s="32" t="s">
        <v>883</v>
      </c>
      <c r="S23" s="33">
        <f>1876.05</f>
        <v>1876.05</v>
      </c>
      <c r="T23" s="30">
        <f>19758180</f>
        <v>19758180</v>
      </c>
      <c r="U23" s="30">
        <f>6381110</f>
        <v>6381110</v>
      </c>
      <c r="V23" s="30">
        <f>36899926495</f>
        <v>36899926495</v>
      </c>
      <c r="W23" s="30">
        <f>11982796695</f>
        <v>11982796695</v>
      </c>
      <c r="X23" s="34">
        <f>19</f>
        <v>19</v>
      </c>
    </row>
    <row r="24" spans="1:24" x14ac:dyDescent="0.15">
      <c r="A24" s="25" t="s">
        <v>1109</v>
      </c>
      <c r="B24" s="25" t="s">
        <v>85</v>
      </c>
      <c r="C24" s="25" t="s">
        <v>86</v>
      </c>
      <c r="D24" s="25" t="s">
        <v>968</v>
      </c>
      <c r="E24" s="26" t="s">
        <v>43</v>
      </c>
      <c r="F24" s="27" t="s">
        <v>43</v>
      </c>
      <c r="G24" s="28" t="s">
        <v>43</v>
      </c>
      <c r="H24" s="29"/>
      <c r="I24" s="29" t="s">
        <v>44</v>
      </c>
      <c r="J24" s="30">
        <v>100</v>
      </c>
      <c r="K24" s="31">
        <f>1825.5</f>
        <v>1825.5</v>
      </c>
      <c r="L24" s="32" t="s">
        <v>1110</v>
      </c>
      <c r="M24" s="31">
        <f>1833</f>
        <v>1833</v>
      </c>
      <c r="N24" s="32" t="s">
        <v>674</v>
      </c>
      <c r="O24" s="31">
        <f>1709</f>
        <v>1709</v>
      </c>
      <c r="P24" s="32" t="s">
        <v>874</v>
      </c>
      <c r="Q24" s="31">
        <f>1739.5</f>
        <v>1739.5</v>
      </c>
      <c r="R24" s="32" t="s">
        <v>883</v>
      </c>
      <c r="S24" s="33">
        <f>1768.66</f>
        <v>1768.66</v>
      </c>
      <c r="T24" s="30">
        <f>16795700</f>
        <v>16795700</v>
      </c>
      <c r="U24" s="30">
        <f>3936400</f>
        <v>3936400</v>
      </c>
      <c r="V24" s="30">
        <f>29363583822</f>
        <v>29363583822</v>
      </c>
      <c r="W24" s="30">
        <f>6938540822</f>
        <v>6938540822</v>
      </c>
      <c r="X24" s="34">
        <f>19</f>
        <v>19</v>
      </c>
    </row>
    <row r="25" spans="1:24" x14ac:dyDescent="0.15">
      <c r="A25" s="25" t="s">
        <v>1109</v>
      </c>
      <c r="B25" s="25" t="s">
        <v>87</v>
      </c>
      <c r="C25" s="25" t="s">
        <v>88</v>
      </c>
      <c r="D25" s="25" t="s">
        <v>969</v>
      </c>
      <c r="E25" s="26" t="s">
        <v>43</v>
      </c>
      <c r="F25" s="27" t="s">
        <v>43</v>
      </c>
      <c r="G25" s="28" t="s">
        <v>43</v>
      </c>
      <c r="H25" s="29"/>
      <c r="I25" s="29" t="s">
        <v>44</v>
      </c>
      <c r="J25" s="30">
        <v>1</v>
      </c>
      <c r="K25" s="31">
        <f>37090</f>
        <v>37090</v>
      </c>
      <c r="L25" s="32" t="s">
        <v>1110</v>
      </c>
      <c r="M25" s="31">
        <f>40690</f>
        <v>40690</v>
      </c>
      <c r="N25" s="32" t="s">
        <v>676</v>
      </c>
      <c r="O25" s="31">
        <f>36990</f>
        <v>36990</v>
      </c>
      <c r="P25" s="32" t="s">
        <v>1115</v>
      </c>
      <c r="Q25" s="31">
        <f>40430</f>
        <v>40430</v>
      </c>
      <c r="R25" s="32" t="s">
        <v>883</v>
      </c>
      <c r="S25" s="33">
        <f>38997.37</f>
        <v>38997.370000000003</v>
      </c>
      <c r="T25" s="30">
        <f>659600</f>
        <v>659600</v>
      </c>
      <c r="U25" s="30">
        <f>282778</f>
        <v>282778</v>
      </c>
      <c r="V25" s="30">
        <f>25540172416</f>
        <v>25540172416</v>
      </c>
      <c r="W25" s="30">
        <f>10848302896</f>
        <v>10848302896</v>
      </c>
      <c r="X25" s="34">
        <f>19</f>
        <v>19</v>
      </c>
    </row>
    <row r="26" spans="1:24" x14ac:dyDescent="0.15">
      <c r="A26" s="25" t="s">
        <v>1109</v>
      </c>
      <c r="B26" s="25" t="s">
        <v>89</v>
      </c>
      <c r="C26" s="25" t="s">
        <v>90</v>
      </c>
      <c r="D26" s="25" t="s">
        <v>91</v>
      </c>
      <c r="E26" s="26" t="s">
        <v>43</v>
      </c>
      <c r="F26" s="27" t="s">
        <v>43</v>
      </c>
      <c r="G26" s="28" t="s">
        <v>43</v>
      </c>
      <c r="H26" s="29"/>
      <c r="I26" s="29" t="s">
        <v>44</v>
      </c>
      <c r="J26" s="30">
        <v>10</v>
      </c>
      <c r="K26" s="31">
        <f>2619.5</f>
        <v>2619.5</v>
      </c>
      <c r="L26" s="32" t="s">
        <v>1110</v>
      </c>
      <c r="M26" s="31">
        <f>2785</f>
        <v>2785</v>
      </c>
      <c r="N26" s="32" t="s">
        <v>1111</v>
      </c>
      <c r="O26" s="31">
        <f>2613.5</f>
        <v>2613.5</v>
      </c>
      <c r="P26" s="32" t="s">
        <v>1110</v>
      </c>
      <c r="Q26" s="31">
        <f>2766.5</f>
        <v>2766.5</v>
      </c>
      <c r="R26" s="32" t="s">
        <v>883</v>
      </c>
      <c r="S26" s="33">
        <f>2696.32</f>
        <v>2696.32</v>
      </c>
      <c r="T26" s="30">
        <f>2373690</f>
        <v>2373690</v>
      </c>
      <c r="U26" s="30">
        <f>30000</f>
        <v>30000</v>
      </c>
      <c r="V26" s="30">
        <f>6424106230</f>
        <v>6424106230</v>
      </c>
      <c r="W26" s="30">
        <f>81582000</f>
        <v>81582000</v>
      </c>
      <c r="X26" s="34">
        <f>19</f>
        <v>19</v>
      </c>
    </row>
    <row r="27" spans="1:24" x14ac:dyDescent="0.15">
      <c r="A27" s="25" t="s">
        <v>1109</v>
      </c>
      <c r="B27" s="25" t="s">
        <v>92</v>
      </c>
      <c r="C27" s="25" t="s">
        <v>93</v>
      </c>
      <c r="D27" s="25" t="s">
        <v>94</v>
      </c>
      <c r="E27" s="26" t="s">
        <v>43</v>
      </c>
      <c r="F27" s="27" t="s">
        <v>43</v>
      </c>
      <c r="G27" s="28" t="s">
        <v>43</v>
      </c>
      <c r="H27" s="29"/>
      <c r="I27" s="29" t="s">
        <v>44</v>
      </c>
      <c r="J27" s="30">
        <v>1</v>
      </c>
      <c r="K27" s="31">
        <f>15600</f>
        <v>15600</v>
      </c>
      <c r="L27" s="32" t="s">
        <v>1110</v>
      </c>
      <c r="M27" s="31">
        <f>16055</f>
        <v>16055</v>
      </c>
      <c r="N27" s="32" t="s">
        <v>883</v>
      </c>
      <c r="O27" s="31">
        <f>15570</f>
        <v>15570</v>
      </c>
      <c r="P27" s="32" t="s">
        <v>1116</v>
      </c>
      <c r="Q27" s="31">
        <f>16055</f>
        <v>16055</v>
      </c>
      <c r="R27" s="32" t="s">
        <v>883</v>
      </c>
      <c r="S27" s="33">
        <f>15831.76</f>
        <v>15831.76</v>
      </c>
      <c r="T27" s="30">
        <f>1230</f>
        <v>1230</v>
      </c>
      <c r="U27" s="30" t="str">
        <f>"－"</f>
        <v>－</v>
      </c>
      <c r="V27" s="30">
        <f>19455100</f>
        <v>19455100</v>
      </c>
      <c r="W27" s="30" t="str">
        <f>"－"</f>
        <v>－</v>
      </c>
      <c r="X27" s="34">
        <f>17</f>
        <v>17</v>
      </c>
    </row>
    <row r="28" spans="1:24" x14ac:dyDescent="0.15">
      <c r="A28" s="25" t="s">
        <v>1109</v>
      </c>
      <c r="B28" s="25" t="s">
        <v>95</v>
      </c>
      <c r="C28" s="25" t="s">
        <v>96</v>
      </c>
      <c r="D28" s="25" t="s">
        <v>97</v>
      </c>
      <c r="E28" s="26" t="s">
        <v>43</v>
      </c>
      <c r="F28" s="27" t="s">
        <v>43</v>
      </c>
      <c r="G28" s="28" t="s">
        <v>43</v>
      </c>
      <c r="H28" s="29"/>
      <c r="I28" s="29" t="s">
        <v>44</v>
      </c>
      <c r="J28" s="30">
        <v>10</v>
      </c>
      <c r="K28" s="31">
        <f>470</f>
        <v>470</v>
      </c>
      <c r="L28" s="32" t="s">
        <v>1110</v>
      </c>
      <c r="M28" s="31">
        <f>471.9</f>
        <v>471.9</v>
      </c>
      <c r="N28" s="32" t="s">
        <v>1110</v>
      </c>
      <c r="O28" s="31">
        <f>412.7</f>
        <v>412.7</v>
      </c>
      <c r="P28" s="32" t="s">
        <v>1111</v>
      </c>
      <c r="Q28" s="31">
        <f>418.2</f>
        <v>418.2</v>
      </c>
      <c r="R28" s="32" t="s">
        <v>883</v>
      </c>
      <c r="S28" s="33">
        <f>442.21</f>
        <v>442.21</v>
      </c>
      <c r="T28" s="30">
        <f>23250870</f>
        <v>23250870</v>
      </c>
      <c r="U28" s="30">
        <f>661460</f>
        <v>661460</v>
      </c>
      <c r="V28" s="30">
        <f>10289792251</f>
        <v>10289792251</v>
      </c>
      <c r="W28" s="30">
        <f>279996018</f>
        <v>279996018</v>
      </c>
      <c r="X28" s="34">
        <f>19</f>
        <v>19</v>
      </c>
    </row>
    <row r="29" spans="1:24" x14ac:dyDescent="0.15">
      <c r="A29" s="25" t="s">
        <v>1109</v>
      </c>
      <c r="B29" s="25" t="s">
        <v>98</v>
      </c>
      <c r="C29" s="25" t="s">
        <v>99</v>
      </c>
      <c r="D29" s="25" t="s">
        <v>970</v>
      </c>
      <c r="E29" s="26" t="s">
        <v>43</v>
      </c>
      <c r="F29" s="27" t="s">
        <v>43</v>
      </c>
      <c r="G29" s="28" t="s">
        <v>43</v>
      </c>
      <c r="H29" s="29"/>
      <c r="I29" s="29" t="s">
        <v>44</v>
      </c>
      <c r="J29" s="30">
        <v>1</v>
      </c>
      <c r="K29" s="31">
        <f>179</f>
        <v>179</v>
      </c>
      <c r="L29" s="32" t="s">
        <v>1110</v>
      </c>
      <c r="M29" s="31">
        <f>180</f>
        <v>180</v>
      </c>
      <c r="N29" s="32" t="s">
        <v>1110</v>
      </c>
      <c r="O29" s="31">
        <f>147</f>
        <v>147</v>
      </c>
      <c r="P29" s="32" t="s">
        <v>676</v>
      </c>
      <c r="Q29" s="31">
        <f>149</f>
        <v>149</v>
      </c>
      <c r="R29" s="32" t="s">
        <v>883</v>
      </c>
      <c r="S29" s="33">
        <f>161.53</f>
        <v>161.53</v>
      </c>
      <c r="T29" s="30">
        <f>1293680846</f>
        <v>1293680846</v>
      </c>
      <c r="U29" s="30">
        <f>5408730</f>
        <v>5408730</v>
      </c>
      <c r="V29" s="30">
        <f>208393039573</f>
        <v>208393039573</v>
      </c>
      <c r="W29" s="30">
        <f>878041337</f>
        <v>878041337</v>
      </c>
      <c r="X29" s="34">
        <f>19</f>
        <v>19</v>
      </c>
    </row>
    <row r="30" spans="1:24" x14ac:dyDescent="0.15">
      <c r="A30" s="25" t="s">
        <v>1109</v>
      </c>
      <c r="B30" s="25" t="s">
        <v>100</v>
      </c>
      <c r="C30" s="25" t="s">
        <v>101</v>
      </c>
      <c r="D30" s="25" t="s">
        <v>102</v>
      </c>
      <c r="E30" s="26" t="s">
        <v>43</v>
      </c>
      <c r="F30" s="27" t="s">
        <v>43</v>
      </c>
      <c r="G30" s="28" t="s">
        <v>43</v>
      </c>
      <c r="H30" s="29"/>
      <c r="I30" s="29" t="s">
        <v>44</v>
      </c>
      <c r="J30" s="30">
        <v>1</v>
      </c>
      <c r="K30" s="31">
        <f>45180</f>
        <v>45180</v>
      </c>
      <c r="L30" s="32" t="s">
        <v>1110</v>
      </c>
      <c r="M30" s="31">
        <f>54070</f>
        <v>54070</v>
      </c>
      <c r="N30" s="32" t="s">
        <v>676</v>
      </c>
      <c r="O30" s="31">
        <f>44790</f>
        <v>44790</v>
      </c>
      <c r="P30" s="32" t="s">
        <v>1115</v>
      </c>
      <c r="Q30" s="31">
        <f>53470</f>
        <v>53470</v>
      </c>
      <c r="R30" s="32" t="s">
        <v>883</v>
      </c>
      <c r="S30" s="33">
        <f>49776.32</f>
        <v>49776.32</v>
      </c>
      <c r="T30" s="30">
        <f>376939</f>
        <v>376939</v>
      </c>
      <c r="U30" s="30">
        <f>15</f>
        <v>15</v>
      </c>
      <c r="V30" s="30">
        <f>18860571360</f>
        <v>18860571360</v>
      </c>
      <c r="W30" s="30">
        <f>694190</f>
        <v>694190</v>
      </c>
      <c r="X30" s="34">
        <f>19</f>
        <v>19</v>
      </c>
    </row>
    <row r="31" spans="1:24" x14ac:dyDescent="0.15">
      <c r="A31" s="25" t="s">
        <v>1109</v>
      </c>
      <c r="B31" s="25" t="s">
        <v>103</v>
      </c>
      <c r="C31" s="25" t="s">
        <v>104</v>
      </c>
      <c r="D31" s="25" t="s">
        <v>105</v>
      </c>
      <c r="E31" s="26" t="s">
        <v>43</v>
      </c>
      <c r="F31" s="27" t="s">
        <v>43</v>
      </c>
      <c r="G31" s="28" t="s">
        <v>43</v>
      </c>
      <c r="H31" s="29"/>
      <c r="I31" s="29" t="s">
        <v>44</v>
      </c>
      <c r="J31" s="30">
        <v>10</v>
      </c>
      <c r="K31" s="31">
        <f>437.2</f>
        <v>437.2</v>
      </c>
      <c r="L31" s="32" t="s">
        <v>1110</v>
      </c>
      <c r="M31" s="31">
        <f>439.5</f>
        <v>439.5</v>
      </c>
      <c r="N31" s="32" t="s">
        <v>1115</v>
      </c>
      <c r="O31" s="31">
        <f>360.5</f>
        <v>360.5</v>
      </c>
      <c r="P31" s="32" t="s">
        <v>1111</v>
      </c>
      <c r="Q31" s="31">
        <f>364.7</f>
        <v>364.7</v>
      </c>
      <c r="R31" s="32" t="s">
        <v>883</v>
      </c>
      <c r="S31" s="33">
        <f>394.92</f>
        <v>394.92</v>
      </c>
      <c r="T31" s="30">
        <f>485555610</f>
        <v>485555610</v>
      </c>
      <c r="U31" s="30">
        <f>523560</f>
        <v>523560</v>
      </c>
      <c r="V31" s="30">
        <f>192590211836</f>
        <v>192590211836</v>
      </c>
      <c r="W31" s="30">
        <f>204550317</f>
        <v>204550317</v>
      </c>
      <c r="X31" s="34">
        <f>19</f>
        <v>19</v>
      </c>
    </row>
    <row r="32" spans="1:24" x14ac:dyDescent="0.15">
      <c r="A32" s="25" t="s">
        <v>1109</v>
      </c>
      <c r="B32" s="25" t="s">
        <v>106</v>
      </c>
      <c r="C32" s="25" t="s">
        <v>107</v>
      </c>
      <c r="D32" s="25" t="s">
        <v>108</v>
      </c>
      <c r="E32" s="26" t="s">
        <v>43</v>
      </c>
      <c r="F32" s="27" t="s">
        <v>43</v>
      </c>
      <c r="G32" s="28" t="s">
        <v>43</v>
      </c>
      <c r="H32" s="29"/>
      <c r="I32" s="29" t="s">
        <v>44</v>
      </c>
      <c r="J32" s="30">
        <v>1</v>
      </c>
      <c r="K32" s="31">
        <f>23590</f>
        <v>23590</v>
      </c>
      <c r="L32" s="32" t="s">
        <v>1110</v>
      </c>
      <c r="M32" s="31">
        <f>24875</f>
        <v>24875</v>
      </c>
      <c r="N32" s="32" t="s">
        <v>1111</v>
      </c>
      <c r="O32" s="31">
        <f>23440</f>
        <v>23440</v>
      </c>
      <c r="P32" s="32" t="s">
        <v>1113</v>
      </c>
      <c r="Q32" s="31">
        <f>24705</f>
        <v>24705</v>
      </c>
      <c r="R32" s="32" t="s">
        <v>883</v>
      </c>
      <c r="S32" s="33">
        <f>24121.05</f>
        <v>24121.05</v>
      </c>
      <c r="T32" s="30">
        <f>23848</f>
        <v>23848</v>
      </c>
      <c r="U32" s="30">
        <f>5</f>
        <v>5</v>
      </c>
      <c r="V32" s="30">
        <f>574848290</f>
        <v>574848290</v>
      </c>
      <c r="W32" s="30">
        <f>118285</f>
        <v>118285</v>
      </c>
      <c r="X32" s="34">
        <f>19</f>
        <v>19</v>
      </c>
    </row>
    <row r="33" spans="1:24" x14ac:dyDescent="0.15">
      <c r="A33" s="25" t="s">
        <v>1109</v>
      </c>
      <c r="B33" s="25" t="s">
        <v>109</v>
      </c>
      <c r="C33" s="25" t="s">
        <v>900</v>
      </c>
      <c r="D33" s="25" t="s">
        <v>901</v>
      </c>
      <c r="E33" s="26" t="s">
        <v>43</v>
      </c>
      <c r="F33" s="27" t="s">
        <v>43</v>
      </c>
      <c r="G33" s="28" t="s">
        <v>43</v>
      </c>
      <c r="H33" s="29"/>
      <c r="I33" s="29" t="s">
        <v>44</v>
      </c>
      <c r="J33" s="30">
        <v>1</v>
      </c>
      <c r="K33" s="31">
        <f>37470</f>
        <v>37470</v>
      </c>
      <c r="L33" s="32" t="s">
        <v>1110</v>
      </c>
      <c r="M33" s="31">
        <f>44910</f>
        <v>44910</v>
      </c>
      <c r="N33" s="32" t="s">
        <v>1111</v>
      </c>
      <c r="O33" s="31">
        <f>37250</f>
        <v>37250</v>
      </c>
      <c r="P33" s="32" t="s">
        <v>1115</v>
      </c>
      <c r="Q33" s="31">
        <f>44360</f>
        <v>44360</v>
      </c>
      <c r="R33" s="32" t="s">
        <v>883</v>
      </c>
      <c r="S33" s="33">
        <f>41374.21</f>
        <v>41374.21</v>
      </c>
      <c r="T33" s="30">
        <f>817126</f>
        <v>817126</v>
      </c>
      <c r="U33" s="30">
        <f>40</f>
        <v>40</v>
      </c>
      <c r="V33" s="30">
        <f>33895456630</f>
        <v>33895456630</v>
      </c>
      <c r="W33" s="30">
        <f>1711200</f>
        <v>1711200</v>
      </c>
      <c r="X33" s="34">
        <f>19</f>
        <v>19</v>
      </c>
    </row>
    <row r="34" spans="1:24" x14ac:dyDescent="0.15">
      <c r="A34" s="25" t="s">
        <v>1109</v>
      </c>
      <c r="B34" s="25" t="s">
        <v>110</v>
      </c>
      <c r="C34" s="25" t="s">
        <v>902</v>
      </c>
      <c r="D34" s="25" t="s">
        <v>903</v>
      </c>
      <c r="E34" s="26" t="s">
        <v>43</v>
      </c>
      <c r="F34" s="27" t="s">
        <v>43</v>
      </c>
      <c r="G34" s="28" t="s">
        <v>43</v>
      </c>
      <c r="H34" s="29"/>
      <c r="I34" s="29" t="s">
        <v>44</v>
      </c>
      <c r="J34" s="30">
        <v>1</v>
      </c>
      <c r="K34" s="31">
        <f>464</f>
        <v>464</v>
      </c>
      <c r="L34" s="32" t="s">
        <v>1110</v>
      </c>
      <c r="M34" s="31">
        <f>467</f>
        <v>467</v>
      </c>
      <c r="N34" s="32" t="s">
        <v>1115</v>
      </c>
      <c r="O34" s="31">
        <f>383</f>
        <v>383</v>
      </c>
      <c r="P34" s="32" t="s">
        <v>676</v>
      </c>
      <c r="Q34" s="31">
        <f>387</f>
        <v>387</v>
      </c>
      <c r="R34" s="32" t="s">
        <v>883</v>
      </c>
      <c r="S34" s="33">
        <f>419.79</f>
        <v>419.79</v>
      </c>
      <c r="T34" s="30">
        <f>31727885</f>
        <v>31727885</v>
      </c>
      <c r="U34" s="30">
        <f>102259</f>
        <v>102259</v>
      </c>
      <c r="V34" s="30">
        <f>13320869948</f>
        <v>13320869948</v>
      </c>
      <c r="W34" s="30">
        <f>39693275</f>
        <v>39693275</v>
      </c>
      <c r="X34" s="34">
        <f>19</f>
        <v>19</v>
      </c>
    </row>
    <row r="35" spans="1:24" x14ac:dyDescent="0.15">
      <c r="A35" s="25" t="s">
        <v>1109</v>
      </c>
      <c r="B35" s="25" t="s">
        <v>111</v>
      </c>
      <c r="C35" s="25" t="s">
        <v>904</v>
      </c>
      <c r="D35" s="25" t="s">
        <v>905</v>
      </c>
      <c r="E35" s="26" t="s">
        <v>43</v>
      </c>
      <c r="F35" s="27" t="s">
        <v>43</v>
      </c>
      <c r="G35" s="28" t="s">
        <v>43</v>
      </c>
      <c r="H35" s="29"/>
      <c r="I35" s="29" t="s">
        <v>44</v>
      </c>
      <c r="J35" s="30">
        <v>1</v>
      </c>
      <c r="K35" s="31">
        <f>32280</f>
        <v>32280</v>
      </c>
      <c r="L35" s="32" t="s">
        <v>1110</v>
      </c>
      <c r="M35" s="31">
        <f>36440</f>
        <v>36440</v>
      </c>
      <c r="N35" s="32" t="s">
        <v>1111</v>
      </c>
      <c r="O35" s="31">
        <f>32140</f>
        <v>32140</v>
      </c>
      <c r="P35" s="32" t="s">
        <v>1110</v>
      </c>
      <c r="Q35" s="31">
        <f>35970</f>
        <v>35970</v>
      </c>
      <c r="R35" s="32" t="s">
        <v>883</v>
      </c>
      <c r="S35" s="33">
        <f>34188.95</f>
        <v>34188.949999999997</v>
      </c>
      <c r="T35" s="30">
        <f>143365</f>
        <v>143365</v>
      </c>
      <c r="U35" s="30" t="str">
        <f>"－"</f>
        <v>－</v>
      </c>
      <c r="V35" s="30">
        <f>4900195840</f>
        <v>4900195840</v>
      </c>
      <c r="W35" s="30" t="str">
        <f>"－"</f>
        <v>－</v>
      </c>
      <c r="X35" s="34">
        <f>19</f>
        <v>19</v>
      </c>
    </row>
    <row r="36" spans="1:24" x14ac:dyDescent="0.15">
      <c r="A36" s="25" t="s">
        <v>1109</v>
      </c>
      <c r="B36" s="25" t="s">
        <v>112</v>
      </c>
      <c r="C36" s="25" t="s">
        <v>906</v>
      </c>
      <c r="D36" s="25" t="s">
        <v>907</v>
      </c>
      <c r="E36" s="26" t="s">
        <v>43</v>
      </c>
      <c r="F36" s="27" t="s">
        <v>43</v>
      </c>
      <c r="G36" s="28" t="s">
        <v>43</v>
      </c>
      <c r="H36" s="29"/>
      <c r="I36" s="29" t="s">
        <v>44</v>
      </c>
      <c r="J36" s="30">
        <v>1</v>
      </c>
      <c r="K36" s="31">
        <f>680</f>
        <v>680</v>
      </c>
      <c r="L36" s="32" t="s">
        <v>1110</v>
      </c>
      <c r="M36" s="31">
        <f>684</f>
        <v>684</v>
      </c>
      <c r="N36" s="32" t="s">
        <v>1110</v>
      </c>
      <c r="O36" s="31">
        <f>599</f>
        <v>599</v>
      </c>
      <c r="P36" s="32" t="s">
        <v>1111</v>
      </c>
      <c r="Q36" s="31">
        <f>606</f>
        <v>606</v>
      </c>
      <c r="R36" s="32" t="s">
        <v>883</v>
      </c>
      <c r="S36" s="33">
        <f>641.84</f>
        <v>641.84</v>
      </c>
      <c r="T36" s="30">
        <f>1827259</f>
        <v>1827259</v>
      </c>
      <c r="U36" s="30" t="str">
        <f>"－"</f>
        <v>－</v>
      </c>
      <c r="V36" s="30">
        <f>1171872040</f>
        <v>1171872040</v>
      </c>
      <c r="W36" s="30" t="str">
        <f>"－"</f>
        <v>－</v>
      </c>
      <c r="X36" s="34">
        <f>19</f>
        <v>19</v>
      </c>
    </row>
    <row r="37" spans="1:24" x14ac:dyDescent="0.15">
      <c r="A37" s="25" t="s">
        <v>1109</v>
      </c>
      <c r="B37" s="25" t="s">
        <v>113</v>
      </c>
      <c r="C37" s="25" t="s">
        <v>114</v>
      </c>
      <c r="D37" s="25" t="s">
        <v>115</v>
      </c>
      <c r="E37" s="26" t="s">
        <v>43</v>
      </c>
      <c r="F37" s="27" t="s">
        <v>43</v>
      </c>
      <c r="G37" s="28" t="s">
        <v>43</v>
      </c>
      <c r="H37" s="29"/>
      <c r="I37" s="29" t="s">
        <v>44</v>
      </c>
      <c r="J37" s="30">
        <v>1</v>
      </c>
      <c r="K37" s="31">
        <f>36020</f>
        <v>36020</v>
      </c>
      <c r="L37" s="32" t="s">
        <v>1110</v>
      </c>
      <c r="M37" s="31">
        <f>39460</f>
        <v>39460</v>
      </c>
      <c r="N37" s="32" t="s">
        <v>676</v>
      </c>
      <c r="O37" s="31">
        <f>35900</f>
        <v>35900</v>
      </c>
      <c r="P37" s="32" t="s">
        <v>1115</v>
      </c>
      <c r="Q37" s="31">
        <f>39330</f>
        <v>39330</v>
      </c>
      <c r="R37" s="32" t="s">
        <v>883</v>
      </c>
      <c r="S37" s="33">
        <f>37856.32</f>
        <v>37856.32</v>
      </c>
      <c r="T37" s="30">
        <f>62157</f>
        <v>62157</v>
      </c>
      <c r="U37" s="30">
        <f>3000</f>
        <v>3000</v>
      </c>
      <c r="V37" s="30">
        <f>2350714050</f>
        <v>2350714050</v>
      </c>
      <c r="W37" s="30">
        <f>111413100</f>
        <v>111413100</v>
      </c>
      <c r="X37" s="34">
        <f>19</f>
        <v>19</v>
      </c>
    </row>
    <row r="38" spans="1:24" x14ac:dyDescent="0.15">
      <c r="A38" s="25" t="s">
        <v>1109</v>
      </c>
      <c r="B38" s="25" t="s">
        <v>116</v>
      </c>
      <c r="C38" s="25" t="s">
        <v>117</v>
      </c>
      <c r="D38" s="25" t="s">
        <v>118</v>
      </c>
      <c r="E38" s="26" t="s">
        <v>43</v>
      </c>
      <c r="F38" s="27" t="s">
        <v>43</v>
      </c>
      <c r="G38" s="28" t="s">
        <v>43</v>
      </c>
      <c r="H38" s="29"/>
      <c r="I38" s="29" t="s">
        <v>44</v>
      </c>
      <c r="J38" s="30">
        <v>1</v>
      </c>
      <c r="K38" s="31">
        <f>36530</f>
        <v>36530</v>
      </c>
      <c r="L38" s="32" t="s">
        <v>1110</v>
      </c>
      <c r="M38" s="31">
        <f>39800</f>
        <v>39800</v>
      </c>
      <c r="N38" s="32" t="s">
        <v>676</v>
      </c>
      <c r="O38" s="31">
        <f>36240</f>
        <v>36240</v>
      </c>
      <c r="P38" s="32" t="s">
        <v>1115</v>
      </c>
      <c r="Q38" s="31">
        <f>39690</f>
        <v>39690</v>
      </c>
      <c r="R38" s="32" t="s">
        <v>883</v>
      </c>
      <c r="S38" s="33">
        <f>38232.63</f>
        <v>38232.629999999997</v>
      </c>
      <c r="T38" s="30">
        <f>514872</f>
        <v>514872</v>
      </c>
      <c r="U38" s="30">
        <f>254220</f>
        <v>254220</v>
      </c>
      <c r="V38" s="30">
        <f>19758400303</f>
        <v>19758400303</v>
      </c>
      <c r="W38" s="30">
        <f>9770543653</f>
        <v>9770543653</v>
      </c>
      <c r="X38" s="34">
        <f>19</f>
        <v>19</v>
      </c>
    </row>
    <row r="39" spans="1:24" x14ac:dyDescent="0.15">
      <c r="A39" s="25" t="s">
        <v>1109</v>
      </c>
      <c r="B39" s="25" t="s">
        <v>119</v>
      </c>
      <c r="C39" s="25" t="s">
        <v>120</v>
      </c>
      <c r="D39" s="25" t="s">
        <v>121</v>
      </c>
      <c r="E39" s="26" t="s">
        <v>43</v>
      </c>
      <c r="F39" s="27" t="s">
        <v>43</v>
      </c>
      <c r="G39" s="28" t="s">
        <v>43</v>
      </c>
      <c r="H39" s="29"/>
      <c r="I39" s="29" t="s">
        <v>44</v>
      </c>
      <c r="J39" s="30">
        <v>10</v>
      </c>
      <c r="K39" s="31">
        <f>1843</f>
        <v>1843</v>
      </c>
      <c r="L39" s="32" t="s">
        <v>1110</v>
      </c>
      <c r="M39" s="31">
        <f>1859.5</f>
        <v>1859.5</v>
      </c>
      <c r="N39" s="32" t="s">
        <v>674</v>
      </c>
      <c r="O39" s="31">
        <f>1736</f>
        <v>1736</v>
      </c>
      <c r="P39" s="32" t="s">
        <v>874</v>
      </c>
      <c r="Q39" s="31">
        <f>1767.5</f>
        <v>1767.5</v>
      </c>
      <c r="R39" s="32" t="s">
        <v>883</v>
      </c>
      <c r="S39" s="33">
        <f>1796.03</f>
        <v>1796.03</v>
      </c>
      <c r="T39" s="30">
        <f>4573710</f>
        <v>4573710</v>
      </c>
      <c r="U39" s="30">
        <f>3509850</f>
        <v>3509850</v>
      </c>
      <c r="V39" s="30">
        <f>8320456027</f>
        <v>8320456027</v>
      </c>
      <c r="W39" s="30">
        <f>6408513362</f>
        <v>6408513362</v>
      </c>
      <c r="X39" s="34">
        <f>19</f>
        <v>19</v>
      </c>
    </row>
    <row r="40" spans="1:24" x14ac:dyDescent="0.15">
      <c r="A40" s="25" t="s">
        <v>1109</v>
      </c>
      <c r="B40" s="25" t="s">
        <v>122</v>
      </c>
      <c r="C40" s="25" t="s">
        <v>123</v>
      </c>
      <c r="D40" s="25" t="s">
        <v>124</v>
      </c>
      <c r="E40" s="26" t="s">
        <v>43</v>
      </c>
      <c r="F40" s="27" t="s">
        <v>43</v>
      </c>
      <c r="G40" s="28" t="s">
        <v>43</v>
      </c>
      <c r="H40" s="29"/>
      <c r="I40" s="29" t="s">
        <v>44</v>
      </c>
      <c r="J40" s="30">
        <v>10</v>
      </c>
      <c r="K40" s="31">
        <f>2094</f>
        <v>2094</v>
      </c>
      <c r="L40" s="32" t="s">
        <v>1110</v>
      </c>
      <c r="M40" s="31">
        <f>2245</f>
        <v>2245</v>
      </c>
      <c r="N40" s="32" t="s">
        <v>1118</v>
      </c>
      <c r="O40" s="31">
        <f>2069</f>
        <v>2069</v>
      </c>
      <c r="P40" s="32" t="s">
        <v>1116</v>
      </c>
      <c r="Q40" s="31">
        <f>2145</f>
        <v>2145</v>
      </c>
      <c r="R40" s="32" t="s">
        <v>883</v>
      </c>
      <c r="S40" s="33">
        <f>2131.71</f>
        <v>2131.71</v>
      </c>
      <c r="T40" s="30">
        <f>12190</f>
        <v>12190</v>
      </c>
      <c r="U40" s="30">
        <f>10</f>
        <v>10</v>
      </c>
      <c r="V40" s="30">
        <f>26075150</f>
        <v>26075150</v>
      </c>
      <c r="W40" s="30">
        <f>21250</f>
        <v>21250</v>
      </c>
      <c r="X40" s="34">
        <f>19</f>
        <v>19</v>
      </c>
    </row>
    <row r="41" spans="1:24" x14ac:dyDescent="0.15">
      <c r="A41" s="25" t="s">
        <v>1109</v>
      </c>
      <c r="B41" s="25" t="s">
        <v>1119</v>
      </c>
      <c r="C41" s="25" t="s">
        <v>1120</v>
      </c>
      <c r="D41" s="25" t="s">
        <v>1121</v>
      </c>
      <c r="E41" s="26" t="s">
        <v>672</v>
      </c>
      <c r="F41" s="27" t="s">
        <v>673</v>
      </c>
      <c r="G41" s="28" t="s">
        <v>1122</v>
      </c>
      <c r="H41" s="29"/>
      <c r="I41" s="29" t="s">
        <v>44</v>
      </c>
      <c r="J41" s="30">
        <v>1</v>
      </c>
      <c r="K41" s="31">
        <f>2006</f>
        <v>2006</v>
      </c>
      <c r="L41" s="32" t="s">
        <v>1114</v>
      </c>
      <c r="M41" s="31">
        <f>2006</f>
        <v>2006</v>
      </c>
      <c r="N41" s="32" t="s">
        <v>1114</v>
      </c>
      <c r="O41" s="31">
        <f>1991</f>
        <v>1991</v>
      </c>
      <c r="P41" s="32" t="s">
        <v>883</v>
      </c>
      <c r="Q41" s="31">
        <f>1999</f>
        <v>1999</v>
      </c>
      <c r="R41" s="32" t="s">
        <v>883</v>
      </c>
      <c r="S41" s="33">
        <f>1999.5</f>
        <v>1999.5</v>
      </c>
      <c r="T41" s="30">
        <f>1505</f>
        <v>1505</v>
      </c>
      <c r="U41" s="30" t="str">
        <f>"－"</f>
        <v>－</v>
      </c>
      <c r="V41" s="30">
        <f>3009587</f>
        <v>3009587</v>
      </c>
      <c r="W41" s="30" t="str">
        <f>"－"</f>
        <v>－</v>
      </c>
      <c r="X41" s="34">
        <f>2</f>
        <v>2</v>
      </c>
    </row>
    <row r="42" spans="1:24" x14ac:dyDescent="0.15">
      <c r="A42" s="25" t="s">
        <v>1109</v>
      </c>
      <c r="B42" s="25" t="s">
        <v>125</v>
      </c>
      <c r="C42" s="25" t="s">
        <v>908</v>
      </c>
      <c r="D42" s="25" t="s">
        <v>909</v>
      </c>
      <c r="E42" s="26" t="s">
        <v>43</v>
      </c>
      <c r="F42" s="27" t="s">
        <v>43</v>
      </c>
      <c r="G42" s="28" t="s">
        <v>43</v>
      </c>
      <c r="H42" s="29"/>
      <c r="I42" s="29" t="s">
        <v>44</v>
      </c>
      <c r="J42" s="30">
        <v>1</v>
      </c>
      <c r="K42" s="31">
        <f>2949</f>
        <v>2949</v>
      </c>
      <c r="L42" s="32" t="s">
        <v>1110</v>
      </c>
      <c r="M42" s="31">
        <f>2955</f>
        <v>2955</v>
      </c>
      <c r="N42" s="32" t="s">
        <v>1115</v>
      </c>
      <c r="O42" s="31">
        <f>2680</f>
        <v>2680</v>
      </c>
      <c r="P42" s="32" t="s">
        <v>676</v>
      </c>
      <c r="Q42" s="31">
        <f>2694</f>
        <v>2694</v>
      </c>
      <c r="R42" s="32" t="s">
        <v>883</v>
      </c>
      <c r="S42" s="33">
        <f>2802.42</f>
        <v>2802.42</v>
      </c>
      <c r="T42" s="30">
        <f>4325964</f>
        <v>4325964</v>
      </c>
      <c r="U42" s="30">
        <f>1652600</f>
        <v>1652600</v>
      </c>
      <c r="V42" s="30">
        <f>11959319643</f>
        <v>11959319643</v>
      </c>
      <c r="W42" s="30">
        <f>4469574046</f>
        <v>4469574046</v>
      </c>
      <c r="X42" s="34">
        <f>19</f>
        <v>19</v>
      </c>
    </row>
    <row r="43" spans="1:24" x14ac:dyDescent="0.15">
      <c r="A43" s="25" t="s">
        <v>1109</v>
      </c>
      <c r="B43" s="25" t="s">
        <v>126</v>
      </c>
      <c r="C43" s="25" t="s">
        <v>910</v>
      </c>
      <c r="D43" s="25" t="s">
        <v>911</v>
      </c>
      <c r="E43" s="26" t="s">
        <v>43</v>
      </c>
      <c r="F43" s="27" t="s">
        <v>43</v>
      </c>
      <c r="G43" s="28" t="s">
        <v>43</v>
      </c>
      <c r="H43" s="29"/>
      <c r="I43" s="29" t="s">
        <v>44</v>
      </c>
      <c r="J43" s="30">
        <v>1</v>
      </c>
      <c r="K43" s="31">
        <f>3495</f>
        <v>3495</v>
      </c>
      <c r="L43" s="32" t="s">
        <v>1110</v>
      </c>
      <c r="M43" s="31">
        <f>3495</f>
        <v>3495</v>
      </c>
      <c r="N43" s="32" t="s">
        <v>1110</v>
      </c>
      <c r="O43" s="31">
        <f>3275</f>
        <v>3275</v>
      </c>
      <c r="P43" s="32" t="s">
        <v>1111</v>
      </c>
      <c r="Q43" s="31">
        <f>3295</f>
        <v>3295</v>
      </c>
      <c r="R43" s="32" t="s">
        <v>883</v>
      </c>
      <c r="S43" s="33">
        <f>3387.11</f>
        <v>3387.11</v>
      </c>
      <c r="T43" s="30">
        <f>1510693</f>
        <v>1510693</v>
      </c>
      <c r="U43" s="30">
        <f>1414674</f>
        <v>1414674</v>
      </c>
      <c r="V43" s="30">
        <f>5242589790</f>
        <v>5242589790</v>
      </c>
      <c r="W43" s="30">
        <f>4918798595</f>
        <v>4918798595</v>
      </c>
      <c r="X43" s="34">
        <f>19</f>
        <v>19</v>
      </c>
    </row>
    <row r="44" spans="1:24" x14ac:dyDescent="0.15">
      <c r="A44" s="25" t="s">
        <v>1109</v>
      </c>
      <c r="B44" s="25" t="s">
        <v>127</v>
      </c>
      <c r="C44" s="25" t="s">
        <v>128</v>
      </c>
      <c r="D44" s="25" t="s">
        <v>129</v>
      </c>
      <c r="E44" s="26" t="s">
        <v>43</v>
      </c>
      <c r="F44" s="27" t="s">
        <v>43</v>
      </c>
      <c r="G44" s="28" t="s">
        <v>43</v>
      </c>
      <c r="H44" s="29"/>
      <c r="I44" s="29" t="s">
        <v>44</v>
      </c>
      <c r="J44" s="30">
        <v>1</v>
      </c>
      <c r="K44" s="31">
        <f>28650</f>
        <v>28650</v>
      </c>
      <c r="L44" s="32" t="s">
        <v>1110</v>
      </c>
      <c r="M44" s="31">
        <f>34300</f>
        <v>34300</v>
      </c>
      <c r="N44" s="32" t="s">
        <v>676</v>
      </c>
      <c r="O44" s="31">
        <f>28420</f>
        <v>28420</v>
      </c>
      <c r="P44" s="32" t="s">
        <v>1115</v>
      </c>
      <c r="Q44" s="31">
        <f>33890</f>
        <v>33890</v>
      </c>
      <c r="R44" s="32" t="s">
        <v>883</v>
      </c>
      <c r="S44" s="33">
        <f>31582.89</f>
        <v>31582.89</v>
      </c>
      <c r="T44" s="30">
        <f>6418217</f>
        <v>6418217</v>
      </c>
      <c r="U44" s="30">
        <f>2540</f>
        <v>2540</v>
      </c>
      <c r="V44" s="30">
        <f>201708110975</f>
        <v>201708110975</v>
      </c>
      <c r="W44" s="30">
        <f>80355180</f>
        <v>80355180</v>
      </c>
      <c r="X44" s="34">
        <f>19</f>
        <v>19</v>
      </c>
    </row>
    <row r="45" spans="1:24" x14ac:dyDescent="0.15">
      <c r="A45" s="25" t="s">
        <v>1109</v>
      </c>
      <c r="B45" s="25" t="s">
        <v>130</v>
      </c>
      <c r="C45" s="25" t="s">
        <v>131</v>
      </c>
      <c r="D45" s="25" t="s">
        <v>132</v>
      </c>
      <c r="E45" s="26" t="s">
        <v>43</v>
      </c>
      <c r="F45" s="27" t="s">
        <v>43</v>
      </c>
      <c r="G45" s="28" t="s">
        <v>43</v>
      </c>
      <c r="H45" s="29"/>
      <c r="I45" s="29" t="s">
        <v>44</v>
      </c>
      <c r="J45" s="30">
        <v>1</v>
      </c>
      <c r="K45" s="31">
        <f>721</f>
        <v>721</v>
      </c>
      <c r="L45" s="32" t="s">
        <v>1110</v>
      </c>
      <c r="M45" s="31">
        <f>725</f>
        <v>725</v>
      </c>
      <c r="N45" s="32" t="s">
        <v>1115</v>
      </c>
      <c r="O45" s="31">
        <f>594</f>
        <v>594</v>
      </c>
      <c r="P45" s="32" t="s">
        <v>676</v>
      </c>
      <c r="Q45" s="31">
        <f>601</f>
        <v>601</v>
      </c>
      <c r="R45" s="32" t="s">
        <v>883</v>
      </c>
      <c r="S45" s="33">
        <f>651.42</f>
        <v>651.41999999999996</v>
      </c>
      <c r="T45" s="30">
        <f>221771892</f>
        <v>221771892</v>
      </c>
      <c r="U45" s="30">
        <f>5725902</f>
        <v>5725902</v>
      </c>
      <c r="V45" s="30">
        <f>145178969556</f>
        <v>145178969556</v>
      </c>
      <c r="W45" s="30">
        <f>3481165410</f>
        <v>3481165410</v>
      </c>
      <c r="X45" s="34">
        <f>19</f>
        <v>19</v>
      </c>
    </row>
    <row r="46" spans="1:24" x14ac:dyDescent="0.15">
      <c r="A46" s="25" t="s">
        <v>1109</v>
      </c>
      <c r="B46" s="25" t="s">
        <v>133</v>
      </c>
      <c r="C46" s="25" t="s">
        <v>912</v>
      </c>
      <c r="D46" s="25" t="s">
        <v>913</v>
      </c>
      <c r="E46" s="26" t="s">
        <v>43</v>
      </c>
      <c r="F46" s="27" t="s">
        <v>43</v>
      </c>
      <c r="G46" s="28" t="s">
        <v>43</v>
      </c>
      <c r="H46" s="29"/>
      <c r="I46" s="29" t="s">
        <v>44</v>
      </c>
      <c r="J46" s="30">
        <v>1</v>
      </c>
      <c r="K46" s="31">
        <f>25810</f>
        <v>25810</v>
      </c>
      <c r="L46" s="32" t="s">
        <v>1110</v>
      </c>
      <c r="M46" s="31">
        <f>29235</f>
        <v>29235</v>
      </c>
      <c r="N46" s="32" t="s">
        <v>1111</v>
      </c>
      <c r="O46" s="31">
        <f>25810</f>
        <v>25810</v>
      </c>
      <c r="P46" s="32" t="s">
        <v>1110</v>
      </c>
      <c r="Q46" s="31">
        <f>28935</f>
        <v>28935</v>
      </c>
      <c r="R46" s="32" t="s">
        <v>883</v>
      </c>
      <c r="S46" s="33">
        <f>27427.89</f>
        <v>27427.89</v>
      </c>
      <c r="T46" s="30">
        <f>5421</f>
        <v>5421</v>
      </c>
      <c r="U46" s="30" t="str">
        <f>"－"</f>
        <v>－</v>
      </c>
      <c r="V46" s="30">
        <f>149441875</f>
        <v>149441875</v>
      </c>
      <c r="W46" s="30" t="str">
        <f>"－"</f>
        <v>－</v>
      </c>
      <c r="X46" s="34">
        <f>19</f>
        <v>19</v>
      </c>
    </row>
    <row r="47" spans="1:24" x14ac:dyDescent="0.15">
      <c r="A47" s="25" t="s">
        <v>1109</v>
      </c>
      <c r="B47" s="25" t="s">
        <v>134</v>
      </c>
      <c r="C47" s="25" t="s">
        <v>914</v>
      </c>
      <c r="D47" s="25" t="s">
        <v>915</v>
      </c>
      <c r="E47" s="26" t="s">
        <v>43</v>
      </c>
      <c r="F47" s="27" t="s">
        <v>43</v>
      </c>
      <c r="G47" s="28" t="s">
        <v>43</v>
      </c>
      <c r="H47" s="29"/>
      <c r="I47" s="29" t="s">
        <v>44</v>
      </c>
      <c r="J47" s="30">
        <v>1</v>
      </c>
      <c r="K47" s="31">
        <f>3345</f>
        <v>3345</v>
      </c>
      <c r="L47" s="32" t="s">
        <v>1110</v>
      </c>
      <c r="M47" s="31">
        <f>3390</f>
        <v>3390</v>
      </c>
      <c r="N47" s="32" t="s">
        <v>1116</v>
      </c>
      <c r="O47" s="31">
        <f>3175</f>
        <v>3175</v>
      </c>
      <c r="P47" s="32" t="s">
        <v>883</v>
      </c>
      <c r="Q47" s="31">
        <f>3175</f>
        <v>3175</v>
      </c>
      <c r="R47" s="32" t="s">
        <v>883</v>
      </c>
      <c r="S47" s="33">
        <f>3263.46</f>
        <v>3263.46</v>
      </c>
      <c r="T47" s="30">
        <f>139</f>
        <v>139</v>
      </c>
      <c r="U47" s="30" t="str">
        <f>"－"</f>
        <v>－</v>
      </c>
      <c r="V47" s="30">
        <f>459515</f>
        <v>459515</v>
      </c>
      <c r="W47" s="30" t="str">
        <f>"－"</f>
        <v>－</v>
      </c>
      <c r="X47" s="34">
        <f>13</f>
        <v>13</v>
      </c>
    </row>
    <row r="48" spans="1:24" x14ac:dyDescent="0.15">
      <c r="A48" s="25" t="s">
        <v>1109</v>
      </c>
      <c r="B48" s="25" t="s">
        <v>135</v>
      </c>
      <c r="C48" s="25" t="s">
        <v>916</v>
      </c>
      <c r="D48" s="25" t="s">
        <v>917</v>
      </c>
      <c r="E48" s="26" t="s">
        <v>43</v>
      </c>
      <c r="F48" s="27" t="s">
        <v>43</v>
      </c>
      <c r="G48" s="28" t="s">
        <v>43</v>
      </c>
      <c r="H48" s="29"/>
      <c r="I48" s="29" t="s">
        <v>44</v>
      </c>
      <c r="J48" s="30">
        <v>1</v>
      </c>
      <c r="K48" s="31">
        <f>875</f>
        <v>875</v>
      </c>
      <c r="L48" s="32" t="s">
        <v>1110</v>
      </c>
      <c r="M48" s="31">
        <f>876</f>
        <v>876</v>
      </c>
      <c r="N48" s="32" t="s">
        <v>1110</v>
      </c>
      <c r="O48" s="31">
        <f>765</f>
        <v>765</v>
      </c>
      <c r="P48" s="32" t="s">
        <v>1111</v>
      </c>
      <c r="Q48" s="31">
        <f>778</f>
        <v>778</v>
      </c>
      <c r="R48" s="32" t="s">
        <v>883</v>
      </c>
      <c r="S48" s="33">
        <f>822.37</f>
        <v>822.37</v>
      </c>
      <c r="T48" s="30">
        <f>35365</f>
        <v>35365</v>
      </c>
      <c r="U48" s="30" t="str">
        <f>"－"</f>
        <v>－</v>
      </c>
      <c r="V48" s="30">
        <f>28519685</f>
        <v>28519685</v>
      </c>
      <c r="W48" s="30" t="str">
        <f>"－"</f>
        <v>－</v>
      </c>
      <c r="X48" s="34">
        <f>19</f>
        <v>19</v>
      </c>
    </row>
    <row r="49" spans="1:24" x14ac:dyDescent="0.15">
      <c r="A49" s="25" t="s">
        <v>1109</v>
      </c>
      <c r="B49" s="25" t="s">
        <v>136</v>
      </c>
      <c r="C49" s="25" t="s">
        <v>137</v>
      </c>
      <c r="D49" s="25" t="s">
        <v>138</v>
      </c>
      <c r="E49" s="26" t="s">
        <v>43</v>
      </c>
      <c r="F49" s="27" t="s">
        <v>43</v>
      </c>
      <c r="G49" s="28" t="s">
        <v>43</v>
      </c>
      <c r="H49" s="29"/>
      <c r="I49" s="29" t="s">
        <v>44</v>
      </c>
      <c r="J49" s="30">
        <v>10</v>
      </c>
      <c r="K49" s="31">
        <f>847</f>
        <v>847</v>
      </c>
      <c r="L49" s="32" t="s">
        <v>1110</v>
      </c>
      <c r="M49" s="31">
        <f>850.5</f>
        <v>850.5</v>
      </c>
      <c r="N49" s="32" t="s">
        <v>1110</v>
      </c>
      <c r="O49" s="31">
        <f>750</f>
        <v>750</v>
      </c>
      <c r="P49" s="32" t="s">
        <v>676</v>
      </c>
      <c r="Q49" s="31">
        <f>763.2</f>
        <v>763.2</v>
      </c>
      <c r="R49" s="32" t="s">
        <v>883</v>
      </c>
      <c r="S49" s="33">
        <f>802.88</f>
        <v>802.88</v>
      </c>
      <c r="T49" s="30">
        <f>127310</f>
        <v>127310</v>
      </c>
      <c r="U49" s="30" t="str">
        <f>"－"</f>
        <v>－</v>
      </c>
      <c r="V49" s="30">
        <f>100177048</f>
        <v>100177048</v>
      </c>
      <c r="W49" s="30" t="str">
        <f>"－"</f>
        <v>－</v>
      </c>
      <c r="X49" s="34">
        <f>19</f>
        <v>19</v>
      </c>
    </row>
    <row r="50" spans="1:24" x14ac:dyDescent="0.15">
      <c r="A50" s="25" t="s">
        <v>1109</v>
      </c>
      <c r="B50" s="25" t="s">
        <v>139</v>
      </c>
      <c r="C50" s="25" t="s">
        <v>140</v>
      </c>
      <c r="D50" s="25" t="s">
        <v>141</v>
      </c>
      <c r="E50" s="26" t="s">
        <v>43</v>
      </c>
      <c r="F50" s="27" t="s">
        <v>43</v>
      </c>
      <c r="G50" s="28" t="s">
        <v>43</v>
      </c>
      <c r="H50" s="29"/>
      <c r="I50" s="29" t="s">
        <v>44</v>
      </c>
      <c r="J50" s="30">
        <v>1</v>
      </c>
      <c r="K50" s="31">
        <f>352</f>
        <v>352</v>
      </c>
      <c r="L50" s="32" t="s">
        <v>1110</v>
      </c>
      <c r="M50" s="31">
        <f>353</f>
        <v>353</v>
      </c>
      <c r="N50" s="32" t="s">
        <v>1110</v>
      </c>
      <c r="O50" s="31">
        <f>303</f>
        <v>303</v>
      </c>
      <c r="P50" s="32" t="s">
        <v>1111</v>
      </c>
      <c r="Q50" s="31">
        <f>310</f>
        <v>310</v>
      </c>
      <c r="R50" s="32" t="s">
        <v>883</v>
      </c>
      <c r="S50" s="33">
        <f>328.63</f>
        <v>328.63</v>
      </c>
      <c r="T50" s="30">
        <f>86408</f>
        <v>86408</v>
      </c>
      <c r="U50" s="30" t="str">
        <f>"－"</f>
        <v>－</v>
      </c>
      <c r="V50" s="30">
        <f>28571481</f>
        <v>28571481</v>
      </c>
      <c r="W50" s="30" t="str">
        <f>"－"</f>
        <v>－</v>
      </c>
      <c r="X50" s="34">
        <f>19</f>
        <v>19</v>
      </c>
    </row>
    <row r="51" spans="1:24" x14ac:dyDescent="0.15">
      <c r="A51" s="25" t="s">
        <v>1109</v>
      </c>
      <c r="B51" s="25" t="s">
        <v>142</v>
      </c>
      <c r="C51" s="25" t="s">
        <v>143</v>
      </c>
      <c r="D51" s="25" t="s">
        <v>144</v>
      </c>
      <c r="E51" s="26" t="s">
        <v>43</v>
      </c>
      <c r="F51" s="27" t="s">
        <v>43</v>
      </c>
      <c r="G51" s="28" t="s">
        <v>43</v>
      </c>
      <c r="H51" s="29"/>
      <c r="I51" s="29" t="s">
        <v>44</v>
      </c>
      <c r="J51" s="30">
        <v>10</v>
      </c>
      <c r="K51" s="31">
        <f>2569</f>
        <v>2569</v>
      </c>
      <c r="L51" s="32" t="s">
        <v>1110</v>
      </c>
      <c r="M51" s="31">
        <f>2742.5</f>
        <v>2742.5</v>
      </c>
      <c r="N51" s="32" t="s">
        <v>883</v>
      </c>
      <c r="O51" s="31">
        <f>2566</f>
        <v>2566</v>
      </c>
      <c r="P51" s="32" t="s">
        <v>1110</v>
      </c>
      <c r="Q51" s="31">
        <f>2742</f>
        <v>2742</v>
      </c>
      <c r="R51" s="32" t="s">
        <v>883</v>
      </c>
      <c r="S51" s="33">
        <f>2645.34</f>
        <v>2645.34</v>
      </c>
      <c r="T51" s="30">
        <f>980760</f>
        <v>980760</v>
      </c>
      <c r="U51" s="30">
        <f>420100</f>
        <v>420100</v>
      </c>
      <c r="V51" s="30">
        <f>2643654678</f>
        <v>2643654678</v>
      </c>
      <c r="W51" s="30">
        <f>1140131343</f>
        <v>1140131343</v>
      </c>
      <c r="X51" s="34">
        <f>19</f>
        <v>19</v>
      </c>
    </row>
    <row r="52" spans="1:24" x14ac:dyDescent="0.15">
      <c r="A52" s="25" t="s">
        <v>1109</v>
      </c>
      <c r="B52" s="25" t="s">
        <v>145</v>
      </c>
      <c r="C52" s="25" t="s">
        <v>146</v>
      </c>
      <c r="D52" s="25" t="s">
        <v>147</v>
      </c>
      <c r="E52" s="26" t="s">
        <v>43</v>
      </c>
      <c r="F52" s="27" t="s">
        <v>43</v>
      </c>
      <c r="G52" s="28" t="s">
        <v>43</v>
      </c>
      <c r="H52" s="29"/>
      <c r="I52" s="29" t="s">
        <v>44</v>
      </c>
      <c r="J52" s="30">
        <v>1</v>
      </c>
      <c r="K52" s="31">
        <f>23110</f>
        <v>23110</v>
      </c>
      <c r="L52" s="32" t="s">
        <v>1110</v>
      </c>
      <c r="M52" s="31">
        <f>24510</f>
        <v>24510</v>
      </c>
      <c r="N52" s="32" t="s">
        <v>1111</v>
      </c>
      <c r="O52" s="31">
        <f>23105</f>
        <v>23105</v>
      </c>
      <c r="P52" s="32" t="s">
        <v>1115</v>
      </c>
      <c r="Q52" s="31">
        <f>24430</f>
        <v>24430</v>
      </c>
      <c r="R52" s="32" t="s">
        <v>883</v>
      </c>
      <c r="S52" s="33">
        <f>23781.05</f>
        <v>23781.05</v>
      </c>
      <c r="T52" s="30">
        <f>782</f>
        <v>782</v>
      </c>
      <c r="U52" s="30" t="str">
        <f>"－"</f>
        <v>－</v>
      </c>
      <c r="V52" s="30">
        <f>18670345</f>
        <v>18670345</v>
      </c>
      <c r="W52" s="30" t="str">
        <f>"－"</f>
        <v>－</v>
      </c>
      <c r="X52" s="34">
        <f>19</f>
        <v>19</v>
      </c>
    </row>
    <row r="53" spans="1:24" x14ac:dyDescent="0.15">
      <c r="A53" s="25" t="s">
        <v>1109</v>
      </c>
      <c r="B53" s="25" t="s">
        <v>148</v>
      </c>
      <c r="C53" s="25" t="s">
        <v>149</v>
      </c>
      <c r="D53" s="25" t="s">
        <v>150</v>
      </c>
      <c r="E53" s="26" t="s">
        <v>43</v>
      </c>
      <c r="F53" s="27" t="s">
        <v>43</v>
      </c>
      <c r="G53" s="28" t="s">
        <v>43</v>
      </c>
      <c r="H53" s="29"/>
      <c r="I53" s="29" t="s">
        <v>44</v>
      </c>
      <c r="J53" s="30">
        <v>1</v>
      </c>
      <c r="K53" s="31">
        <f>2619</f>
        <v>2619</v>
      </c>
      <c r="L53" s="32" t="s">
        <v>1110</v>
      </c>
      <c r="M53" s="31">
        <f>2759</f>
        <v>2759</v>
      </c>
      <c r="N53" s="32" t="s">
        <v>1111</v>
      </c>
      <c r="O53" s="31">
        <f>2605</f>
        <v>2605</v>
      </c>
      <c r="P53" s="32" t="s">
        <v>1113</v>
      </c>
      <c r="Q53" s="31">
        <f>2742</f>
        <v>2742</v>
      </c>
      <c r="R53" s="32" t="s">
        <v>883</v>
      </c>
      <c r="S53" s="33">
        <f>2678.16</f>
        <v>2678.16</v>
      </c>
      <c r="T53" s="30">
        <f>7825478</f>
        <v>7825478</v>
      </c>
      <c r="U53" s="30">
        <f>2206776</f>
        <v>2206776</v>
      </c>
      <c r="V53" s="30">
        <f>20894316390</f>
        <v>20894316390</v>
      </c>
      <c r="W53" s="30">
        <f>5869004030</f>
        <v>5869004030</v>
      </c>
      <c r="X53" s="34">
        <f>19</f>
        <v>19</v>
      </c>
    </row>
    <row r="54" spans="1:24" x14ac:dyDescent="0.15">
      <c r="A54" s="25" t="s">
        <v>1109</v>
      </c>
      <c r="B54" s="25" t="s">
        <v>151</v>
      </c>
      <c r="C54" s="25" t="s">
        <v>152</v>
      </c>
      <c r="D54" s="25" t="s">
        <v>153</v>
      </c>
      <c r="E54" s="26" t="s">
        <v>43</v>
      </c>
      <c r="F54" s="27" t="s">
        <v>43</v>
      </c>
      <c r="G54" s="28" t="s">
        <v>43</v>
      </c>
      <c r="H54" s="29"/>
      <c r="I54" s="29" t="s">
        <v>44</v>
      </c>
      <c r="J54" s="30">
        <v>1</v>
      </c>
      <c r="K54" s="31">
        <f>1865</f>
        <v>1865</v>
      </c>
      <c r="L54" s="32" t="s">
        <v>1110</v>
      </c>
      <c r="M54" s="31">
        <f>1875</f>
        <v>1875</v>
      </c>
      <c r="N54" s="32" t="s">
        <v>674</v>
      </c>
      <c r="O54" s="31">
        <f>1730</f>
        <v>1730</v>
      </c>
      <c r="P54" s="32" t="s">
        <v>874</v>
      </c>
      <c r="Q54" s="31">
        <f>1761</f>
        <v>1761</v>
      </c>
      <c r="R54" s="32" t="s">
        <v>883</v>
      </c>
      <c r="S54" s="33">
        <f>1796.95</f>
        <v>1796.95</v>
      </c>
      <c r="T54" s="30">
        <f>14425450</f>
        <v>14425450</v>
      </c>
      <c r="U54" s="30">
        <f>3486657</f>
        <v>3486657</v>
      </c>
      <c r="V54" s="30">
        <f>25502666600</f>
        <v>25502666600</v>
      </c>
      <c r="W54" s="30">
        <f>6191320044</f>
        <v>6191320044</v>
      </c>
      <c r="X54" s="34">
        <f>19</f>
        <v>19</v>
      </c>
    </row>
    <row r="55" spans="1:24" x14ac:dyDescent="0.15">
      <c r="A55" s="25" t="s">
        <v>1109</v>
      </c>
      <c r="B55" s="25" t="s">
        <v>154</v>
      </c>
      <c r="C55" s="25" t="s">
        <v>155</v>
      </c>
      <c r="D55" s="25" t="s">
        <v>156</v>
      </c>
      <c r="E55" s="26" t="s">
        <v>43</v>
      </c>
      <c r="F55" s="27" t="s">
        <v>43</v>
      </c>
      <c r="G55" s="28" t="s">
        <v>43</v>
      </c>
      <c r="H55" s="29"/>
      <c r="I55" s="29" t="s">
        <v>44</v>
      </c>
      <c r="J55" s="30">
        <v>1</v>
      </c>
      <c r="K55" s="31">
        <f>2427</f>
        <v>2427</v>
      </c>
      <c r="L55" s="32" t="s">
        <v>1110</v>
      </c>
      <c r="M55" s="31">
        <f>2571</f>
        <v>2571</v>
      </c>
      <c r="N55" s="32" t="s">
        <v>1123</v>
      </c>
      <c r="O55" s="31">
        <f>2403</f>
        <v>2403</v>
      </c>
      <c r="P55" s="32" t="s">
        <v>1113</v>
      </c>
      <c r="Q55" s="31">
        <f>2500</f>
        <v>2500</v>
      </c>
      <c r="R55" s="32" t="s">
        <v>883</v>
      </c>
      <c r="S55" s="33">
        <f>2455.37</f>
        <v>2455.37</v>
      </c>
      <c r="T55" s="30">
        <f>22017</f>
        <v>22017</v>
      </c>
      <c r="U55" s="30">
        <f>6040</f>
        <v>6040</v>
      </c>
      <c r="V55" s="30">
        <f>54223538</f>
        <v>54223538</v>
      </c>
      <c r="W55" s="30">
        <f>15074826</f>
        <v>15074826</v>
      </c>
      <c r="X55" s="34">
        <f>19</f>
        <v>19</v>
      </c>
    </row>
    <row r="56" spans="1:24" x14ac:dyDescent="0.15">
      <c r="A56" s="25" t="s">
        <v>1109</v>
      </c>
      <c r="B56" s="25" t="s">
        <v>157</v>
      </c>
      <c r="C56" s="25" t="s">
        <v>158</v>
      </c>
      <c r="D56" s="25" t="s">
        <v>159</v>
      </c>
      <c r="E56" s="26" t="s">
        <v>43</v>
      </c>
      <c r="F56" s="27" t="s">
        <v>43</v>
      </c>
      <c r="G56" s="28" t="s">
        <v>43</v>
      </c>
      <c r="H56" s="29"/>
      <c r="I56" s="29" t="s">
        <v>44</v>
      </c>
      <c r="J56" s="30">
        <v>1</v>
      </c>
      <c r="K56" s="31">
        <f>3475</f>
        <v>3475</v>
      </c>
      <c r="L56" s="32" t="s">
        <v>1110</v>
      </c>
      <c r="M56" s="31">
        <f>3540</f>
        <v>3540</v>
      </c>
      <c r="N56" s="32" t="s">
        <v>676</v>
      </c>
      <c r="O56" s="31">
        <f>3375</f>
        <v>3375</v>
      </c>
      <c r="P56" s="32" t="s">
        <v>876</v>
      </c>
      <c r="Q56" s="31">
        <f>3510</f>
        <v>3510</v>
      </c>
      <c r="R56" s="32" t="s">
        <v>883</v>
      </c>
      <c r="S56" s="33">
        <f>3476.05</f>
        <v>3476.05</v>
      </c>
      <c r="T56" s="30">
        <f>1341570</f>
        <v>1341570</v>
      </c>
      <c r="U56" s="30">
        <f>734003</f>
        <v>734003</v>
      </c>
      <c r="V56" s="30">
        <f>4655500521</f>
        <v>4655500521</v>
      </c>
      <c r="W56" s="30">
        <f>2548259571</f>
        <v>2548259571</v>
      </c>
      <c r="X56" s="34">
        <f>19</f>
        <v>19</v>
      </c>
    </row>
    <row r="57" spans="1:24" x14ac:dyDescent="0.15">
      <c r="A57" s="25" t="s">
        <v>1109</v>
      </c>
      <c r="B57" s="25" t="s">
        <v>160</v>
      </c>
      <c r="C57" s="25" t="s">
        <v>918</v>
      </c>
      <c r="D57" s="25" t="s">
        <v>919</v>
      </c>
      <c r="E57" s="26" t="s">
        <v>43</v>
      </c>
      <c r="F57" s="27" t="s">
        <v>43</v>
      </c>
      <c r="G57" s="28" t="s">
        <v>43</v>
      </c>
      <c r="H57" s="29"/>
      <c r="I57" s="29" t="s">
        <v>44</v>
      </c>
      <c r="J57" s="30">
        <v>1</v>
      </c>
      <c r="K57" s="31">
        <f>32550</f>
        <v>32550</v>
      </c>
      <c r="L57" s="32" t="s">
        <v>1116</v>
      </c>
      <c r="M57" s="31">
        <f>34840</f>
        <v>34840</v>
      </c>
      <c r="N57" s="32" t="s">
        <v>1111</v>
      </c>
      <c r="O57" s="31">
        <f>32500</f>
        <v>32500</v>
      </c>
      <c r="P57" s="32" t="s">
        <v>1116</v>
      </c>
      <c r="Q57" s="31">
        <f>34600</f>
        <v>34600</v>
      </c>
      <c r="R57" s="32" t="s">
        <v>883</v>
      </c>
      <c r="S57" s="33">
        <f>33809.23</f>
        <v>33809.230000000003</v>
      </c>
      <c r="T57" s="30">
        <f>188</f>
        <v>188</v>
      </c>
      <c r="U57" s="30" t="str">
        <f>"－"</f>
        <v>－</v>
      </c>
      <c r="V57" s="30">
        <f>6339630</f>
        <v>6339630</v>
      </c>
      <c r="W57" s="30" t="str">
        <f>"－"</f>
        <v>－</v>
      </c>
      <c r="X57" s="34">
        <f>13</f>
        <v>13</v>
      </c>
    </row>
    <row r="58" spans="1:24" x14ac:dyDescent="0.15">
      <c r="A58" s="25" t="s">
        <v>1109</v>
      </c>
      <c r="B58" s="25" t="s">
        <v>161</v>
      </c>
      <c r="C58" s="25" t="s">
        <v>162</v>
      </c>
      <c r="D58" s="25" t="s">
        <v>163</v>
      </c>
      <c r="E58" s="26" t="s">
        <v>43</v>
      </c>
      <c r="F58" s="27" t="s">
        <v>43</v>
      </c>
      <c r="G58" s="28" t="s">
        <v>43</v>
      </c>
      <c r="H58" s="29"/>
      <c r="I58" s="29" t="s">
        <v>44</v>
      </c>
      <c r="J58" s="30">
        <v>1</v>
      </c>
      <c r="K58" s="31">
        <f>25605</f>
        <v>25605</v>
      </c>
      <c r="L58" s="32" t="s">
        <v>1116</v>
      </c>
      <c r="M58" s="31">
        <f>27180</f>
        <v>27180</v>
      </c>
      <c r="N58" s="32" t="s">
        <v>676</v>
      </c>
      <c r="O58" s="31">
        <f>25585</f>
        <v>25585</v>
      </c>
      <c r="P58" s="32" t="s">
        <v>1116</v>
      </c>
      <c r="Q58" s="31">
        <f>27130</f>
        <v>27130</v>
      </c>
      <c r="R58" s="32" t="s">
        <v>1111</v>
      </c>
      <c r="S58" s="33">
        <f>26301.15</f>
        <v>26301.15</v>
      </c>
      <c r="T58" s="30">
        <f>225</f>
        <v>225</v>
      </c>
      <c r="U58" s="30" t="str">
        <f>"－"</f>
        <v>－</v>
      </c>
      <c r="V58" s="30">
        <f>5976545</f>
        <v>5976545</v>
      </c>
      <c r="W58" s="30" t="str">
        <f>"－"</f>
        <v>－</v>
      </c>
      <c r="X58" s="34">
        <f>13</f>
        <v>13</v>
      </c>
    </row>
    <row r="59" spans="1:24" x14ac:dyDescent="0.15">
      <c r="A59" s="25" t="s">
        <v>1109</v>
      </c>
      <c r="B59" s="25" t="s">
        <v>164</v>
      </c>
      <c r="C59" s="25" t="s">
        <v>165</v>
      </c>
      <c r="D59" s="25" t="s">
        <v>166</v>
      </c>
      <c r="E59" s="26" t="s">
        <v>43</v>
      </c>
      <c r="F59" s="27" t="s">
        <v>43</v>
      </c>
      <c r="G59" s="28" t="s">
        <v>43</v>
      </c>
      <c r="H59" s="29"/>
      <c r="I59" s="29" t="s">
        <v>44</v>
      </c>
      <c r="J59" s="30">
        <v>1</v>
      </c>
      <c r="K59" s="31">
        <f>2649</f>
        <v>2649</v>
      </c>
      <c r="L59" s="32" t="s">
        <v>1110</v>
      </c>
      <c r="M59" s="31">
        <f>2739</f>
        <v>2739</v>
      </c>
      <c r="N59" s="32" t="s">
        <v>1111</v>
      </c>
      <c r="O59" s="31">
        <f>2499</f>
        <v>2499</v>
      </c>
      <c r="P59" s="32" t="s">
        <v>674</v>
      </c>
      <c r="Q59" s="31">
        <f>2697</f>
        <v>2697</v>
      </c>
      <c r="R59" s="32" t="s">
        <v>883</v>
      </c>
      <c r="S59" s="33">
        <f>2648.26</f>
        <v>2648.26</v>
      </c>
      <c r="T59" s="30">
        <f>4740</f>
        <v>4740</v>
      </c>
      <c r="U59" s="30" t="str">
        <f>"－"</f>
        <v>－</v>
      </c>
      <c r="V59" s="30">
        <f>12282685</f>
        <v>12282685</v>
      </c>
      <c r="W59" s="30" t="str">
        <f>"－"</f>
        <v>－</v>
      </c>
      <c r="X59" s="34">
        <f>19</f>
        <v>19</v>
      </c>
    </row>
    <row r="60" spans="1:24" x14ac:dyDescent="0.15">
      <c r="A60" s="25" t="s">
        <v>1109</v>
      </c>
      <c r="B60" s="25" t="s">
        <v>167</v>
      </c>
      <c r="C60" s="25" t="s">
        <v>168</v>
      </c>
      <c r="D60" s="25" t="s">
        <v>169</v>
      </c>
      <c r="E60" s="26" t="s">
        <v>43</v>
      </c>
      <c r="F60" s="27" t="s">
        <v>43</v>
      </c>
      <c r="G60" s="28" t="s">
        <v>43</v>
      </c>
      <c r="H60" s="29"/>
      <c r="I60" s="29" t="s">
        <v>44</v>
      </c>
      <c r="J60" s="30">
        <v>1</v>
      </c>
      <c r="K60" s="31">
        <f>1794</f>
        <v>1794</v>
      </c>
      <c r="L60" s="32" t="s">
        <v>1110</v>
      </c>
      <c r="M60" s="31">
        <f>1800</f>
        <v>1800</v>
      </c>
      <c r="N60" s="32" t="s">
        <v>1116</v>
      </c>
      <c r="O60" s="31">
        <f>1734</f>
        <v>1734</v>
      </c>
      <c r="P60" s="32" t="s">
        <v>874</v>
      </c>
      <c r="Q60" s="31">
        <f>1742</f>
        <v>1742</v>
      </c>
      <c r="R60" s="32" t="s">
        <v>883</v>
      </c>
      <c r="S60" s="33">
        <f>1755.79</f>
        <v>1755.79</v>
      </c>
      <c r="T60" s="30">
        <f>10720465</f>
        <v>10720465</v>
      </c>
      <c r="U60" s="30">
        <f>7144836</f>
        <v>7144836</v>
      </c>
      <c r="V60" s="30">
        <f>18813072828</f>
        <v>18813072828</v>
      </c>
      <c r="W60" s="30">
        <f>12543278337</f>
        <v>12543278337</v>
      </c>
      <c r="X60" s="34">
        <f>19</f>
        <v>19</v>
      </c>
    </row>
    <row r="61" spans="1:24" x14ac:dyDescent="0.15">
      <c r="A61" s="25" t="s">
        <v>1109</v>
      </c>
      <c r="B61" s="25" t="s">
        <v>170</v>
      </c>
      <c r="C61" s="25" t="s">
        <v>171</v>
      </c>
      <c r="D61" s="25" t="s">
        <v>172</v>
      </c>
      <c r="E61" s="26" t="s">
        <v>43</v>
      </c>
      <c r="F61" s="27" t="s">
        <v>43</v>
      </c>
      <c r="G61" s="28" t="s">
        <v>43</v>
      </c>
      <c r="H61" s="29"/>
      <c r="I61" s="29" t="s">
        <v>44</v>
      </c>
      <c r="J61" s="30">
        <v>1</v>
      </c>
      <c r="K61" s="31">
        <f>2640</f>
        <v>2640</v>
      </c>
      <c r="L61" s="32" t="s">
        <v>1110</v>
      </c>
      <c r="M61" s="31">
        <f>2715</f>
        <v>2715</v>
      </c>
      <c r="N61" s="32" t="s">
        <v>1114</v>
      </c>
      <c r="O61" s="31">
        <f>2509</f>
        <v>2509</v>
      </c>
      <c r="P61" s="32" t="s">
        <v>1123</v>
      </c>
      <c r="Q61" s="31">
        <f>2686</f>
        <v>2686</v>
      </c>
      <c r="R61" s="32" t="s">
        <v>883</v>
      </c>
      <c r="S61" s="33">
        <f>2632.33</f>
        <v>2632.33</v>
      </c>
      <c r="T61" s="30">
        <f>2131</f>
        <v>2131</v>
      </c>
      <c r="U61" s="30" t="str">
        <f>"－"</f>
        <v>－</v>
      </c>
      <c r="V61" s="30">
        <f>5639356</f>
        <v>5639356</v>
      </c>
      <c r="W61" s="30" t="str">
        <f>"－"</f>
        <v>－</v>
      </c>
      <c r="X61" s="34">
        <f>18</f>
        <v>18</v>
      </c>
    </row>
    <row r="62" spans="1:24" x14ac:dyDescent="0.15">
      <c r="A62" s="25" t="s">
        <v>1109</v>
      </c>
      <c r="B62" s="25" t="s">
        <v>173</v>
      </c>
      <c r="C62" s="25" t="s">
        <v>174</v>
      </c>
      <c r="D62" s="25" t="s">
        <v>175</v>
      </c>
      <c r="E62" s="26" t="s">
        <v>43</v>
      </c>
      <c r="F62" s="27" t="s">
        <v>43</v>
      </c>
      <c r="G62" s="28" t="s">
        <v>43</v>
      </c>
      <c r="H62" s="29"/>
      <c r="I62" s="29" t="s">
        <v>44</v>
      </c>
      <c r="J62" s="30">
        <v>10</v>
      </c>
      <c r="K62" s="31">
        <f>2574</f>
        <v>2574</v>
      </c>
      <c r="L62" s="32" t="s">
        <v>1110</v>
      </c>
      <c r="M62" s="31">
        <f>2704</f>
        <v>2704</v>
      </c>
      <c r="N62" s="32" t="s">
        <v>676</v>
      </c>
      <c r="O62" s="31">
        <f>2556</f>
        <v>2556</v>
      </c>
      <c r="P62" s="32" t="s">
        <v>1113</v>
      </c>
      <c r="Q62" s="31">
        <f>2668</f>
        <v>2668</v>
      </c>
      <c r="R62" s="32" t="s">
        <v>883</v>
      </c>
      <c r="S62" s="33">
        <f>2617.08</f>
        <v>2617.08</v>
      </c>
      <c r="T62" s="30">
        <f>45930</f>
        <v>45930</v>
      </c>
      <c r="U62" s="30" t="str">
        <f>"－"</f>
        <v>－</v>
      </c>
      <c r="V62" s="30">
        <f>119384620</f>
        <v>119384620</v>
      </c>
      <c r="W62" s="30" t="str">
        <f>"－"</f>
        <v>－</v>
      </c>
      <c r="X62" s="34">
        <f>19</f>
        <v>19</v>
      </c>
    </row>
    <row r="63" spans="1:24" x14ac:dyDescent="0.15">
      <c r="A63" s="25" t="s">
        <v>1109</v>
      </c>
      <c r="B63" s="25" t="s">
        <v>176</v>
      </c>
      <c r="C63" s="25" t="s">
        <v>177</v>
      </c>
      <c r="D63" s="25" t="s">
        <v>178</v>
      </c>
      <c r="E63" s="26" t="s">
        <v>43</v>
      </c>
      <c r="F63" s="27" t="s">
        <v>43</v>
      </c>
      <c r="G63" s="28" t="s">
        <v>43</v>
      </c>
      <c r="H63" s="29"/>
      <c r="I63" s="29" t="s">
        <v>44</v>
      </c>
      <c r="J63" s="30">
        <v>1</v>
      </c>
      <c r="K63" s="31">
        <f>38650</f>
        <v>38650</v>
      </c>
      <c r="L63" s="32" t="s">
        <v>1124</v>
      </c>
      <c r="M63" s="31">
        <f>44520</f>
        <v>44520</v>
      </c>
      <c r="N63" s="32" t="s">
        <v>680</v>
      </c>
      <c r="O63" s="31">
        <f>36530</f>
        <v>36530</v>
      </c>
      <c r="P63" s="32" t="s">
        <v>1115</v>
      </c>
      <c r="Q63" s="31">
        <f>37850</f>
        <v>37850</v>
      </c>
      <c r="R63" s="32" t="s">
        <v>1114</v>
      </c>
      <c r="S63" s="33">
        <f>38410</f>
        <v>38410</v>
      </c>
      <c r="T63" s="30">
        <f>63</f>
        <v>63</v>
      </c>
      <c r="U63" s="30" t="str">
        <f>"－"</f>
        <v>－</v>
      </c>
      <c r="V63" s="30">
        <f>2451500</f>
        <v>2451500</v>
      </c>
      <c r="W63" s="30" t="str">
        <f>"－"</f>
        <v>－</v>
      </c>
      <c r="X63" s="34">
        <f>7</f>
        <v>7</v>
      </c>
    </row>
    <row r="64" spans="1:24" x14ac:dyDescent="0.15">
      <c r="A64" s="25" t="s">
        <v>1109</v>
      </c>
      <c r="B64" s="25" t="s">
        <v>179</v>
      </c>
      <c r="C64" s="25" t="s">
        <v>180</v>
      </c>
      <c r="D64" s="25" t="s">
        <v>181</v>
      </c>
      <c r="E64" s="26" t="s">
        <v>43</v>
      </c>
      <c r="F64" s="27" t="s">
        <v>43</v>
      </c>
      <c r="G64" s="28" t="s">
        <v>43</v>
      </c>
      <c r="H64" s="29"/>
      <c r="I64" s="29" t="s">
        <v>44</v>
      </c>
      <c r="J64" s="30">
        <v>1</v>
      </c>
      <c r="K64" s="31">
        <f>23240</f>
        <v>23240</v>
      </c>
      <c r="L64" s="32" t="s">
        <v>1110</v>
      </c>
      <c r="M64" s="31">
        <f>23305</f>
        <v>23305</v>
      </c>
      <c r="N64" s="32" t="s">
        <v>883</v>
      </c>
      <c r="O64" s="31">
        <f>23110</f>
        <v>23110</v>
      </c>
      <c r="P64" s="32" t="s">
        <v>1115</v>
      </c>
      <c r="Q64" s="31">
        <f>23175</f>
        <v>23175</v>
      </c>
      <c r="R64" s="32" t="s">
        <v>883</v>
      </c>
      <c r="S64" s="33">
        <f>23216.32</f>
        <v>23216.32</v>
      </c>
      <c r="T64" s="30">
        <f>266274</f>
        <v>266274</v>
      </c>
      <c r="U64" s="30">
        <f>244002</f>
        <v>244002</v>
      </c>
      <c r="V64" s="30">
        <f>6195130001</f>
        <v>6195130001</v>
      </c>
      <c r="W64" s="30">
        <f>5678009296</f>
        <v>5678009296</v>
      </c>
      <c r="X64" s="34">
        <f>19</f>
        <v>19</v>
      </c>
    </row>
    <row r="65" spans="1:24" x14ac:dyDescent="0.15">
      <c r="A65" s="25" t="s">
        <v>1109</v>
      </c>
      <c r="B65" s="25" t="s">
        <v>182</v>
      </c>
      <c r="C65" s="25" t="s">
        <v>183</v>
      </c>
      <c r="D65" s="25" t="s">
        <v>184</v>
      </c>
      <c r="E65" s="26" t="s">
        <v>43</v>
      </c>
      <c r="F65" s="27" t="s">
        <v>43</v>
      </c>
      <c r="G65" s="28" t="s">
        <v>43</v>
      </c>
      <c r="H65" s="29"/>
      <c r="I65" s="29" t="s">
        <v>44</v>
      </c>
      <c r="J65" s="30">
        <v>1</v>
      </c>
      <c r="K65" s="31">
        <f>13710</f>
        <v>13710</v>
      </c>
      <c r="L65" s="32" t="s">
        <v>1110</v>
      </c>
      <c r="M65" s="31">
        <f>13810</f>
        <v>13810</v>
      </c>
      <c r="N65" s="32" t="s">
        <v>1116</v>
      </c>
      <c r="O65" s="31">
        <f>13300</f>
        <v>13300</v>
      </c>
      <c r="P65" s="32" t="s">
        <v>874</v>
      </c>
      <c r="Q65" s="31">
        <f>13360</f>
        <v>13360</v>
      </c>
      <c r="R65" s="32" t="s">
        <v>883</v>
      </c>
      <c r="S65" s="33">
        <f>13464.74</f>
        <v>13464.74</v>
      </c>
      <c r="T65" s="30">
        <f>782663</f>
        <v>782663</v>
      </c>
      <c r="U65" s="30">
        <f>689107</f>
        <v>689107</v>
      </c>
      <c r="V65" s="30">
        <f>10472506139</f>
        <v>10472506139</v>
      </c>
      <c r="W65" s="30">
        <f>9215405654</f>
        <v>9215405654</v>
      </c>
      <c r="X65" s="34">
        <f>19</f>
        <v>19</v>
      </c>
    </row>
    <row r="66" spans="1:24" x14ac:dyDescent="0.15">
      <c r="A66" s="25" t="s">
        <v>1109</v>
      </c>
      <c r="B66" s="25" t="s">
        <v>185</v>
      </c>
      <c r="C66" s="25" t="s">
        <v>920</v>
      </c>
      <c r="D66" s="25" t="s">
        <v>921</v>
      </c>
      <c r="E66" s="26" t="s">
        <v>43</v>
      </c>
      <c r="F66" s="27" t="s">
        <v>43</v>
      </c>
      <c r="G66" s="28" t="s">
        <v>43</v>
      </c>
      <c r="H66" s="29"/>
      <c r="I66" s="29" t="s">
        <v>44</v>
      </c>
      <c r="J66" s="30">
        <v>10</v>
      </c>
      <c r="K66" s="31">
        <f>1854.5</f>
        <v>1854.5</v>
      </c>
      <c r="L66" s="32" t="s">
        <v>1110</v>
      </c>
      <c r="M66" s="31">
        <f>1873</f>
        <v>1873</v>
      </c>
      <c r="N66" s="32" t="s">
        <v>674</v>
      </c>
      <c r="O66" s="31">
        <f>1745.5</f>
        <v>1745.5</v>
      </c>
      <c r="P66" s="32" t="s">
        <v>874</v>
      </c>
      <c r="Q66" s="31">
        <f>1775.5</f>
        <v>1775.5</v>
      </c>
      <c r="R66" s="32" t="s">
        <v>883</v>
      </c>
      <c r="S66" s="33">
        <f>1807.29</f>
        <v>1807.29</v>
      </c>
      <c r="T66" s="30">
        <f>4892530</f>
        <v>4892530</v>
      </c>
      <c r="U66" s="30">
        <f>2277600</f>
        <v>2277600</v>
      </c>
      <c r="V66" s="30">
        <f>8789626577</f>
        <v>8789626577</v>
      </c>
      <c r="W66" s="30">
        <f>4074266647</f>
        <v>4074266647</v>
      </c>
      <c r="X66" s="34">
        <f>19</f>
        <v>19</v>
      </c>
    </row>
    <row r="67" spans="1:24" x14ac:dyDescent="0.15">
      <c r="A67" s="25" t="s">
        <v>1109</v>
      </c>
      <c r="B67" s="25" t="s">
        <v>186</v>
      </c>
      <c r="C67" s="25" t="s">
        <v>187</v>
      </c>
      <c r="D67" s="25" t="s">
        <v>188</v>
      </c>
      <c r="E67" s="26" t="s">
        <v>43</v>
      </c>
      <c r="F67" s="27" t="s">
        <v>43</v>
      </c>
      <c r="G67" s="28" t="s">
        <v>43</v>
      </c>
      <c r="H67" s="29"/>
      <c r="I67" s="29" t="s">
        <v>44</v>
      </c>
      <c r="J67" s="30">
        <v>1</v>
      </c>
      <c r="K67" s="31">
        <f>2125</f>
        <v>2125</v>
      </c>
      <c r="L67" s="32" t="s">
        <v>1110</v>
      </c>
      <c r="M67" s="31">
        <f>2232</f>
        <v>2232</v>
      </c>
      <c r="N67" s="32" t="s">
        <v>1111</v>
      </c>
      <c r="O67" s="31">
        <f>2080</f>
        <v>2080</v>
      </c>
      <c r="P67" s="32" t="s">
        <v>876</v>
      </c>
      <c r="Q67" s="31">
        <f>2216</f>
        <v>2216</v>
      </c>
      <c r="R67" s="32" t="s">
        <v>883</v>
      </c>
      <c r="S67" s="33">
        <f>2152.79</f>
        <v>2152.79</v>
      </c>
      <c r="T67" s="30">
        <f>17501944</f>
        <v>17501944</v>
      </c>
      <c r="U67" s="30">
        <f>1759801</f>
        <v>1759801</v>
      </c>
      <c r="V67" s="30">
        <f>37677786491</f>
        <v>37677786491</v>
      </c>
      <c r="W67" s="30">
        <f>3755688826</f>
        <v>3755688826</v>
      </c>
      <c r="X67" s="34">
        <f>19</f>
        <v>19</v>
      </c>
    </row>
    <row r="68" spans="1:24" x14ac:dyDescent="0.15">
      <c r="A68" s="25" t="s">
        <v>1109</v>
      </c>
      <c r="B68" s="25" t="s">
        <v>189</v>
      </c>
      <c r="C68" s="25" t="s">
        <v>190</v>
      </c>
      <c r="D68" s="25" t="s">
        <v>191</v>
      </c>
      <c r="E68" s="26" t="s">
        <v>43</v>
      </c>
      <c r="F68" s="27" t="s">
        <v>43</v>
      </c>
      <c r="G68" s="28" t="s">
        <v>43</v>
      </c>
      <c r="H68" s="29"/>
      <c r="I68" s="29" t="s">
        <v>44</v>
      </c>
      <c r="J68" s="30">
        <v>10</v>
      </c>
      <c r="K68" s="31">
        <f>7880</f>
        <v>7880</v>
      </c>
      <c r="L68" s="32" t="s">
        <v>1123</v>
      </c>
      <c r="M68" s="31">
        <f>7880</f>
        <v>7880</v>
      </c>
      <c r="N68" s="32" t="s">
        <v>1123</v>
      </c>
      <c r="O68" s="31">
        <f>7730</f>
        <v>7730</v>
      </c>
      <c r="P68" s="32" t="s">
        <v>883</v>
      </c>
      <c r="Q68" s="31">
        <f>7730</f>
        <v>7730</v>
      </c>
      <c r="R68" s="32" t="s">
        <v>883</v>
      </c>
      <c r="S68" s="33">
        <f>7805</f>
        <v>7805</v>
      </c>
      <c r="T68" s="30">
        <f>20</f>
        <v>20</v>
      </c>
      <c r="U68" s="30" t="str">
        <f>"－"</f>
        <v>－</v>
      </c>
      <c r="V68" s="30">
        <f>156100</f>
        <v>156100</v>
      </c>
      <c r="W68" s="30" t="str">
        <f>"－"</f>
        <v>－</v>
      </c>
      <c r="X68" s="34">
        <f>2</f>
        <v>2</v>
      </c>
    </row>
    <row r="69" spans="1:24" x14ac:dyDescent="0.15">
      <c r="A69" s="25" t="s">
        <v>1109</v>
      </c>
      <c r="B69" s="25" t="s">
        <v>192</v>
      </c>
      <c r="C69" s="25" t="s">
        <v>193</v>
      </c>
      <c r="D69" s="25" t="s">
        <v>194</v>
      </c>
      <c r="E69" s="26" t="s">
        <v>43</v>
      </c>
      <c r="F69" s="27" t="s">
        <v>43</v>
      </c>
      <c r="G69" s="28" t="s">
        <v>43</v>
      </c>
      <c r="H69" s="29" t="s">
        <v>240</v>
      </c>
      <c r="I69" s="29" t="s">
        <v>44</v>
      </c>
      <c r="J69" s="30">
        <v>1</v>
      </c>
      <c r="K69" s="31">
        <f>18600</f>
        <v>18600</v>
      </c>
      <c r="L69" s="32" t="s">
        <v>1110</v>
      </c>
      <c r="M69" s="31">
        <f>18860</f>
        <v>18860</v>
      </c>
      <c r="N69" s="32" t="s">
        <v>1110</v>
      </c>
      <c r="O69" s="31">
        <f>17680</f>
        <v>17680</v>
      </c>
      <c r="P69" s="32" t="s">
        <v>1123</v>
      </c>
      <c r="Q69" s="31">
        <f>18700</f>
        <v>18700</v>
      </c>
      <c r="R69" s="32" t="s">
        <v>883</v>
      </c>
      <c r="S69" s="33">
        <f>18488.68</f>
        <v>18488.68</v>
      </c>
      <c r="T69" s="30">
        <f>3632</f>
        <v>3632</v>
      </c>
      <c r="U69" s="30">
        <f>7</f>
        <v>7</v>
      </c>
      <c r="V69" s="30">
        <f>67217805</f>
        <v>67217805</v>
      </c>
      <c r="W69" s="30">
        <f>128185</f>
        <v>128185</v>
      </c>
      <c r="X69" s="34">
        <f>19</f>
        <v>19</v>
      </c>
    </row>
    <row r="70" spans="1:24" x14ac:dyDescent="0.15">
      <c r="A70" s="25" t="s">
        <v>1109</v>
      </c>
      <c r="B70" s="25" t="s">
        <v>195</v>
      </c>
      <c r="C70" s="25" t="s">
        <v>196</v>
      </c>
      <c r="D70" s="25" t="s">
        <v>197</v>
      </c>
      <c r="E70" s="26" t="s">
        <v>43</v>
      </c>
      <c r="F70" s="27" t="s">
        <v>43</v>
      </c>
      <c r="G70" s="28" t="s">
        <v>43</v>
      </c>
      <c r="H70" s="29"/>
      <c r="I70" s="29" t="s">
        <v>44</v>
      </c>
      <c r="J70" s="30">
        <v>1</v>
      </c>
      <c r="K70" s="31">
        <f>18345</f>
        <v>18345</v>
      </c>
      <c r="L70" s="32" t="s">
        <v>1110</v>
      </c>
      <c r="M70" s="31">
        <f>19400</f>
        <v>19400</v>
      </c>
      <c r="N70" s="32" t="s">
        <v>1114</v>
      </c>
      <c r="O70" s="31">
        <f>18100</f>
        <v>18100</v>
      </c>
      <c r="P70" s="32" t="s">
        <v>1113</v>
      </c>
      <c r="Q70" s="31">
        <f>19295</f>
        <v>19295</v>
      </c>
      <c r="R70" s="32" t="s">
        <v>883</v>
      </c>
      <c r="S70" s="33">
        <f>18571.84</f>
        <v>18571.84</v>
      </c>
      <c r="T70" s="30">
        <f>3739</f>
        <v>3739</v>
      </c>
      <c r="U70" s="30" t="str">
        <f>"－"</f>
        <v>－</v>
      </c>
      <c r="V70" s="30">
        <f>70217085</f>
        <v>70217085</v>
      </c>
      <c r="W70" s="30" t="str">
        <f>"－"</f>
        <v>－</v>
      </c>
      <c r="X70" s="34">
        <f>19</f>
        <v>19</v>
      </c>
    </row>
    <row r="71" spans="1:24" x14ac:dyDescent="0.15">
      <c r="A71" s="25" t="s">
        <v>1109</v>
      </c>
      <c r="B71" s="25" t="s">
        <v>198</v>
      </c>
      <c r="C71" s="25" t="s">
        <v>199</v>
      </c>
      <c r="D71" s="25" t="s">
        <v>200</v>
      </c>
      <c r="E71" s="26" t="s">
        <v>43</v>
      </c>
      <c r="F71" s="27" t="s">
        <v>43</v>
      </c>
      <c r="G71" s="28" t="s">
        <v>43</v>
      </c>
      <c r="H71" s="29"/>
      <c r="I71" s="29" t="s">
        <v>44</v>
      </c>
      <c r="J71" s="30">
        <v>1</v>
      </c>
      <c r="K71" s="31">
        <f>28120</f>
        <v>28120</v>
      </c>
      <c r="L71" s="32" t="s">
        <v>1110</v>
      </c>
      <c r="M71" s="31">
        <f>29415</f>
        <v>29415</v>
      </c>
      <c r="N71" s="32" t="s">
        <v>676</v>
      </c>
      <c r="O71" s="31">
        <f>27885</f>
        <v>27885</v>
      </c>
      <c r="P71" s="32" t="s">
        <v>1113</v>
      </c>
      <c r="Q71" s="31">
        <f>29070</f>
        <v>29070</v>
      </c>
      <c r="R71" s="32" t="s">
        <v>883</v>
      </c>
      <c r="S71" s="33">
        <f>28536.05</f>
        <v>28536.05</v>
      </c>
      <c r="T71" s="30">
        <f>19349</f>
        <v>19349</v>
      </c>
      <c r="U71" s="30">
        <f>9001</f>
        <v>9001</v>
      </c>
      <c r="V71" s="30">
        <f>546668664</f>
        <v>546668664</v>
      </c>
      <c r="W71" s="30">
        <f>252067464</f>
        <v>252067464</v>
      </c>
      <c r="X71" s="34">
        <f>19</f>
        <v>19</v>
      </c>
    </row>
    <row r="72" spans="1:24" x14ac:dyDescent="0.15">
      <c r="A72" s="25" t="s">
        <v>1109</v>
      </c>
      <c r="B72" s="25" t="s">
        <v>201</v>
      </c>
      <c r="C72" s="25" t="s">
        <v>202</v>
      </c>
      <c r="D72" s="25" t="s">
        <v>203</v>
      </c>
      <c r="E72" s="26" t="s">
        <v>43</v>
      </c>
      <c r="F72" s="27" t="s">
        <v>43</v>
      </c>
      <c r="G72" s="28" t="s">
        <v>43</v>
      </c>
      <c r="H72" s="29"/>
      <c r="I72" s="29" t="s">
        <v>44</v>
      </c>
      <c r="J72" s="30">
        <v>10</v>
      </c>
      <c r="K72" s="31">
        <f>10295</f>
        <v>10295</v>
      </c>
      <c r="L72" s="32" t="s">
        <v>1110</v>
      </c>
      <c r="M72" s="31">
        <f>10460</f>
        <v>10460</v>
      </c>
      <c r="N72" s="32" t="s">
        <v>1118</v>
      </c>
      <c r="O72" s="31">
        <f>10170</f>
        <v>10170</v>
      </c>
      <c r="P72" s="32" t="s">
        <v>680</v>
      </c>
      <c r="Q72" s="31">
        <f>10360</f>
        <v>10360</v>
      </c>
      <c r="R72" s="32" t="s">
        <v>883</v>
      </c>
      <c r="S72" s="33">
        <f>10328.68</f>
        <v>10328.68</v>
      </c>
      <c r="T72" s="30">
        <f>10480</f>
        <v>10480</v>
      </c>
      <c r="U72" s="30">
        <f>180</f>
        <v>180</v>
      </c>
      <c r="V72" s="30">
        <f>108099750</f>
        <v>108099750</v>
      </c>
      <c r="W72" s="30">
        <f>1858650</f>
        <v>1858650</v>
      </c>
      <c r="X72" s="34">
        <f>19</f>
        <v>19</v>
      </c>
    </row>
    <row r="73" spans="1:24" x14ac:dyDescent="0.15">
      <c r="A73" s="25" t="s">
        <v>1109</v>
      </c>
      <c r="B73" s="25" t="s">
        <v>204</v>
      </c>
      <c r="C73" s="25" t="s">
        <v>205</v>
      </c>
      <c r="D73" s="25" t="s">
        <v>206</v>
      </c>
      <c r="E73" s="26" t="s">
        <v>43</v>
      </c>
      <c r="F73" s="27" t="s">
        <v>43</v>
      </c>
      <c r="G73" s="28" t="s">
        <v>43</v>
      </c>
      <c r="H73" s="29"/>
      <c r="I73" s="29" t="s">
        <v>44</v>
      </c>
      <c r="J73" s="30">
        <v>1</v>
      </c>
      <c r="K73" s="31">
        <f>1922</f>
        <v>1922</v>
      </c>
      <c r="L73" s="32" t="s">
        <v>1110</v>
      </c>
      <c r="M73" s="31">
        <f>1922</f>
        <v>1922</v>
      </c>
      <c r="N73" s="32" t="s">
        <v>1110</v>
      </c>
      <c r="O73" s="31">
        <f>1854</f>
        <v>1854</v>
      </c>
      <c r="P73" s="32" t="s">
        <v>1117</v>
      </c>
      <c r="Q73" s="31">
        <f>1861</f>
        <v>1861</v>
      </c>
      <c r="R73" s="32" t="s">
        <v>883</v>
      </c>
      <c r="S73" s="33">
        <f>1879</f>
        <v>1879</v>
      </c>
      <c r="T73" s="30">
        <f>1768627</f>
        <v>1768627</v>
      </c>
      <c r="U73" s="30">
        <f>1288670</f>
        <v>1288670</v>
      </c>
      <c r="V73" s="30">
        <f>3346929623</f>
        <v>3346929623</v>
      </c>
      <c r="W73" s="30">
        <f>2443846331</f>
        <v>2443846331</v>
      </c>
      <c r="X73" s="34">
        <f>19</f>
        <v>19</v>
      </c>
    </row>
    <row r="74" spans="1:24" x14ac:dyDescent="0.15">
      <c r="A74" s="25" t="s">
        <v>1109</v>
      </c>
      <c r="B74" s="25" t="s">
        <v>207</v>
      </c>
      <c r="C74" s="25" t="s">
        <v>208</v>
      </c>
      <c r="D74" s="25" t="s">
        <v>209</v>
      </c>
      <c r="E74" s="26" t="s">
        <v>43</v>
      </c>
      <c r="F74" s="27" t="s">
        <v>43</v>
      </c>
      <c r="G74" s="28" t="s">
        <v>43</v>
      </c>
      <c r="H74" s="29"/>
      <c r="I74" s="29" t="s">
        <v>44</v>
      </c>
      <c r="J74" s="30">
        <v>1</v>
      </c>
      <c r="K74" s="31">
        <f>1894</f>
        <v>1894</v>
      </c>
      <c r="L74" s="32" t="s">
        <v>1110</v>
      </c>
      <c r="M74" s="31">
        <f>1900</f>
        <v>1900</v>
      </c>
      <c r="N74" s="32" t="s">
        <v>1116</v>
      </c>
      <c r="O74" s="31">
        <f>1874</f>
        <v>1874</v>
      </c>
      <c r="P74" s="32" t="s">
        <v>1117</v>
      </c>
      <c r="Q74" s="31">
        <f>1886</f>
        <v>1886</v>
      </c>
      <c r="R74" s="32" t="s">
        <v>883</v>
      </c>
      <c r="S74" s="33">
        <f>1887.63</f>
        <v>1887.63</v>
      </c>
      <c r="T74" s="30">
        <f>511513</f>
        <v>511513</v>
      </c>
      <c r="U74" s="30">
        <f>5</f>
        <v>5</v>
      </c>
      <c r="V74" s="30">
        <f>965172939</f>
        <v>965172939</v>
      </c>
      <c r="W74" s="30">
        <f>8750</f>
        <v>8750</v>
      </c>
      <c r="X74" s="34">
        <f>19</f>
        <v>19</v>
      </c>
    </row>
    <row r="75" spans="1:24" x14ac:dyDescent="0.15">
      <c r="A75" s="25" t="s">
        <v>1109</v>
      </c>
      <c r="B75" s="25" t="s">
        <v>210</v>
      </c>
      <c r="C75" s="25" t="s">
        <v>211</v>
      </c>
      <c r="D75" s="25" t="s">
        <v>212</v>
      </c>
      <c r="E75" s="26" t="s">
        <v>43</v>
      </c>
      <c r="F75" s="27" t="s">
        <v>43</v>
      </c>
      <c r="G75" s="28" t="s">
        <v>43</v>
      </c>
      <c r="H75" s="29"/>
      <c r="I75" s="29" t="s">
        <v>44</v>
      </c>
      <c r="J75" s="30">
        <v>1</v>
      </c>
      <c r="K75" s="31">
        <f>19815</f>
        <v>19815</v>
      </c>
      <c r="L75" s="32" t="s">
        <v>1110</v>
      </c>
      <c r="M75" s="31">
        <f>21165</f>
        <v>21165</v>
      </c>
      <c r="N75" s="32" t="s">
        <v>1111</v>
      </c>
      <c r="O75" s="31">
        <f>19740</f>
        <v>19740</v>
      </c>
      <c r="P75" s="32" t="s">
        <v>1110</v>
      </c>
      <c r="Q75" s="31">
        <f>21085</f>
        <v>21085</v>
      </c>
      <c r="R75" s="32" t="s">
        <v>883</v>
      </c>
      <c r="S75" s="33">
        <f>20476.05</f>
        <v>20476.05</v>
      </c>
      <c r="T75" s="30">
        <f>5420</f>
        <v>5420</v>
      </c>
      <c r="U75" s="30">
        <f>1</f>
        <v>1</v>
      </c>
      <c r="V75" s="30">
        <f>110025845</f>
        <v>110025845</v>
      </c>
      <c r="W75" s="30">
        <f>19775</f>
        <v>19775</v>
      </c>
      <c r="X75" s="34">
        <f>19</f>
        <v>19</v>
      </c>
    </row>
    <row r="76" spans="1:24" x14ac:dyDescent="0.15">
      <c r="A76" s="25" t="s">
        <v>1109</v>
      </c>
      <c r="B76" s="25" t="s">
        <v>213</v>
      </c>
      <c r="C76" s="25" t="s">
        <v>214</v>
      </c>
      <c r="D76" s="25" t="s">
        <v>215</v>
      </c>
      <c r="E76" s="26" t="s">
        <v>43</v>
      </c>
      <c r="F76" s="27" t="s">
        <v>43</v>
      </c>
      <c r="G76" s="28" t="s">
        <v>43</v>
      </c>
      <c r="H76" s="29"/>
      <c r="I76" s="29" t="s">
        <v>44</v>
      </c>
      <c r="J76" s="30">
        <v>1</v>
      </c>
      <c r="K76" s="31">
        <f>9474</f>
        <v>9474</v>
      </c>
      <c r="L76" s="32" t="s">
        <v>1110</v>
      </c>
      <c r="M76" s="31">
        <f>9545</f>
        <v>9545</v>
      </c>
      <c r="N76" s="32" t="s">
        <v>874</v>
      </c>
      <c r="O76" s="31">
        <f>9361</f>
        <v>9361</v>
      </c>
      <c r="P76" s="32" t="s">
        <v>1117</v>
      </c>
      <c r="Q76" s="31">
        <f>9490</f>
        <v>9490</v>
      </c>
      <c r="R76" s="32" t="s">
        <v>883</v>
      </c>
      <c r="S76" s="33">
        <f>9500.63</f>
        <v>9500.6299999999992</v>
      </c>
      <c r="T76" s="30">
        <f>2849</f>
        <v>2849</v>
      </c>
      <c r="U76" s="30">
        <f>1</f>
        <v>1</v>
      </c>
      <c r="V76" s="30">
        <f>27042479</f>
        <v>27042479</v>
      </c>
      <c r="W76" s="30">
        <f>9490</f>
        <v>9490</v>
      </c>
      <c r="X76" s="34">
        <f>19</f>
        <v>19</v>
      </c>
    </row>
    <row r="77" spans="1:24" x14ac:dyDescent="0.15">
      <c r="A77" s="25" t="s">
        <v>1109</v>
      </c>
      <c r="B77" s="25" t="s">
        <v>216</v>
      </c>
      <c r="C77" s="25" t="s">
        <v>217</v>
      </c>
      <c r="D77" s="25" t="s">
        <v>218</v>
      </c>
      <c r="E77" s="26" t="s">
        <v>43</v>
      </c>
      <c r="F77" s="27" t="s">
        <v>43</v>
      </c>
      <c r="G77" s="28" t="s">
        <v>43</v>
      </c>
      <c r="H77" s="29"/>
      <c r="I77" s="29" t="s">
        <v>44</v>
      </c>
      <c r="J77" s="30">
        <v>1</v>
      </c>
      <c r="K77" s="31">
        <f>9127</f>
        <v>9127</v>
      </c>
      <c r="L77" s="32" t="s">
        <v>1110</v>
      </c>
      <c r="M77" s="31">
        <f>9400</f>
        <v>9400</v>
      </c>
      <c r="N77" s="32" t="s">
        <v>883</v>
      </c>
      <c r="O77" s="31">
        <f>9109</f>
        <v>9109</v>
      </c>
      <c r="P77" s="32" t="s">
        <v>1110</v>
      </c>
      <c r="Q77" s="31">
        <f>9297</f>
        <v>9297</v>
      </c>
      <c r="R77" s="32" t="s">
        <v>883</v>
      </c>
      <c r="S77" s="33">
        <f>9213.32</f>
        <v>9213.32</v>
      </c>
      <c r="T77" s="30">
        <f>1827681</f>
        <v>1827681</v>
      </c>
      <c r="U77" s="30">
        <f>233416</f>
        <v>233416</v>
      </c>
      <c r="V77" s="30">
        <f>16830263284</f>
        <v>16830263284</v>
      </c>
      <c r="W77" s="30">
        <f>2146309441</f>
        <v>2146309441</v>
      </c>
      <c r="X77" s="34">
        <f>19</f>
        <v>19</v>
      </c>
    </row>
    <row r="78" spans="1:24" x14ac:dyDescent="0.15">
      <c r="A78" s="25" t="s">
        <v>1109</v>
      </c>
      <c r="B78" s="25" t="s">
        <v>219</v>
      </c>
      <c r="C78" s="25" t="s">
        <v>220</v>
      </c>
      <c r="D78" s="25" t="s">
        <v>221</v>
      </c>
      <c r="E78" s="26" t="s">
        <v>43</v>
      </c>
      <c r="F78" s="27" t="s">
        <v>43</v>
      </c>
      <c r="G78" s="28" t="s">
        <v>43</v>
      </c>
      <c r="H78" s="29"/>
      <c r="I78" s="29" t="s">
        <v>44</v>
      </c>
      <c r="J78" s="30">
        <v>1</v>
      </c>
      <c r="K78" s="31">
        <f>4000</f>
        <v>4000</v>
      </c>
      <c r="L78" s="32" t="s">
        <v>1110</v>
      </c>
      <c r="M78" s="31">
        <f>4000</f>
        <v>4000</v>
      </c>
      <c r="N78" s="32" t="s">
        <v>1110</v>
      </c>
      <c r="O78" s="31">
        <f>3920</f>
        <v>3920</v>
      </c>
      <c r="P78" s="32" t="s">
        <v>1113</v>
      </c>
      <c r="Q78" s="31">
        <f>3940</f>
        <v>3940</v>
      </c>
      <c r="R78" s="32" t="s">
        <v>883</v>
      </c>
      <c r="S78" s="33">
        <f>3958.95</f>
        <v>3958.95</v>
      </c>
      <c r="T78" s="30">
        <f>502808</f>
        <v>502808</v>
      </c>
      <c r="U78" s="30">
        <f>285</f>
        <v>285</v>
      </c>
      <c r="V78" s="30">
        <f>1989340860</f>
        <v>1989340860</v>
      </c>
      <c r="W78" s="30">
        <f>1128870</f>
        <v>1128870</v>
      </c>
      <c r="X78" s="34">
        <f>19</f>
        <v>19</v>
      </c>
    </row>
    <row r="79" spans="1:24" x14ac:dyDescent="0.15">
      <c r="A79" s="25" t="s">
        <v>1109</v>
      </c>
      <c r="B79" s="25" t="s">
        <v>222</v>
      </c>
      <c r="C79" s="25" t="s">
        <v>223</v>
      </c>
      <c r="D79" s="25" t="s">
        <v>224</v>
      </c>
      <c r="E79" s="26" t="s">
        <v>43</v>
      </c>
      <c r="F79" s="27" t="s">
        <v>43</v>
      </c>
      <c r="G79" s="28" t="s">
        <v>43</v>
      </c>
      <c r="H79" s="29"/>
      <c r="I79" s="29" t="s">
        <v>44</v>
      </c>
      <c r="J79" s="30">
        <v>1</v>
      </c>
      <c r="K79" s="31">
        <f>9890</f>
        <v>9890</v>
      </c>
      <c r="L79" s="32" t="s">
        <v>1110</v>
      </c>
      <c r="M79" s="31">
        <f>10125</f>
        <v>10125</v>
      </c>
      <c r="N79" s="32" t="s">
        <v>680</v>
      </c>
      <c r="O79" s="31">
        <f>9717</f>
        <v>9717</v>
      </c>
      <c r="P79" s="32" t="s">
        <v>1113</v>
      </c>
      <c r="Q79" s="31">
        <f>9858</f>
        <v>9858</v>
      </c>
      <c r="R79" s="32" t="s">
        <v>883</v>
      </c>
      <c r="S79" s="33">
        <f>9866</f>
        <v>9866</v>
      </c>
      <c r="T79" s="30">
        <f>112521</f>
        <v>112521</v>
      </c>
      <c r="U79" s="30">
        <f>276</f>
        <v>276</v>
      </c>
      <c r="V79" s="30">
        <f>1111059512</f>
        <v>1111059512</v>
      </c>
      <c r="W79" s="30">
        <f>2723490</f>
        <v>2723490</v>
      </c>
      <c r="X79" s="34">
        <f>19</f>
        <v>19</v>
      </c>
    </row>
    <row r="80" spans="1:24" x14ac:dyDescent="0.15">
      <c r="A80" s="25" t="s">
        <v>1109</v>
      </c>
      <c r="B80" s="25" t="s">
        <v>225</v>
      </c>
      <c r="C80" s="25" t="s">
        <v>226</v>
      </c>
      <c r="D80" s="25" t="s">
        <v>227</v>
      </c>
      <c r="E80" s="26" t="s">
        <v>43</v>
      </c>
      <c r="F80" s="27" t="s">
        <v>43</v>
      </c>
      <c r="G80" s="28" t="s">
        <v>43</v>
      </c>
      <c r="H80" s="29"/>
      <c r="I80" s="29" t="s">
        <v>44</v>
      </c>
      <c r="J80" s="30">
        <v>1</v>
      </c>
      <c r="K80" s="31">
        <f>42760</f>
        <v>42760</v>
      </c>
      <c r="L80" s="32" t="s">
        <v>1110</v>
      </c>
      <c r="M80" s="31">
        <f>43500</f>
        <v>43500</v>
      </c>
      <c r="N80" s="32" t="s">
        <v>676</v>
      </c>
      <c r="O80" s="31">
        <f>39050</f>
        <v>39050</v>
      </c>
      <c r="P80" s="32" t="s">
        <v>1117</v>
      </c>
      <c r="Q80" s="31">
        <f>41700</f>
        <v>41700</v>
      </c>
      <c r="R80" s="32" t="s">
        <v>883</v>
      </c>
      <c r="S80" s="33">
        <f>42010.53</f>
        <v>42010.53</v>
      </c>
      <c r="T80" s="30">
        <f>12738</f>
        <v>12738</v>
      </c>
      <c r="U80" s="30">
        <f>31</f>
        <v>31</v>
      </c>
      <c r="V80" s="30">
        <f>528442730</f>
        <v>528442730</v>
      </c>
      <c r="W80" s="30">
        <f>1219210</f>
        <v>1219210</v>
      </c>
      <c r="X80" s="34">
        <f>19</f>
        <v>19</v>
      </c>
    </row>
    <row r="81" spans="1:24" x14ac:dyDescent="0.15">
      <c r="A81" s="25" t="s">
        <v>1109</v>
      </c>
      <c r="B81" s="25" t="s">
        <v>228</v>
      </c>
      <c r="C81" s="25" t="s">
        <v>779</v>
      </c>
      <c r="D81" s="25" t="s">
        <v>780</v>
      </c>
      <c r="E81" s="26" t="s">
        <v>43</v>
      </c>
      <c r="F81" s="27" t="s">
        <v>43</v>
      </c>
      <c r="G81" s="28" t="s">
        <v>43</v>
      </c>
      <c r="H81" s="29"/>
      <c r="I81" s="29" t="s">
        <v>44</v>
      </c>
      <c r="J81" s="30">
        <v>1</v>
      </c>
      <c r="K81" s="31">
        <f>25595</f>
        <v>25595</v>
      </c>
      <c r="L81" s="32" t="s">
        <v>1110</v>
      </c>
      <c r="M81" s="31">
        <f>27415</f>
        <v>27415</v>
      </c>
      <c r="N81" s="32" t="s">
        <v>1114</v>
      </c>
      <c r="O81" s="31">
        <f>25545</f>
        <v>25545</v>
      </c>
      <c r="P81" s="32" t="s">
        <v>1110</v>
      </c>
      <c r="Q81" s="31">
        <f>27175</f>
        <v>27175</v>
      </c>
      <c r="R81" s="32" t="s">
        <v>883</v>
      </c>
      <c r="S81" s="33">
        <f>26835</f>
        <v>26835</v>
      </c>
      <c r="T81" s="30">
        <f>1512150</f>
        <v>1512150</v>
      </c>
      <c r="U81" s="30">
        <f>13925</f>
        <v>13925</v>
      </c>
      <c r="V81" s="30">
        <f>40642159457</f>
        <v>40642159457</v>
      </c>
      <c r="W81" s="30">
        <f>377659452</f>
        <v>377659452</v>
      </c>
      <c r="X81" s="34">
        <f>19</f>
        <v>19</v>
      </c>
    </row>
    <row r="82" spans="1:24" x14ac:dyDescent="0.15">
      <c r="A82" s="25" t="s">
        <v>1109</v>
      </c>
      <c r="B82" s="25" t="s">
        <v>229</v>
      </c>
      <c r="C82" s="25" t="s">
        <v>781</v>
      </c>
      <c r="D82" s="25" t="s">
        <v>782</v>
      </c>
      <c r="E82" s="26" t="s">
        <v>43</v>
      </c>
      <c r="F82" s="27" t="s">
        <v>43</v>
      </c>
      <c r="G82" s="28" t="s">
        <v>43</v>
      </c>
      <c r="H82" s="29"/>
      <c r="I82" s="29" t="s">
        <v>44</v>
      </c>
      <c r="J82" s="30">
        <v>1</v>
      </c>
      <c r="K82" s="31">
        <f>54760</f>
        <v>54760</v>
      </c>
      <c r="L82" s="32" t="s">
        <v>1110</v>
      </c>
      <c r="M82" s="31">
        <f>58820</f>
        <v>58820</v>
      </c>
      <c r="N82" s="32" t="s">
        <v>760</v>
      </c>
      <c r="O82" s="31">
        <f>54630</f>
        <v>54630</v>
      </c>
      <c r="P82" s="32" t="s">
        <v>1110</v>
      </c>
      <c r="Q82" s="31">
        <f>57080</f>
        <v>57080</v>
      </c>
      <c r="R82" s="32" t="s">
        <v>883</v>
      </c>
      <c r="S82" s="33">
        <f>56437.89</f>
        <v>56437.89</v>
      </c>
      <c r="T82" s="30">
        <f>51920</f>
        <v>51920</v>
      </c>
      <c r="U82" s="30">
        <f>6346</f>
        <v>6346</v>
      </c>
      <c r="V82" s="30">
        <f>2931563240</f>
        <v>2931563240</v>
      </c>
      <c r="W82" s="30">
        <f>360248730</f>
        <v>360248730</v>
      </c>
      <c r="X82" s="34">
        <f>19</f>
        <v>19</v>
      </c>
    </row>
    <row r="83" spans="1:24" x14ac:dyDescent="0.15">
      <c r="A83" s="25" t="s">
        <v>1109</v>
      </c>
      <c r="B83" s="25" t="s">
        <v>230</v>
      </c>
      <c r="C83" s="25" t="s">
        <v>231</v>
      </c>
      <c r="D83" s="25" t="s">
        <v>232</v>
      </c>
      <c r="E83" s="26" t="s">
        <v>43</v>
      </c>
      <c r="F83" s="27" t="s">
        <v>43</v>
      </c>
      <c r="G83" s="28" t="s">
        <v>43</v>
      </c>
      <c r="H83" s="29"/>
      <c r="I83" s="29" t="s">
        <v>44</v>
      </c>
      <c r="J83" s="30">
        <v>10</v>
      </c>
      <c r="K83" s="31">
        <f>7742</f>
        <v>7742</v>
      </c>
      <c r="L83" s="32" t="s">
        <v>1110</v>
      </c>
      <c r="M83" s="31">
        <f>8375</f>
        <v>8375</v>
      </c>
      <c r="N83" s="32" t="s">
        <v>680</v>
      </c>
      <c r="O83" s="31">
        <f>7725</f>
        <v>7725</v>
      </c>
      <c r="P83" s="32" t="s">
        <v>1110</v>
      </c>
      <c r="Q83" s="31">
        <f>8266</f>
        <v>8266</v>
      </c>
      <c r="R83" s="32" t="s">
        <v>883</v>
      </c>
      <c r="S83" s="33">
        <f>8104.05</f>
        <v>8104.05</v>
      </c>
      <c r="T83" s="30">
        <f>1142750</f>
        <v>1142750</v>
      </c>
      <c r="U83" s="30">
        <f>70850</f>
        <v>70850</v>
      </c>
      <c r="V83" s="30">
        <f>9243379843</f>
        <v>9243379843</v>
      </c>
      <c r="W83" s="30">
        <f>550113433</f>
        <v>550113433</v>
      </c>
      <c r="X83" s="34">
        <f>19</f>
        <v>19</v>
      </c>
    </row>
    <row r="84" spans="1:24" x14ac:dyDescent="0.15">
      <c r="A84" s="25" t="s">
        <v>1109</v>
      </c>
      <c r="B84" s="25" t="s">
        <v>233</v>
      </c>
      <c r="C84" s="25" t="s">
        <v>234</v>
      </c>
      <c r="D84" s="25" t="s">
        <v>235</v>
      </c>
      <c r="E84" s="26" t="s">
        <v>43</v>
      </c>
      <c r="F84" s="27" t="s">
        <v>43</v>
      </c>
      <c r="G84" s="28" t="s">
        <v>43</v>
      </c>
      <c r="H84" s="29"/>
      <c r="I84" s="29" t="s">
        <v>44</v>
      </c>
      <c r="J84" s="30">
        <v>10</v>
      </c>
      <c r="K84" s="31">
        <f>4856</f>
        <v>4856</v>
      </c>
      <c r="L84" s="32" t="s">
        <v>1110</v>
      </c>
      <c r="M84" s="31">
        <f>5182</f>
        <v>5182</v>
      </c>
      <c r="N84" s="32" t="s">
        <v>676</v>
      </c>
      <c r="O84" s="31">
        <f>4841</f>
        <v>4841</v>
      </c>
      <c r="P84" s="32" t="s">
        <v>1110</v>
      </c>
      <c r="Q84" s="31">
        <f>5153</f>
        <v>5153</v>
      </c>
      <c r="R84" s="32" t="s">
        <v>883</v>
      </c>
      <c r="S84" s="33">
        <f>5050</f>
        <v>5050</v>
      </c>
      <c r="T84" s="30">
        <f>87350</f>
        <v>87350</v>
      </c>
      <c r="U84" s="30">
        <f>170</f>
        <v>170</v>
      </c>
      <c r="V84" s="30">
        <f>441317360</f>
        <v>441317360</v>
      </c>
      <c r="W84" s="30">
        <f>858670</f>
        <v>858670</v>
      </c>
      <c r="X84" s="34">
        <f>19</f>
        <v>19</v>
      </c>
    </row>
    <row r="85" spans="1:24" x14ac:dyDescent="0.15">
      <c r="A85" s="25" t="s">
        <v>1109</v>
      </c>
      <c r="B85" s="25" t="s">
        <v>236</v>
      </c>
      <c r="C85" s="25" t="s">
        <v>854</v>
      </c>
      <c r="D85" s="25" t="s">
        <v>855</v>
      </c>
      <c r="E85" s="26" t="s">
        <v>43</v>
      </c>
      <c r="F85" s="27" t="s">
        <v>43</v>
      </c>
      <c r="G85" s="28" t="s">
        <v>43</v>
      </c>
      <c r="H85" s="29"/>
      <c r="I85" s="29" t="s">
        <v>44</v>
      </c>
      <c r="J85" s="30">
        <v>10</v>
      </c>
      <c r="K85" s="31">
        <f>4978</f>
        <v>4978</v>
      </c>
      <c r="L85" s="32" t="s">
        <v>1110</v>
      </c>
      <c r="M85" s="31">
        <f>5127</f>
        <v>5127</v>
      </c>
      <c r="N85" s="32" t="s">
        <v>1124</v>
      </c>
      <c r="O85" s="31">
        <f>4922</f>
        <v>4922</v>
      </c>
      <c r="P85" s="32" t="s">
        <v>875</v>
      </c>
      <c r="Q85" s="31">
        <f>5084</f>
        <v>5084</v>
      </c>
      <c r="R85" s="32" t="s">
        <v>883</v>
      </c>
      <c r="S85" s="33">
        <f>5026.74</f>
        <v>5026.74</v>
      </c>
      <c r="T85" s="30">
        <f>12660</f>
        <v>12660</v>
      </c>
      <c r="U85" s="30" t="str">
        <f>"－"</f>
        <v>－</v>
      </c>
      <c r="V85" s="30">
        <f>63682300</f>
        <v>63682300</v>
      </c>
      <c r="W85" s="30" t="str">
        <f>"－"</f>
        <v>－</v>
      </c>
      <c r="X85" s="34">
        <f>19</f>
        <v>19</v>
      </c>
    </row>
    <row r="86" spans="1:24" x14ac:dyDescent="0.15">
      <c r="A86" s="25" t="s">
        <v>1109</v>
      </c>
      <c r="B86" s="25" t="s">
        <v>237</v>
      </c>
      <c r="C86" s="25" t="s">
        <v>238</v>
      </c>
      <c r="D86" s="25" t="s">
        <v>239</v>
      </c>
      <c r="E86" s="26" t="s">
        <v>1125</v>
      </c>
      <c r="F86" s="27" t="s">
        <v>1126</v>
      </c>
      <c r="G86" s="28" t="s">
        <v>1127</v>
      </c>
      <c r="H86" s="29" t="s">
        <v>761</v>
      </c>
      <c r="I86" s="29"/>
      <c r="J86" s="30">
        <v>1</v>
      </c>
      <c r="K86" s="31">
        <f>389</f>
        <v>389</v>
      </c>
      <c r="L86" s="32" t="s">
        <v>1110</v>
      </c>
      <c r="M86" s="31">
        <f>390</f>
        <v>390</v>
      </c>
      <c r="N86" s="32" t="s">
        <v>1115</v>
      </c>
      <c r="O86" s="31">
        <f>388</f>
        <v>388</v>
      </c>
      <c r="P86" s="32" t="s">
        <v>1110</v>
      </c>
      <c r="Q86" s="31">
        <f>389</f>
        <v>389</v>
      </c>
      <c r="R86" s="32" t="s">
        <v>876</v>
      </c>
      <c r="S86" s="33">
        <f>388.43</f>
        <v>388.43</v>
      </c>
      <c r="T86" s="30">
        <f>9231444</f>
        <v>9231444</v>
      </c>
      <c r="U86" s="30">
        <f>7148</f>
        <v>7148</v>
      </c>
      <c r="V86" s="30">
        <f>3587252650</f>
        <v>3587252650</v>
      </c>
      <c r="W86" s="30">
        <f>2778280</f>
        <v>2778280</v>
      </c>
      <c r="X86" s="34">
        <f>7</f>
        <v>7</v>
      </c>
    </row>
    <row r="87" spans="1:24" x14ac:dyDescent="0.15">
      <c r="A87" s="25" t="s">
        <v>1109</v>
      </c>
      <c r="B87" s="25" t="s">
        <v>241</v>
      </c>
      <c r="C87" s="25" t="s">
        <v>242</v>
      </c>
      <c r="D87" s="25" t="s">
        <v>243</v>
      </c>
      <c r="E87" s="26" t="s">
        <v>43</v>
      </c>
      <c r="F87" s="27" t="s">
        <v>43</v>
      </c>
      <c r="G87" s="28" t="s">
        <v>43</v>
      </c>
      <c r="H87" s="29"/>
      <c r="I87" s="29" t="s">
        <v>44</v>
      </c>
      <c r="J87" s="30">
        <v>10</v>
      </c>
      <c r="K87" s="31">
        <f>3991</f>
        <v>3991</v>
      </c>
      <c r="L87" s="32" t="s">
        <v>1110</v>
      </c>
      <c r="M87" s="31">
        <f>4263</f>
        <v>4263</v>
      </c>
      <c r="N87" s="32" t="s">
        <v>1114</v>
      </c>
      <c r="O87" s="31">
        <f>3980</f>
        <v>3980</v>
      </c>
      <c r="P87" s="32" t="s">
        <v>1110</v>
      </c>
      <c r="Q87" s="31">
        <f>4234</f>
        <v>4234</v>
      </c>
      <c r="R87" s="32" t="s">
        <v>883</v>
      </c>
      <c r="S87" s="33">
        <f>4152.74</f>
        <v>4152.74</v>
      </c>
      <c r="T87" s="30">
        <f>89290</f>
        <v>89290</v>
      </c>
      <c r="U87" s="30" t="str">
        <f>"－"</f>
        <v>－</v>
      </c>
      <c r="V87" s="30">
        <f>366701960</f>
        <v>366701960</v>
      </c>
      <c r="W87" s="30" t="str">
        <f>"－"</f>
        <v>－</v>
      </c>
      <c r="X87" s="34">
        <f>19</f>
        <v>19</v>
      </c>
    </row>
    <row r="88" spans="1:24" x14ac:dyDescent="0.15">
      <c r="A88" s="25" t="s">
        <v>1109</v>
      </c>
      <c r="B88" s="25" t="s">
        <v>244</v>
      </c>
      <c r="C88" s="25" t="s">
        <v>971</v>
      </c>
      <c r="D88" s="25" t="s">
        <v>245</v>
      </c>
      <c r="E88" s="26" t="s">
        <v>43</v>
      </c>
      <c r="F88" s="27" t="s">
        <v>43</v>
      </c>
      <c r="G88" s="28" t="s">
        <v>43</v>
      </c>
      <c r="H88" s="29"/>
      <c r="I88" s="29" t="s">
        <v>44</v>
      </c>
      <c r="J88" s="30">
        <v>10</v>
      </c>
      <c r="K88" s="31">
        <f>1938.5</f>
        <v>1938.5</v>
      </c>
      <c r="L88" s="32" t="s">
        <v>1110</v>
      </c>
      <c r="M88" s="31">
        <f>2080</f>
        <v>2080</v>
      </c>
      <c r="N88" s="32" t="s">
        <v>760</v>
      </c>
      <c r="O88" s="31">
        <f>1907</f>
        <v>1907</v>
      </c>
      <c r="P88" s="32" t="s">
        <v>1110</v>
      </c>
      <c r="Q88" s="31">
        <f>2049</f>
        <v>2049</v>
      </c>
      <c r="R88" s="32" t="s">
        <v>883</v>
      </c>
      <c r="S88" s="33">
        <f>2006.82</f>
        <v>2006.82</v>
      </c>
      <c r="T88" s="30">
        <f>140210</f>
        <v>140210</v>
      </c>
      <c r="U88" s="30">
        <f>240</f>
        <v>240</v>
      </c>
      <c r="V88" s="30">
        <f>280964280</f>
        <v>280964280</v>
      </c>
      <c r="W88" s="30">
        <f>476875</f>
        <v>476875</v>
      </c>
      <c r="X88" s="34">
        <f>19</f>
        <v>19</v>
      </c>
    </row>
    <row r="89" spans="1:24" x14ac:dyDescent="0.15">
      <c r="A89" s="25" t="s">
        <v>1109</v>
      </c>
      <c r="B89" s="25" t="s">
        <v>246</v>
      </c>
      <c r="C89" s="25" t="s">
        <v>247</v>
      </c>
      <c r="D89" s="25" t="s">
        <v>248</v>
      </c>
      <c r="E89" s="26" t="s">
        <v>43</v>
      </c>
      <c r="F89" s="27" t="s">
        <v>43</v>
      </c>
      <c r="G89" s="28" t="s">
        <v>43</v>
      </c>
      <c r="H89" s="29"/>
      <c r="I89" s="29" t="s">
        <v>44</v>
      </c>
      <c r="J89" s="30">
        <v>1</v>
      </c>
      <c r="K89" s="31">
        <f>71170</f>
        <v>71170</v>
      </c>
      <c r="L89" s="32" t="s">
        <v>1110</v>
      </c>
      <c r="M89" s="31">
        <f>76440</f>
        <v>76440</v>
      </c>
      <c r="N89" s="32" t="s">
        <v>676</v>
      </c>
      <c r="O89" s="31">
        <f>71000</f>
        <v>71000</v>
      </c>
      <c r="P89" s="32" t="s">
        <v>1110</v>
      </c>
      <c r="Q89" s="31">
        <f>75920</f>
        <v>75920</v>
      </c>
      <c r="R89" s="32" t="s">
        <v>883</v>
      </c>
      <c r="S89" s="33">
        <f>74468.95</f>
        <v>74468.95</v>
      </c>
      <c r="T89" s="30">
        <f>76980</f>
        <v>76980</v>
      </c>
      <c r="U89" s="30">
        <f>131</f>
        <v>131</v>
      </c>
      <c r="V89" s="30">
        <f>5726724545</f>
        <v>5726724545</v>
      </c>
      <c r="W89" s="30">
        <f>9999845</f>
        <v>9999845</v>
      </c>
      <c r="X89" s="34">
        <f>19</f>
        <v>19</v>
      </c>
    </row>
    <row r="90" spans="1:24" x14ac:dyDescent="0.15">
      <c r="A90" s="25" t="s">
        <v>1109</v>
      </c>
      <c r="B90" s="25" t="s">
        <v>249</v>
      </c>
      <c r="C90" s="25" t="s">
        <v>250</v>
      </c>
      <c r="D90" s="25" t="s">
        <v>251</v>
      </c>
      <c r="E90" s="26" t="s">
        <v>43</v>
      </c>
      <c r="F90" s="27" t="s">
        <v>43</v>
      </c>
      <c r="G90" s="28" t="s">
        <v>43</v>
      </c>
      <c r="H90" s="29"/>
      <c r="I90" s="29" t="s">
        <v>44</v>
      </c>
      <c r="J90" s="30">
        <v>1</v>
      </c>
      <c r="K90" s="31">
        <f>3275</f>
        <v>3275</v>
      </c>
      <c r="L90" s="32" t="s">
        <v>1110</v>
      </c>
      <c r="M90" s="31">
        <f>3350</f>
        <v>3350</v>
      </c>
      <c r="N90" s="32" t="s">
        <v>760</v>
      </c>
      <c r="O90" s="31">
        <f>3220</f>
        <v>3220</v>
      </c>
      <c r="P90" s="32" t="s">
        <v>680</v>
      </c>
      <c r="Q90" s="31">
        <f>3240</f>
        <v>3240</v>
      </c>
      <c r="R90" s="32" t="s">
        <v>883</v>
      </c>
      <c r="S90" s="33">
        <f>3257.37</f>
        <v>3257.37</v>
      </c>
      <c r="T90" s="30">
        <f>10979</f>
        <v>10979</v>
      </c>
      <c r="U90" s="30" t="str">
        <f>"－"</f>
        <v>－</v>
      </c>
      <c r="V90" s="30">
        <f>35914425</f>
        <v>35914425</v>
      </c>
      <c r="W90" s="30" t="str">
        <f>"－"</f>
        <v>－</v>
      </c>
      <c r="X90" s="34">
        <f>19</f>
        <v>19</v>
      </c>
    </row>
    <row r="91" spans="1:24" x14ac:dyDescent="0.15">
      <c r="A91" s="25" t="s">
        <v>1109</v>
      </c>
      <c r="B91" s="25" t="s">
        <v>252</v>
      </c>
      <c r="C91" s="25" t="s">
        <v>253</v>
      </c>
      <c r="D91" s="25" t="s">
        <v>254</v>
      </c>
      <c r="E91" s="26" t="s">
        <v>43</v>
      </c>
      <c r="F91" s="27" t="s">
        <v>43</v>
      </c>
      <c r="G91" s="28" t="s">
        <v>43</v>
      </c>
      <c r="H91" s="29"/>
      <c r="I91" s="29" t="s">
        <v>44</v>
      </c>
      <c r="J91" s="30">
        <v>1</v>
      </c>
      <c r="K91" s="31">
        <f>4555</f>
        <v>4555</v>
      </c>
      <c r="L91" s="32" t="s">
        <v>1110</v>
      </c>
      <c r="M91" s="31">
        <f>4870</f>
        <v>4870</v>
      </c>
      <c r="N91" s="32" t="s">
        <v>760</v>
      </c>
      <c r="O91" s="31">
        <f>4460</f>
        <v>4460</v>
      </c>
      <c r="P91" s="32" t="s">
        <v>1124</v>
      </c>
      <c r="Q91" s="31">
        <f>4690</f>
        <v>4690</v>
      </c>
      <c r="R91" s="32" t="s">
        <v>883</v>
      </c>
      <c r="S91" s="33">
        <f>4639.47</f>
        <v>4639.47</v>
      </c>
      <c r="T91" s="30">
        <f>14260</f>
        <v>14260</v>
      </c>
      <c r="U91" s="30" t="str">
        <f>"－"</f>
        <v>－</v>
      </c>
      <c r="V91" s="30">
        <f>66362875</f>
        <v>66362875</v>
      </c>
      <c r="W91" s="30" t="str">
        <f>"－"</f>
        <v>－</v>
      </c>
      <c r="X91" s="34">
        <f>19</f>
        <v>19</v>
      </c>
    </row>
    <row r="92" spans="1:24" x14ac:dyDescent="0.15">
      <c r="A92" s="25" t="s">
        <v>1109</v>
      </c>
      <c r="B92" s="25" t="s">
        <v>255</v>
      </c>
      <c r="C92" s="25" t="s">
        <v>856</v>
      </c>
      <c r="D92" s="25" t="s">
        <v>857</v>
      </c>
      <c r="E92" s="26" t="s">
        <v>43</v>
      </c>
      <c r="F92" s="27" t="s">
        <v>43</v>
      </c>
      <c r="G92" s="28" t="s">
        <v>43</v>
      </c>
      <c r="H92" s="29"/>
      <c r="I92" s="29" t="s">
        <v>44</v>
      </c>
      <c r="J92" s="30">
        <v>1</v>
      </c>
      <c r="K92" s="31">
        <f>2548</f>
        <v>2548</v>
      </c>
      <c r="L92" s="32" t="s">
        <v>1110</v>
      </c>
      <c r="M92" s="31">
        <f>2923</f>
        <v>2923</v>
      </c>
      <c r="N92" s="32" t="s">
        <v>680</v>
      </c>
      <c r="O92" s="31">
        <f>2526</f>
        <v>2526</v>
      </c>
      <c r="P92" s="32" t="s">
        <v>1115</v>
      </c>
      <c r="Q92" s="31">
        <f>2830</f>
        <v>2830</v>
      </c>
      <c r="R92" s="32" t="s">
        <v>883</v>
      </c>
      <c r="S92" s="33">
        <f>2690.16</f>
        <v>2690.16</v>
      </c>
      <c r="T92" s="30">
        <f>2220916</f>
        <v>2220916</v>
      </c>
      <c r="U92" s="30">
        <f>72642</f>
        <v>72642</v>
      </c>
      <c r="V92" s="30">
        <f>6053983519</f>
        <v>6053983519</v>
      </c>
      <c r="W92" s="30">
        <f>202073433</f>
        <v>202073433</v>
      </c>
      <c r="X92" s="34">
        <f>19</f>
        <v>19</v>
      </c>
    </row>
    <row r="93" spans="1:24" x14ac:dyDescent="0.15">
      <c r="A93" s="25" t="s">
        <v>1109</v>
      </c>
      <c r="B93" s="25" t="s">
        <v>256</v>
      </c>
      <c r="C93" s="25" t="s">
        <v>257</v>
      </c>
      <c r="D93" s="25" t="s">
        <v>258</v>
      </c>
      <c r="E93" s="26" t="s">
        <v>43</v>
      </c>
      <c r="F93" s="27" t="s">
        <v>43</v>
      </c>
      <c r="G93" s="28" t="s">
        <v>43</v>
      </c>
      <c r="H93" s="29"/>
      <c r="I93" s="29" t="s">
        <v>44</v>
      </c>
      <c r="J93" s="30">
        <v>1</v>
      </c>
      <c r="K93" s="31">
        <f>48680</f>
        <v>48680</v>
      </c>
      <c r="L93" s="32" t="s">
        <v>1110</v>
      </c>
      <c r="M93" s="31">
        <f>49740</f>
        <v>49740</v>
      </c>
      <c r="N93" s="32" t="s">
        <v>874</v>
      </c>
      <c r="O93" s="31">
        <f>48530</f>
        <v>48530</v>
      </c>
      <c r="P93" s="32" t="s">
        <v>1110</v>
      </c>
      <c r="Q93" s="31">
        <f>49560</f>
        <v>49560</v>
      </c>
      <c r="R93" s="32" t="s">
        <v>883</v>
      </c>
      <c r="S93" s="33">
        <f>49274.74</f>
        <v>49274.74</v>
      </c>
      <c r="T93" s="30">
        <f>11949</f>
        <v>11949</v>
      </c>
      <c r="U93" s="30">
        <f>2583</f>
        <v>2583</v>
      </c>
      <c r="V93" s="30">
        <f>587553049</f>
        <v>587553049</v>
      </c>
      <c r="W93" s="30">
        <f>126221879</f>
        <v>126221879</v>
      </c>
      <c r="X93" s="34">
        <f>19</f>
        <v>19</v>
      </c>
    </row>
    <row r="94" spans="1:24" x14ac:dyDescent="0.15">
      <c r="A94" s="25" t="s">
        <v>1109</v>
      </c>
      <c r="B94" s="25" t="s">
        <v>259</v>
      </c>
      <c r="C94" s="25" t="s">
        <v>260</v>
      </c>
      <c r="D94" s="25" t="s">
        <v>261</v>
      </c>
      <c r="E94" s="26" t="s">
        <v>43</v>
      </c>
      <c r="F94" s="27" t="s">
        <v>43</v>
      </c>
      <c r="G94" s="28" t="s">
        <v>43</v>
      </c>
      <c r="H94" s="29"/>
      <c r="I94" s="29" t="s">
        <v>44</v>
      </c>
      <c r="J94" s="30">
        <v>10</v>
      </c>
      <c r="K94" s="31">
        <f>41630</f>
        <v>41630</v>
      </c>
      <c r="L94" s="32" t="s">
        <v>1110</v>
      </c>
      <c r="M94" s="31">
        <f>47000</f>
        <v>47000</v>
      </c>
      <c r="N94" s="32" t="s">
        <v>1111</v>
      </c>
      <c r="O94" s="31">
        <f>41450</f>
        <v>41450</v>
      </c>
      <c r="P94" s="32" t="s">
        <v>1110</v>
      </c>
      <c r="Q94" s="31">
        <f>46420</f>
        <v>46420</v>
      </c>
      <c r="R94" s="32" t="s">
        <v>883</v>
      </c>
      <c r="S94" s="33">
        <f>44105.26</f>
        <v>44105.26</v>
      </c>
      <c r="T94" s="30">
        <f>1718570</f>
        <v>1718570</v>
      </c>
      <c r="U94" s="30" t="str">
        <f>"－"</f>
        <v>－</v>
      </c>
      <c r="V94" s="30">
        <f>76129700000</f>
        <v>76129700000</v>
      </c>
      <c r="W94" s="30" t="str">
        <f>"－"</f>
        <v>－</v>
      </c>
      <c r="X94" s="34">
        <f>19</f>
        <v>19</v>
      </c>
    </row>
    <row r="95" spans="1:24" x14ac:dyDescent="0.15">
      <c r="A95" s="25" t="s">
        <v>1109</v>
      </c>
      <c r="B95" s="25" t="s">
        <v>262</v>
      </c>
      <c r="C95" s="25" t="s">
        <v>263</v>
      </c>
      <c r="D95" s="25" t="s">
        <v>264</v>
      </c>
      <c r="E95" s="26" t="s">
        <v>43</v>
      </c>
      <c r="F95" s="27" t="s">
        <v>43</v>
      </c>
      <c r="G95" s="28" t="s">
        <v>43</v>
      </c>
      <c r="H95" s="29"/>
      <c r="I95" s="29" t="s">
        <v>44</v>
      </c>
      <c r="J95" s="30">
        <v>10</v>
      </c>
      <c r="K95" s="31">
        <f>1461.5</f>
        <v>1461.5</v>
      </c>
      <c r="L95" s="32" t="s">
        <v>1110</v>
      </c>
      <c r="M95" s="31">
        <f>1461.5</f>
        <v>1461.5</v>
      </c>
      <c r="N95" s="32" t="s">
        <v>1110</v>
      </c>
      <c r="O95" s="31">
        <f>1370</f>
        <v>1370</v>
      </c>
      <c r="P95" s="32" t="s">
        <v>1111</v>
      </c>
      <c r="Q95" s="31">
        <f>1379.5</f>
        <v>1379.5</v>
      </c>
      <c r="R95" s="32" t="s">
        <v>883</v>
      </c>
      <c r="S95" s="33">
        <f>1417.95</f>
        <v>1417.95</v>
      </c>
      <c r="T95" s="30">
        <f>517470</f>
        <v>517470</v>
      </c>
      <c r="U95" s="30">
        <f>500</f>
        <v>500</v>
      </c>
      <c r="V95" s="30">
        <f>733881925</f>
        <v>733881925</v>
      </c>
      <c r="W95" s="30">
        <f>729000</f>
        <v>729000</v>
      </c>
      <c r="X95" s="34">
        <f>19</f>
        <v>19</v>
      </c>
    </row>
    <row r="96" spans="1:24" x14ac:dyDescent="0.15">
      <c r="A96" s="25" t="s">
        <v>1109</v>
      </c>
      <c r="B96" s="25" t="s">
        <v>265</v>
      </c>
      <c r="C96" s="25" t="s">
        <v>266</v>
      </c>
      <c r="D96" s="25" t="s">
        <v>267</v>
      </c>
      <c r="E96" s="26" t="s">
        <v>43</v>
      </c>
      <c r="F96" s="27" t="s">
        <v>43</v>
      </c>
      <c r="G96" s="28" t="s">
        <v>43</v>
      </c>
      <c r="H96" s="29"/>
      <c r="I96" s="29" t="s">
        <v>44</v>
      </c>
      <c r="J96" s="30">
        <v>1</v>
      </c>
      <c r="K96" s="31">
        <f>24295</f>
        <v>24295</v>
      </c>
      <c r="L96" s="32" t="s">
        <v>1110</v>
      </c>
      <c r="M96" s="31">
        <f>29125</f>
        <v>29125</v>
      </c>
      <c r="N96" s="32" t="s">
        <v>676</v>
      </c>
      <c r="O96" s="31">
        <f>24140</f>
        <v>24140</v>
      </c>
      <c r="P96" s="32" t="s">
        <v>1115</v>
      </c>
      <c r="Q96" s="31">
        <f>28805</f>
        <v>28805</v>
      </c>
      <c r="R96" s="32" t="s">
        <v>883</v>
      </c>
      <c r="S96" s="33">
        <f>26829.74</f>
        <v>26829.74</v>
      </c>
      <c r="T96" s="30">
        <f>114817558</f>
        <v>114817558</v>
      </c>
      <c r="U96" s="30">
        <f>1307159</f>
        <v>1307159</v>
      </c>
      <c r="V96" s="30">
        <f>3067926257038</f>
        <v>3067926257038</v>
      </c>
      <c r="W96" s="30">
        <f>34222025313</f>
        <v>34222025313</v>
      </c>
      <c r="X96" s="34">
        <f>19</f>
        <v>19</v>
      </c>
    </row>
    <row r="97" spans="1:24" x14ac:dyDescent="0.15">
      <c r="A97" s="25" t="s">
        <v>1109</v>
      </c>
      <c r="B97" s="25" t="s">
        <v>268</v>
      </c>
      <c r="C97" s="25" t="s">
        <v>269</v>
      </c>
      <c r="D97" s="25" t="s">
        <v>270</v>
      </c>
      <c r="E97" s="26" t="s">
        <v>43</v>
      </c>
      <c r="F97" s="27" t="s">
        <v>43</v>
      </c>
      <c r="G97" s="28" t="s">
        <v>43</v>
      </c>
      <c r="H97" s="29"/>
      <c r="I97" s="29" t="s">
        <v>44</v>
      </c>
      <c r="J97" s="30">
        <v>1</v>
      </c>
      <c r="K97" s="31">
        <f>688</f>
        <v>688</v>
      </c>
      <c r="L97" s="32" t="s">
        <v>1110</v>
      </c>
      <c r="M97" s="31">
        <f>690</f>
        <v>690</v>
      </c>
      <c r="N97" s="32" t="s">
        <v>1115</v>
      </c>
      <c r="O97" s="31">
        <f>626</f>
        <v>626</v>
      </c>
      <c r="P97" s="32" t="s">
        <v>676</v>
      </c>
      <c r="Q97" s="31">
        <f>630</f>
        <v>630</v>
      </c>
      <c r="R97" s="32" t="s">
        <v>883</v>
      </c>
      <c r="S97" s="33">
        <f>654.26</f>
        <v>654.26</v>
      </c>
      <c r="T97" s="30">
        <f>79857056</f>
        <v>79857056</v>
      </c>
      <c r="U97" s="30">
        <f>12030699</f>
        <v>12030699</v>
      </c>
      <c r="V97" s="30">
        <f>52136317752</f>
        <v>52136317752</v>
      </c>
      <c r="W97" s="30">
        <f>7756276086</f>
        <v>7756276086</v>
      </c>
      <c r="X97" s="34">
        <f>19</f>
        <v>19</v>
      </c>
    </row>
    <row r="98" spans="1:24" x14ac:dyDescent="0.15">
      <c r="A98" s="25" t="s">
        <v>1109</v>
      </c>
      <c r="B98" s="25" t="s">
        <v>271</v>
      </c>
      <c r="C98" s="25" t="s">
        <v>272</v>
      </c>
      <c r="D98" s="25" t="s">
        <v>273</v>
      </c>
      <c r="E98" s="26" t="s">
        <v>43</v>
      </c>
      <c r="F98" s="27" t="s">
        <v>43</v>
      </c>
      <c r="G98" s="28" t="s">
        <v>43</v>
      </c>
      <c r="H98" s="29"/>
      <c r="I98" s="29" t="s">
        <v>44</v>
      </c>
      <c r="J98" s="30">
        <v>10</v>
      </c>
      <c r="K98" s="31">
        <f>2875.5</f>
        <v>2875.5</v>
      </c>
      <c r="L98" s="32" t="s">
        <v>1110</v>
      </c>
      <c r="M98" s="31">
        <f>3615</f>
        <v>3615</v>
      </c>
      <c r="N98" s="32" t="s">
        <v>1114</v>
      </c>
      <c r="O98" s="31">
        <f>2800.5</f>
        <v>2800.5</v>
      </c>
      <c r="P98" s="32" t="s">
        <v>674</v>
      </c>
      <c r="Q98" s="31">
        <f>3406</f>
        <v>3406</v>
      </c>
      <c r="R98" s="32" t="s">
        <v>883</v>
      </c>
      <c r="S98" s="33">
        <f>3205.95</f>
        <v>3205.95</v>
      </c>
      <c r="T98" s="30">
        <f>967860</f>
        <v>967860</v>
      </c>
      <c r="U98" s="30">
        <f>20</f>
        <v>20</v>
      </c>
      <c r="V98" s="30">
        <f>3104900970</f>
        <v>3104900970</v>
      </c>
      <c r="W98" s="30">
        <f>62300</f>
        <v>62300</v>
      </c>
      <c r="X98" s="34">
        <f>19</f>
        <v>19</v>
      </c>
    </row>
    <row r="99" spans="1:24" x14ac:dyDescent="0.15">
      <c r="A99" s="25" t="s">
        <v>1109</v>
      </c>
      <c r="B99" s="25" t="s">
        <v>274</v>
      </c>
      <c r="C99" s="25" t="s">
        <v>275</v>
      </c>
      <c r="D99" s="25" t="s">
        <v>276</v>
      </c>
      <c r="E99" s="26" t="s">
        <v>43</v>
      </c>
      <c r="F99" s="27" t="s">
        <v>43</v>
      </c>
      <c r="G99" s="28" t="s">
        <v>43</v>
      </c>
      <c r="H99" s="29"/>
      <c r="I99" s="29" t="s">
        <v>44</v>
      </c>
      <c r="J99" s="30">
        <v>10</v>
      </c>
      <c r="K99" s="31">
        <f>14315</f>
        <v>14315</v>
      </c>
      <c r="L99" s="32" t="s">
        <v>1110</v>
      </c>
      <c r="M99" s="31">
        <f>14645</f>
        <v>14645</v>
      </c>
      <c r="N99" s="32" t="s">
        <v>674</v>
      </c>
      <c r="O99" s="31">
        <f>12890</f>
        <v>12890</v>
      </c>
      <c r="P99" s="32" t="s">
        <v>1114</v>
      </c>
      <c r="Q99" s="31">
        <f>13265</f>
        <v>13265</v>
      </c>
      <c r="R99" s="32" t="s">
        <v>883</v>
      </c>
      <c r="S99" s="33">
        <f>13723.68</f>
        <v>13723.68</v>
      </c>
      <c r="T99" s="30">
        <f>102890</f>
        <v>102890</v>
      </c>
      <c r="U99" s="30">
        <f>140</f>
        <v>140</v>
      </c>
      <c r="V99" s="30">
        <f>1421420500</f>
        <v>1421420500</v>
      </c>
      <c r="W99" s="30">
        <f>1977150</f>
        <v>1977150</v>
      </c>
      <c r="X99" s="34">
        <f>19</f>
        <v>19</v>
      </c>
    </row>
    <row r="100" spans="1:24" x14ac:dyDescent="0.15">
      <c r="A100" s="25" t="s">
        <v>1109</v>
      </c>
      <c r="B100" s="25" t="s">
        <v>277</v>
      </c>
      <c r="C100" s="25" t="s">
        <v>278</v>
      </c>
      <c r="D100" s="25" t="s">
        <v>972</v>
      </c>
      <c r="E100" s="26" t="s">
        <v>43</v>
      </c>
      <c r="F100" s="27" t="s">
        <v>43</v>
      </c>
      <c r="G100" s="28" t="s">
        <v>43</v>
      </c>
      <c r="H100" s="29"/>
      <c r="I100" s="29" t="s">
        <v>44</v>
      </c>
      <c r="J100" s="30">
        <v>1</v>
      </c>
      <c r="K100" s="31">
        <f>34530</f>
        <v>34530</v>
      </c>
      <c r="L100" s="32" t="s">
        <v>1110</v>
      </c>
      <c r="M100" s="31">
        <f>35880</f>
        <v>35880</v>
      </c>
      <c r="N100" s="32" t="s">
        <v>1111</v>
      </c>
      <c r="O100" s="31">
        <f>34070</f>
        <v>34070</v>
      </c>
      <c r="P100" s="32" t="s">
        <v>1115</v>
      </c>
      <c r="Q100" s="31">
        <f>35630</f>
        <v>35630</v>
      </c>
      <c r="R100" s="32" t="s">
        <v>883</v>
      </c>
      <c r="S100" s="33">
        <f>34884.74</f>
        <v>34884.74</v>
      </c>
      <c r="T100" s="30">
        <f>127963</f>
        <v>127963</v>
      </c>
      <c r="U100" s="30">
        <f>61773</f>
        <v>61773</v>
      </c>
      <c r="V100" s="30">
        <f>4460256396</f>
        <v>4460256396</v>
      </c>
      <c r="W100" s="30">
        <f>2157919526</f>
        <v>2157919526</v>
      </c>
      <c r="X100" s="34">
        <f>19</f>
        <v>19</v>
      </c>
    </row>
    <row r="101" spans="1:24" x14ac:dyDescent="0.15">
      <c r="A101" s="25" t="s">
        <v>1109</v>
      </c>
      <c r="B101" s="25" t="s">
        <v>279</v>
      </c>
      <c r="C101" s="25" t="s">
        <v>280</v>
      </c>
      <c r="D101" s="25" t="s">
        <v>281</v>
      </c>
      <c r="E101" s="26" t="s">
        <v>43</v>
      </c>
      <c r="F101" s="27" t="s">
        <v>43</v>
      </c>
      <c r="G101" s="28" t="s">
        <v>43</v>
      </c>
      <c r="H101" s="29"/>
      <c r="I101" s="29" t="s">
        <v>44</v>
      </c>
      <c r="J101" s="30">
        <v>1</v>
      </c>
      <c r="K101" s="31">
        <f>2865</f>
        <v>2865</v>
      </c>
      <c r="L101" s="32" t="s">
        <v>1110</v>
      </c>
      <c r="M101" s="31">
        <f>3140</f>
        <v>3140</v>
      </c>
      <c r="N101" s="32" t="s">
        <v>676</v>
      </c>
      <c r="O101" s="31">
        <f>2855</f>
        <v>2855</v>
      </c>
      <c r="P101" s="32" t="s">
        <v>1115</v>
      </c>
      <c r="Q101" s="31">
        <f>3125</f>
        <v>3125</v>
      </c>
      <c r="R101" s="32" t="s">
        <v>883</v>
      </c>
      <c r="S101" s="33">
        <f>3010.32</f>
        <v>3010.32</v>
      </c>
      <c r="T101" s="30">
        <f>120195</f>
        <v>120195</v>
      </c>
      <c r="U101" s="30">
        <f>4</f>
        <v>4</v>
      </c>
      <c r="V101" s="30">
        <f>363857543</f>
        <v>363857543</v>
      </c>
      <c r="W101" s="30">
        <f>12330</f>
        <v>12330</v>
      </c>
      <c r="X101" s="34">
        <f>19</f>
        <v>19</v>
      </c>
    </row>
    <row r="102" spans="1:24" x14ac:dyDescent="0.15">
      <c r="A102" s="25" t="s">
        <v>1109</v>
      </c>
      <c r="B102" s="25" t="s">
        <v>282</v>
      </c>
      <c r="C102" s="25" t="s">
        <v>283</v>
      </c>
      <c r="D102" s="25" t="s">
        <v>284</v>
      </c>
      <c r="E102" s="26" t="s">
        <v>43</v>
      </c>
      <c r="F102" s="27" t="s">
        <v>43</v>
      </c>
      <c r="G102" s="28" t="s">
        <v>43</v>
      </c>
      <c r="H102" s="29"/>
      <c r="I102" s="29" t="s">
        <v>44</v>
      </c>
      <c r="J102" s="30">
        <v>10</v>
      </c>
      <c r="K102" s="31">
        <f>25975</f>
        <v>25975</v>
      </c>
      <c r="L102" s="32" t="s">
        <v>1110</v>
      </c>
      <c r="M102" s="31">
        <f>31140</f>
        <v>31140</v>
      </c>
      <c r="N102" s="32" t="s">
        <v>676</v>
      </c>
      <c r="O102" s="31">
        <f>25810</f>
        <v>25810</v>
      </c>
      <c r="P102" s="32" t="s">
        <v>1115</v>
      </c>
      <c r="Q102" s="31">
        <f>30790</f>
        <v>30790</v>
      </c>
      <c r="R102" s="32" t="s">
        <v>883</v>
      </c>
      <c r="S102" s="33">
        <f>28689.74</f>
        <v>28689.74</v>
      </c>
      <c r="T102" s="30">
        <f>8883140</f>
        <v>8883140</v>
      </c>
      <c r="U102" s="30">
        <f>11060</f>
        <v>11060</v>
      </c>
      <c r="V102" s="30">
        <f>252681764730</f>
        <v>252681764730</v>
      </c>
      <c r="W102" s="30">
        <f>290976030</f>
        <v>290976030</v>
      </c>
      <c r="X102" s="34">
        <f>19</f>
        <v>19</v>
      </c>
    </row>
    <row r="103" spans="1:24" x14ac:dyDescent="0.15">
      <c r="A103" s="25" t="s">
        <v>1109</v>
      </c>
      <c r="B103" s="25" t="s">
        <v>285</v>
      </c>
      <c r="C103" s="25" t="s">
        <v>286</v>
      </c>
      <c r="D103" s="25" t="s">
        <v>287</v>
      </c>
      <c r="E103" s="26" t="s">
        <v>43</v>
      </c>
      <c r="F103" s="27" t="s">
        <v>43</v>
      </c>
      <c r="G103" s="28" t="s">
        <v>43</v>
      </c>
      <c r="H103" s="29"/>
      <c r="I103" s="29" t="s">
        <v>44</v>
      </c>
      <c r="J103" s="30">
        <v>10</v>
      </c>
      <c r="K103" s="31">
        <f>1827.5</f>
        <v>1827.5</v>
      </c>
      <c r="L103" s="32" t="s">
        <v>1110</v>
      </c>
      <c r="M103" s="31">
        <f>1832</f>
        <v>1832</v>
      </c>
      <c r="N103" s="32" t="s">
        <v>1115</v>
      </c>
      <c r="O103" s="31">
        <f>1661</f>
        <v>1661</v>
      </c>
      <c r="P103" s="32" t="s">
        <v>676</v>
      </c>
      <c r="Q103" s="31">
        <f>1669.5</f>
        <v>1669.5</v>
      </c>
      <c r="R103" s="32" t="s">
        <v>883</v>
      </c>
      <c r="S103" s="33">
        <f>1736.34</f>
        <v>1736.34</v>
      </c>
      <c r="T103" s="30">
        <f>2607140</f>
        <v>2607140</v>
      </c>
      <c r="U103" s="30">
        <f>240230</f>
        <v>240230</v>
      </c>
      <c r="V103" s="30">
        <f>4509588795</f>
        <v>4509588795</v>
      </c>
      <c r="W103" s="30">
        <f>413374745</f>
        <v>413374745</v>
      </c>
      <c r="X103" s="34">
        <f>19</f>
        <v>19</v>
      </c>
    </row>
    <row r="104" spans="1:24" x14ac:dyDescent="0.15">
      <c r="A104" s="25" t="s">
        <v>1109</v>
      </c>
      <c r="B104" s="25" t="s">
        <v>288</v>
      </c>
      <c r="C104" s="25" t="s">
        <v>922</v>
      </c>
      <c r="D104" s="25" t="s">
        <v>923</v>
      </c>
      <c r="E104" s="26" t="s">
        <v>43</v>
      </c>
      <c r="F104" s="27" t="s">
        <v>43</v>
      </c>
      <c r="G104" s="28" t="s">
        <v>43</v>
      </c>
      <c r="H104" s="29"/>
      <c r="I104" s="29" t="s">
        <v>44</v>
      </c>
      <c r="J104" s="30">
        <v>10</v>
      </c>
      <c r="K104" s="31">
        <f>1765.5</f>
        <v>1765.5</v>
      </c>
      <c r="L104" s="32" t="s">
        <v>1110</v>
      </c>
      <c r="M104" s="31">
        <f>1921</f>
        <v>1921</v>
      </c>
      <c r="N104" s="32" t="s">
        <v>875</v>
      </c>
      <c r="O104" s="31">
        <f>1765.5</f>
        <v>1765.5</v>
      </c>
      <c r="P104" s="32" t="s">
        <v>1110</v>
      </c>
      <c r="Q104" s="31">
        <f>1855.5</f>
        <v>1855.5</v>
      </c>
      <c r="R104" s="32" t="s">
        <v>883</v>
      </c>
      <c r="S104" s="33">
        <f>1816.58</f>
        <v>1816.58</v>
      </c>
      <c r="T104" s="30">
        <f>36290</f>
        <v>36290</v>
      </c>
      <c r="U104" s="30">
        <f>360</f>
        <v>360</v>
      </c>
      <c r="V104" s="30">
        <f>66238805</f>
        <v>66238805</v>
      </c>
      <c r="W104" s="30">
        <f>651380</f>
        <v>651380</v>
      </c>
      <c r="X104" s="34">
        <f>19</f>
        <v>19</v>
      </c>
    </row>
    <row r="105" spans="1:24" x14ac:dyDescent="0.15">
      <c r="A105" s="25" t="s">
        <v>1109</v>
      </c>
      <c r="B105" s="25" t="s">
        <v>289</v>
      </c>
      <c r="C105" s="25" t="s">
        <v>290</v>
      </c>
      <c r="D105" s="25" t="s">
        <v>291</v>
      </c>
      <c r="E105" s="26" t="s">
        <v>43</v>
      </c>
      <c r="F105" s="27" t="s">
        <v>43</v>
      </c>
      <c r="G105" s="28" t="s">
        <v>43</v>
      </c>
      <c r="H105" s="29"/>
      <c r="I105" s="29" t="s">
        <v>44</v>
      </c>
      <c r="J105" s="30">
        <v>1</v>
      </c>
      <c r="K105" s="31">
        <f>2049</f>
        <v>2049</v>
      </c>
      <c r="L105" s="32" t="s">
        <v>1110</v>
      </c>
      <c r="M105" s="31">
        <f>2423</f>
        <v>2423</v>
      </c>
      <c r="N105" s="32" t="s">
        <v>1116</v>
      </c>
      <c r="O105" s="31">
        <f>2001</f>
        <v>2001</v>
      </c>
      <c r="P105" s="32" t="s">
        <v>1116</v>
      </c>
      <c r="Q105" s="31">
        <f>2180</f>
        <v>2180</v>
      </c>
      <c r="R105" s="32" t="s">
        <v>883</v>
      </c>
      <c r="S105" s="33">
        <f>2140.11</f>
        <v>2140.11</v>
      </c>
      <c r="T105" s="30">
        <f>12505</f>
        <v>12505</v>
      </c>
      <c r="U105" s="30">
        <f>12</f>
        <v>12</v>
      </c>
      <c r="V105" s="30">
        <f>27154310</f>
        <v>27154310</v>
      </c>
      <c r="W105" s="30">
        <f>24739</f>
        <v>24739</v>
      </c>
      <c r="X105" s="34">
        <f>19</f>
        <v>19</v>
      </c>
    </row>
    <row r="106" spans="1:24" x14ac:dyDescent="0.15">
      <c r="A106" s="25" t="s">
        <v>1109</v>
      </c>
      <c r="B106" s="25" t="s">
        <v>292</v>
      </c>
      <c r="C106" s="25" t="s">
        <v>293</v>
      </c>
      <c r="D106" s="25" t="s">
        <v>294</v>
      </c>
      <c r="E106" s="26" t="s">
        <v>43</v>
      </c>
      <c r="F106" s="27" t="s">
        <v>43</v>
      </c>
      <c r="G106" s="28" t="s">
        <v>43</v>
      </c>
      <c r="H106" s="29"/>
      <c r="I106" s="29" t="s">
        <v>44</v>
      </c>
      <c r="J106" s="30">
        <v>1</v>
      </c>
      <c r="K106" s="31">
        <f>22995</f>
        <v>22995</v>
      </c>
      <c r="L106" s="32" t="s">
        <v>1110</v>
      </c>
      <c r="M106" s="31">
        <f>24450</f>
        <v>24450</v>
      </c>
      <c r="N106" s="32" t="s">
        <v>1111</v>
      </c>
      <c r="O106" s="31">
        <f>22920</f>
        <v>22920</v>
      </c>
      <c r="P106" s="32" t="s">
        <v>1115</v>
      </c>
      <c r="Q106" s="31">
        <f>24255</f>
        <v>24255</v>
      </c>
      <c r="R106" s="32" t="s">
        <v>883</v>
      </c>
      <c r="S106" s="33">
        <f>23650.26</f>
        <v>23650.26</v>
      </c>
      <c r="T106" s="30">
        <f>107887</f>
        <v>107887</v>
      </c>
      <c r="U106" s="30">
        <f>60800</f>
        <v>60800</v>
      </c>
      <c r="V106" s="30">
        <f>2560715520</f>
        <v>2560715520</v>
      </c>
      <c r="W106" s="30">
        <f>1454092580</f>
        <v>1454092580</v>
      </c>
      <c r="X106" s="34">
        <f>19</f>
        <v>19</v>
      </c>
    </row>
    <row r="107" spans="1:24" x14ac:dyDescent="0.15">
      <c r="A107" s="25" t="s">
        <v>1109</v>
      </c>
      <c r="B107" s="25" t="s">
        <v>295</v>
      </c>
      <c r="C107" s="25" t="s">
        <v>296</v>
      </c>
      <c r="D107" s="25" t="s">
        <v>297</v>
      </c>
      <c r="E107" s="26" t="s">
        <v>43</v>
      </c>
      <c r="F107" s="27" t="s">
        <v>43</v>
      </c>
      <c r="G107" s="28" t="s">
        <v>43</v>
      </c>
      <c r="H107" s="29"/>
      <c r="I107" s="29" t="s">
        <v>44</v>
      </c>
      <c r="J107" s="30">
        <v>1</v>
      </c>
      <c r="K107" s="31">
        <f>2101</f>
        <v>2101</v>
      </c>
      <c r="L107" s="32" t="s">
        <v>1110</v>
      </c>
      <c r="M107" s="31">
        <f>2233</f>
        <v>2233</v>
      </c>
      <c r="N107" s="32" t="s">
        <v>1111</v>
      </c>
      <c r="O107" s="31">
        <f>2096</f>
        <v>2096</v>
      </c>
      <c r="P107" s="32" t="s">
        <v>1110</v>
      </c>
      <c r="Q107" s="31">
        <f>2223</f>
        <v>2223</v>
      </c>
      <c r="R107" s="32" t="s">
        <v>883</v>
      </c>
      <c r="S107" s="33">
        <f>2161.37</f>
        <v>2161.37</v>
      </c>
      <c r="T107" s="30">
        <f>64938</f>
        <v>64938</v>
      </c>
      <c r="U107" s="30" t="str">
        <f>"－"</f>
        <v>－</v>
      </c>
      <c r="V107" s="30">
        <f>140618251</f>
        <v>140618251</v>
      </c>
      <c r="W107" s="30" t="str">
        <f>"－"</f>
        <v>－</v>
      </c>
      <c r="X107" s="34">
        <f>19</f>
        <v>19</v>
      </c>
    </row>
    <row r="108" spans="1:24" x14ac:dyDescent="0.15">
      <c r="A108" s="25" t="s">
        <v>1109</v>
      </c>
      <c r="B108" s="25" t="s">
        <v>298</v>
      </c>
      <c r="C108" s="25" t="s">
        <v>299</v>
      </c>
      <c r="D108" s="25" t="s">
        <v>300</v>
      </c>
      <c r="E108" s="26" t="s">
        <v>43</v>
      </c>
      <c r="F108" s="27" t="s">
        <v>43</v>
      </c>
      <c r="G108" s="28" t="s">
        <v>43</v>
      </c>
      <c r="H108" s="29"/>
      <c r="I108" s="29" t="s">
        <v>44</v>
      </c>
      <c r="J108" s="30">
        <v>1</v>
      </c>
      <c r="K108" s="31">
        <f>23500</f>
        <v>23500</v>
      </c>
      <c r="L108" s="32" t="s">
        <v>1110</v>
      </c>
      <c r="M108" s="31">
        <f>24950</f>
        <v>24950</v>
      </c>
      <c r="N108" s="32" t="s">
        <v>1111</v>
      </c>
      <c r="O108" s="31">
        <f>23430</f>
        <v>23430</v>
      </c>
      <c r="P108" s="32" t="s">
        <v>1115</v>
      </c>
      <c r="Q108" s="31">
        <f>24825</f>
        <v>24825</v>
      </c>
      <c r="R108" s="32" t="s">
        <v>883</v>
      </c>
      <c r="S108" s="33">
        <f>24154.47</f>
        <v>24154.47</v>
      </c>
      <c r="T108" s="30">
        <f>34783</f>
        <v>34783</v>
      </c>
      <c r="U108" s="30">
        <f>5820</f>
        <v>5820</v>
      </c>
      <c r="V108" s="30">
        <f>837326367</f>
        <v>837326367</v>
      </c>
      <c r="W108" s="30">
        <f>137283402</f>
        <v>137283402</v>
      </c>
      <c r="X108" s="34">
        <f>19</f>
        <v>19</v>
      </c>
    </row>
    <row r="109" spans="1:24" x14ac:dyDescent="0.15">
      <c r="A109" s="25" t="s">
        <v>1109</v>
      </c>
      <c r="B109" s="25" t="s">
        <v>301</v>
      </c>
      <c r="C109" s="25" t="s">
        <v>302</v>
      </c>
      <c r="D109" s="25" t="s">
        <v>303</v>
      </c>
      <c r="E109" s="26" t="s">
        <v>43</v>
      </c>
      <c r="F109" s="27" t="s">
        <v>43</v>
      </c>
      <c r="G109" s="28" t="s">
        <v>43</v>
      </c>
      <c r="H109" s="29"/>
      <c r="I109" s="29" t="s">
        <v>44</v>
      </c>
      <c r="J109" s="30">
        <v>10</v>
      </c>
      <c r="K109" s="31">
        <f>1847</f>
        <v>1847</v>
      </c>
      <c r="L109" s="32" t="s">
        <v>1110</v>
      </c>
      <c r="M109" s="31">
        <f>1847.5</f>
        <v>1847.5</v>
      </c>
      <c r="N109" s="32" t="s">
        <v>674</v>
      </c>
      <c r="O109" s="31">
        <f>1718.5</f>
        <v>1718.5</v>
      </c>
      <c r="P109" s="32" t="s">
        <v>874</v>
      </c>
      <c r="Q109" s="31">
        <f>1748.5</f>
        <v>1748.5</v>
      </c>
      <c r="R109" s="32" t="s">
        <v>883</v>
      </c>
      <c r="S109" s="33">
        <f>1777.87</f>
        <v>1777.87</v>
      </c>
      <c r="T109" s="30">
        <f>3055920</f>
        <v>3055920</v>
      </c>
      <c r="U109" s="30">
        <f>673340</f>
        <v>673340</v>
      </c>
      <c r="V109" s="30">
        <f>5396233087</f>
        <v>5396233087</v>
      </c>
      <c r="W109" s="30">
        <f>1181733047</f>
        <v>1181733047</v>
      </c>
      <c r="X109" s="34">
        <f>19</f>
        <v>19</v>
      </c>
    </row>
    <row r="110" spans="1:24" x14ac:dyDescent="0.15">
      <c r="A110" s="25" t="s">
        <v>1109</v>
      </c>
      <c r="B110" s="25" t="s">
        <v>304</v>
      </c>
      <c r="C110" s="25" t="s">
        <v>305</v>
      </c>
      <c r="D110" s="25" t="s">
        <v>306</v>
      </c>
      <c r="E110" s="26" t="s">
        <v>43</v>
      </c>
      <c r="F110" s="27" t="s">
        <v>43</v>
      </c>
      <c r="G110" s="28" t="s">
        <v>43</v>
      </c>
      <c r="H110" s="29"/>
      <c r="I110" s="29" t="s">
        <v>44</v>
      </c>
      <c r="J110" s="30">
        <v>10</v>
      </c>
      <c r="K110" s="31">
        <f>2128</f>
        <v>2128</v>
      </c>
      <c r="L110" s="32" t="s">
        <v>876</v>
      </c>
      <c r="M110" s="31">
        <f>2263</f>
        <v>2263</v>
      </c>
      <c r="N110" s="32" t="s">
        <v>676</v>
      </c>
      <c r="O110" s="31">
        <f>2128</f>
        <v>2128</v>
      </c>
      <c r="P110" s="32" t="s">
        <v>876</v>
      </c>
      <c r="Q110" s="31">
        <f>2238</f>
        <v>2238</v>
      </c>
      <c r="R110" s="32" t="s">
        <v>1111</v>
      </c>
      <c r="S110" s="33">
        <f>2187.4</f>
        <v>2187.4</v>
      </c>
      <c r="T110" s="30">
        <f>200</f>
        <v>200</v>
      </c>
      <c r="U110" s="30" t="str">
        <f>"－"</f>
        <v>－</v>
      </c>
      <c r="V110" s="30">
        <f>441170</f>
        <v>441170</v>
      </c>
      <c r="W110" s="30" t="str">
        <f>"－"</f>
        <v>－</v>
      </c>
      <c r="X110" s="34">
        <f>5</f>
        <v>5</v>
      </c>
    </row>
    <row r="111" spans="1:24" x14ac:dyDescent="0.15">
      <c r="A111" s="25" t="s">
        <v>1109</v>
      </c>
      <c r="B111" s="25" t="s">
        <v>307</v>
      </c>
      <c r="C111" s="25" t="s">
        <v>308</v>
      </c>
      <c r="D111" s="25" t="s">
        <v>309</v>
      </c>
      <c r="E111" s="26" t="s">
        <v>43</v>
      </c>
      <c r="F111" s="27" t="s">
        <v>43</v>
      </c>
      <c r="G111" s="28" t="s">
        <v>43</v>
      </c>
      <c r="H111" s="29"/>
      <c r="I111" s="29" t="s">
        <v>44</v>
      </c>
      <c r="J111" s="30">
        <v>10</v>
      </c>
      <c r="K111" s="31">
        <f>1864.5</f>
        <v>1864.5</v>
      </c>
      <c r="L111" s="32" t="s">
        <v>1110</v>
      </c>
      <c r="M111" s="31">
        <f>1920</f>
        <v>1920</v>
      </c>
      <c r="N111" s="32" t="s">
        <v>674</v>
      </c>
      <c r="O111" s="31">
        <f>1737</f>
        <v>1737</v>
      </c>
      <c r="P111" s="32" t="s">
        <v>874</v>
      </c>
      <c r="Q111" s="31">
        <f>1770.5</f>
        <v>1770.5</v>
      </c>
      <c r="R111" s="32" t="s">
        <v>883</v>
      </c>
      <c r="S111" s="33">
        <f>1803.18</f>
        <v>1803.18</v>
      </c>
      <c r="T111" s="30">
        <f>2937240</f>
        <v>2937240</v>
      </c>
      <c r="U111" s="30">
        <f>937720</f>
        <v>937720</v>
      </c>
      <c r="V111" s="30">
        <f>5303072952</f>
        <v>5303072952</v>
      </c>
      <c r="W111" s="30">
        <f>1696091847</f>
        <v>1696091847</v>
      </c>
      <c r="X111" s="34">
        <f>19</f>
        <v>19</v>
      </c>
    </row>
    <row r="112" spans="1:24" x14ac:dyDescent="0.15">
      <c r="A112" s="25" t="s">
        <v>1109</v>
      </c>
      <c r="B112" s="25" t="s">
        <v>310</v>
      </c>
      <c r="C112" s="25" t="s">
        <v>924</v>
      </c>
      <c r="D112" s="25" t="s">
        <v>925</v>
      </c>
      <c r="E112" s="26" t="s">
        <v>43</v>
      </c>
      <c r="F112" s="27" t="s">
        <v>43</v>
      </c>
      <c r="G112" s="28" t="s">
        <v>43</v>
      </c>
      <c r="H112" s="29"/>
      <c r="I112" s="29" t="s">
        <v>44</v>
      </c>
      <c r="J112" s="30">
        <v>1</v>
      </c>
      <c r="K112" s="31">
        <f>23240</f>
        <v>23240</v>
      </c>
      <c r="L112" s="32" t="s">
        <v>1110</v>
      </c>
      <c r="M112" s="31">
        <f>24630</f>
        <v>24630</v>
      </c>
      <c r="N112" s="32" t="s">
        <v>676</v>
      </c>
      <c r="O112" s="31">
        <f>23215</f>
        <v>23215</v>
      </c>
      <c r="P112" s="32" t="s">
        <v>1115</v>
      </c>
      <c r="Q112" s="31">
        <f>24400</f>
        <v>24400</v>
      </c>
      <c r="R112" s="32" t="s">
        <v>883</v>
      </c>
      <c r="S112" s="33">
        <f>23865.79</f>
        <v>23865.79</v>
      </c>
      <c r="T112" s="30">
        <f>64073</f>
        <v>64073</v>
      </c>
      <c r="U112" s="30">
        <f>2100</f>
        <v>2100</v>
      </c>
      <c r="V112" s="30">
        <f>1546840295</f>
        <v>1546840295</v>
      </c>
      <c r="W112" s="30">
        <f>49770210</f>
        <v>49770210</v>
      </c>
      <c r="X112" s="34">
        <f>19</f>
        <v>19</v>
      </c>
    </row>
    <row r="113" spans="1:24" x14ac:dyDescent="0.15">
      <c r="A113" s="25" t="s">
        <v>1109</v>
      </c>
      <c r="B113" s="25" t="s">
        <v>311</v>
      </c>
      <c r="C113" s="25" t="s">
        <v>312</v>
      </c>
      <c r="D113" s="25" t="s">
        <v>313</v>
      </c>
      <c r="E113" s="26" t="s">
        <v>43</v>
      </c>
      <c r="F113" s="27" t="s">
        <v>43</v>
      </c>
      <c r="G113" s="28" t="s">
        <v>43</v>
      </c>
      <c r="H113" s="29"/>
      <c r="I113" s="29" t="s">
        <v>44</v>
      </c>
      <c r="J113" s="30">
        <v>100</v>
      </c>
      <c r="K113" s="31">
        <f>288.6</f>
        <v>288.60000000000002</v>
      </c>
      <c r="L113" s="32" t="s">
        <v>1110</v>
      </c>
      <c r="M113" s="31">
        <f>315.8</f>
        <v>315.8</v>
      </c>
      <c r="N113" s="32" t="s">
        <v>1114</v>
      </c>
      <c r="O113" s="31">
        <f>283.6</f>
        <v>283.60000000000002</v>
      </c>
      <c r="P113" s="32" t="s">
        <v>876</v>
      </c>
      <c r="Q113" s="31">
        <f>312.8</f>
        <v>312.8</v>
      </c>
      <c r="R113" s="32" t="s">
        <v>883</v>
      </c>
      <c r="S113" s="33">
        <f>297.45</f>
        <v>297.45</v>
      </c>
      <c r="T113" s="30">
        <f>83328800</f>
        <v>83328800</v>
      </c>
      <c r="U113" s="30">
        <f>11992200</f>
        <v>11992200</v>
      </c>
      <c r="V113" s="30">
        <f>25002218142</f>
        <v>25002218142</v>
      </c>
      <c r="W113" s="30">
        <f>3689629062</f>
        <v>3689629062</v>
      </c>
      <c r="X113" s="34">
        <f>19</f>
        <v>19</v>
      </c>
    </row>
    <row r="114" spans="1:24" x14ac:dyDescent="0.15">
      <c r="A114" s="25" t="s">
        <v>1109</v>
      </c>
      <c r="B114" s="25" t="s">
        <v>314</v>
      </c>
      <c r="C114" s="25" t="s">
        <v>315</v>
      </c>
      <c r="D114" s="25" t="s">
        <v>316</v>
      </c>
      <c r="E114" s="26" t="s">
        <v>43</v>
      </c>
      <c r="F114" s="27" t="s">
        <v>43</v>
      </c>
      <c r="G114" s="28" t="s">
        <v>43</v>
      </c>
      <c r="H114" s="29"/>
      <c r="I114" s="29" t="s">
        <v>44</v>
      </c>
      <c r="J114" s="30">
        <v>1</v>
      </c>
      <c r="K114" s="31">
        <f>37250</f>
        <v>37250</v>
      </c>
      <c r="L114" s="32" t="s">
        <v>1110</v>
      </c>
      <c r="M114" s="31">
        <f>38310</f>
        <v>38310</v>
      </c>
      <c r="N114" s="32" t="s">
        <v>1111</v>
      </c>
      <c r="O114" s="31">
        <f>36750</f>
        <v>36750</v>
      </c>
      <c r="P114" s="32" t="s">
        <v>875</v>
      </c>
      <c r="Q114" s="31">
        <f>36980</f>
        <v>36980</v>
      </c>
      <c r="R114" s="32" t="s">
        <v>883</v>
      </c>
      <c r="S114" s="33">
        <f>37355.26</f>
        <v>37355.26</v>
      </c>
      <c r="T114" s="30">
        <f>5038</f>
        <v>5038</v>
      </c>
      <c r="U114" s="30">
        <f>3000</f>
        <v>3000</v>
      </c>
      <c r="V114" s="30">
        <f>186718160</f>
        <v>186718160</v>
      </c>
      <c r="W114" s="30">
        <f>110636100</f>
        <v>110636100</v>
      </c>
      <c r="X114" s="34">
        <f>19</f>
        <v>19</v>
      </c>
    </row>
    <row r="115" spans="1:24" x14ac:dyDescent="0.15">
      <c r="A115" s="25" t="s">
        <v>1109</v>
      </c>
      <c r="B115" s="25" t="s">
        <v>317</v>
      </c>
      <c r="C115" s="25" t="s">
        <v>318</v>
      </c>
      <c r="D115" s="25" t="s">
        <v>319</v>
      </c>
      <c r="E115" s="26" t="s">
        <v>43</v>
      </c>
      <c r="F115" s="27" t="s">
        <v>43</v>
      </c>
      <c r="G115" s="28" t="s">
        <v>43</v>
      </c>
      <c r="H115" s="29"/>
      <c r="I115" s="29" t="s">
        <v>44</v>
      </c>
      <c r="J115" s="30">
        <v>1</v>
      </c>
      <c r="K115" s="31">
        <f>18450</f>
        <v>18450</v>
      </c>
      <c r="L115" s="32" t="s">
        <v>1110</v>
      </c>
      <c r="M115" s="31">
        <f>19795</f>
        <v>19795</v>
      </c>
      <c r="N115" s="32" t="s">
        <v>883</v>
      </c>
      <c r="O115" s="31">
        <f>18180</f>
        <v>18180</v>
      </c>
      <c r="P115" s="32" t="s">
        <v>1124</v>
      </c>
      <c r="Q115" s="31">
        <f>19575</f>
        <v>19575</v>
      </c>
      <c r="R115" s="32" t="s">
        <v>883</v>
      </c>
      <c r="S115" s="33">
        <f>18953.42</f>
        <v>18953.419999999998</v>
      </c>
      <c r="T115" s="30">
        <f>6442</f>
        <v>6442</v>
      </c>
      <c r="U115" s="30">
        <f>2</f>
        <v>2</v>
      </c>
      <c r="V115" s="30">
        <f>122733465</f>
        <v>122733465</v>
      </c>
      <c r="W115" s="30">
        <f>37160</f>
        <v>37160</v>
      </c>
      <c r="X115" s="34">
        <f>19</f>
        <v>19</v>
      </c>
    </row>
    <row r="116" spans="1:24" x14ac:dyDescent="0.15">
      <c r="A116" s="25" t="s">
        <v>1109</v>
      </c>
      <c r="B116" s="25" t="s">
        <v>320</v>
      </c>
      <c r="C116" s="25" t="s">
        <v>321</v>
      </c>
      <c r="D116" s="25" t="s">
        <v>322</v>
      </c>
      <c r="E116" s="26" t="s">
        <v>43</v>
      </c>
      <c r="F116" s="27" t="s">
        <v>43</v>
      </c>
      <c r="G116" s="28" t="s">
        <v>43</v>
      </c>
      <c r="H116" s="29"/>
      <c r="I116" s="29" t="s">
        <v>44</v>
      </c>
      <c r="J116" s="30">
        <v>1</v>
      </c>
      <c r="K116" s="31">
        <f>28270</f>
        <v>28270</v>
      </c>
      <c r="L116" s="32" t="s">
        <v>1110</v>
      </c>
      <c r="M116" s="31">
        <f>29165</f>
        <v>29165</v>
      </c>
      <c r="N116" s="32" t="s">
        <v>676</v>
      </c>
      <c r="O116" s="31">
        <f>27945</f>
        <v>27945</v>
      </c>
      <c r="P116" s="32" t="s">
        <v>875</v>
      </c>
      <c r="Q116" s="31">
        <f>28985</f>
        <v>28985</v>
      </c>
      <c r="R116" s="32" t="s">
        <v>883</v>
      </c>
      <c r="S116" s="33">
        <f>28580</f>
        <v>28580</v>
      </c>
      <c r="T116" s="30">
        <f>4315</f>
        <v>4315</v>
      </c>
      <c r="U116" s="30" t="str">
        <f>"－"</f>
        <v>－</v>
      </c>
      <c r="V116" s="30">
        <f>123343920</f>
        <v>123343920</v>
      </c>
      <c r="W116" s="30" t="str">
        <f>"－"</f>
        <v>－</v>
      </c>
      <c r="X116" s="34">
        <f>19</f>
        <v>19</v>
      </c>
    </row>
    <row r="117" spans="1:24" x14ac:dyDescent="0.15">
      <c r="A117" s="25" t="s">
        <v>1109</v>
      </c>
      <c r="B117" s="25" t="s">
        <v>323</v>
      </c>
      <c r="C117" s="25" t="s">
        <v>324</v>
      </c>
      <c r="D117" s="25" t="s">
        <v>325</v>
      </c>
      <c r="E117" s="26" t="s">
        <v>43</v>
      </c>
      <c r="F117" s="27" t="s">
        <v>43</v>
      </c>
      <c r="G117" s="28" t="s">
        <v>43</v>
      </c>
      <c r="H117" s="29"/>
      <c r="I117" s="29" t="s">
        <v>44</v>
      </c>
      <c r="J117" s="30">
        <v>1</v>
      </c>
      <c r="K117" s="31">
        <f>29530</f>
        <v>29530</v>
      </c>
      <c r="L117" s="32" t="s">
        <v>1110</v>
      </c>
      <c r="M117" s="31">
        <f>30790</f>
        <v>30790</v>
      </c>
      <c r="N117" s="32" t="s">
        <v>1111</v>
      </c>
      <c r="O117" s="31">
        <f>29330</f>
        <v>29330</v>
      </c>
      <c r="P117" s="32" t="s">
        <v>876</v>
      </c>
      <c r="Q117" s="31">
        <f>30370</f>
        <v>30370</v>
      </c>
      <c r="R117" s="32" t="s">
        <v>883</v>
      </c>
      <c r="S117" s="33">
        <f>29946.32</f>
        <v>29946.32</v>
      </c>
      <c r="T117" s="30">
        <f>2956</f>
        <v>2956</v>
      </c>
      <c r="U117" s="30" t="str">
        <f>"－"</f>
        <v>－</v>
      </c>
      <c r="V117" s="30">
        <f>88502970</f>
        <v>88502970</v>
      </c>
      <c r="W117" s="30" t="str">
        <f>"－"</f>
        <v>－</v>
      </c>
      <c r="X117" s="34">
        <f>19</f>
        <v>19</v>
      </c>
    </row>
    <row r="118" spans="1:24" x14ac:dyDescent="0.15">
      <c r="A118" s="25" t="s">
        <v>1109</v>
      </c>
      <c r="B118" s="25" t="s">
        <v>326</v>
      </c>
      <c r="C118" s="25" t="s">
        <v>327</v>
      </c>
      <c r="D118" s="25" t="s">
        <v>328</v>
      </c>
      <c r="E118" s="26" t="s">
        <v>43</v>
      </c>
      <c r="F118" s="27" t="s">
        <v>43</v>
      </c>
      <c r="G118" s="28" t="s">
        <v>43</v>
      </c>
      <c r="H118" s="29"/>
      <c r="I118" s="29" t="s">
        <v>44</v>
      </c>
      <c r="J118" s="30">
        <v>1</v>
      </c>
      <c r="K118" s="31">
        <f>27065</f>
        <v>27065</v>
      </c>
      <c r="L118" s="32" t="s">
        <v>1110</v>
      </c>
      <c r="M118" s="31">
        <f>28720</f>
        <v>28720</v>
      </c>
      <c r="N118" s="32" t="s">
        <v>1114</v>
      </c>
      <c r="O118" s="31">
        <f>26410</f>
        <v>26410</v>
      </c>
      <c r="P118" s="32" t="s">
        <v>1115</v>
      </c>
      <c r="Q118" s="31">
        <f>28280</f>
        <v>28280</v>
      </c>
      <c r="R118" s="32" t="s">
        <v>883</v>
      </c>
      <c r="S118" s="33">
        <f>27558.68</f>
        <v>27558.68</v>
      </c>
      <c r="T118" s="30">
        <f>9508</f>
        <v>9508</v>
      </c>
      <c r="U118" s="30">
        <f>3</f>
        <v>3</v>
      </c>
      <c r="V118" s="30">
        <f>262242630</f>
        <v>262242630</v>
      </c>
      <c r="W118" s="30">
        <f>82140</f>
        <v>82140</v>
      </c>
      <c r="X118" s="34">
        <f>19</f>
        <v>19</v>
      </c>
    </row>
    <row r="119" spans="1:24" x14ac:dyDescent="0.15">
      <c r="A119" s="25" t="s">
        <v>1109</v>
      </c>
      <c r="B119" s="25" t="s">
        <v>329</v>
      </c>
      <c r="C119" s="25" t="s">
        <v>330</v>
      </c>
      <c r="D119" s="25" t="s">
        <v>331</v>
      </c>
      <c r="E119" s="26" t="s">
        <v>43</v>
      </c>
      <c r="F119" s="27" t="s">
        <v>43</v>
      </c>
      <c r="G119" s="28" t="s">
        <v>43</v>
      </c>
      <c r="H119" s="29"/>
      <c r="I119" s="29" t="s">
        <v>44</v>
      </c>
      <c r="J119" s="30">
        <v>1</v>
      </c>
      <c r="K119" s="31">
        <f>31750</f>
        <v>31750</v>
      </c>
      <c r="L119" s="32" t="s">
        <v>1110</v>
      </c>
      <c r="M119" s="31">
        <f>36650</f>
        <v>36650</v>
      </c>
      <c r="N119" s="32" t="s">
        <v>1111</v>
      </c>
      <c r="O119" s="31">
        <f>31670</f>
        <v>31670</v>
      </c>
      <c r="P119" s="32" t="s">
        <v>1110</v>
      </c>
      <c r="Q119" s="31">
        <f>36560</f>
        <v>36560</v>
      </c>
      <c r="R119" s="32" t="s">
        <v>883</v>
      </c>
      <c r="S119" s="33">
        <f>34725.26</f>
        <v>34725.26</v>
      </c>
      <c r="T119" s="30">
        <f>28969</f>
        <v>28969</v>
      </c>
      <c r="U119" s="30">
        <f>14000</f>
        <v>14000</v>
      </c>
      <c r="V119" s="30">
        <f>1009845600</f>
        <v>1009845600</v>
      </c>
      <c r="W119" s="30">
        <f>491646400</f>
        <v>491646400</v>
      </c>
      <c r="X119" s="34">
        <f>19</f>
        <v>19</v>
      </c>
    </row>
    <row r="120" spans="1:24" x14ac:dyDescent="0.15">
      <c r="A120" s="25" t="s">
        <v>1109</v>
      </c>
      <c r="B120" s="25" t="s">
        <v>332</v>
      </c>
      <c r="C120" s="25" t="s">
        <v>333</v>
      </c>
      <c r="D120" s="25" t="s">
        <v>334</v>
      </c>
      <c r="E120" s="26" t="s">
        <v>43</v>
      </c>
      <c r="F120" s="27" t="s">
        <v>43</v>
      </c>
      <c r="G120" s="28" t="s">
        <v>43</v>
      </c>
      <c r="H120" s="29"/>
      <c r="I120" s="29" t="s">
        <v>44</v>
      </c>
      <c r="J120" s="30">
        <v>1</v>
      </c>
      <c r="K120" s="31">
        <f>24680</f>
        <v>24680</v>
      </c>
      <c r="L120" s="32" t="s">
        <v>1110</v>
      </c>
      <c r="M120" s="31">
        <f>26610</f>
        <v>26610</v>
      </c>
      <c r="N120" s="32" t="s">
        <v>1114</v>
      </c>
      <c r="O120" s="31">
        <f>24405</f>
        <v>24405</v>
      </c>
      <c r="P120" s="32" t="s">
        <v>875</v>
      </c>
      <c r="Q120" s="31">
        <f>25920</f>
        <v>25920</v>
      </c>
      <c r="R120" s="32" t="s">
        <v>883</v>
      </c>
      <c r="S120" s="33">
        <f>25247.11</f>
        <v>25247.11</v>
      </c>
      <c r="T120" s="30">
        <f>7730</f>
        <v>7730</v>
      </c>
      <c r="U120" s="30" t="str">
        <f>"－"</f>
        <v>－</v>
      </c>
      <c r="V120" s="30">
        <f>196115595</f>
        <v>196115595</v>
      </c>
      <c r="W120" s="30" t="str">
        <f>"－"</f>
        <v>－</v>
      </c>
      <c r="X120" s="34">
        <f>19</f>
        <v>19</v>
      </c>
    </row>
    <row r="121" spans="1:24" x14ac:dyDescent="0.15">
      <c r="A121" s="25" t="s">
        <v>1109</v>
      </c>
      <c r="B121" s="25" t="s">
        <v>335</v>
      </c>
      <c r="C121" s="25" t="s">
        <v>336</v>
      </c>
      <c r="D121" s="25" t="s">
        <v>337</v>
      </c>
      <c r="E121" s="26" t="s">
        <v>43</v>
      </c>
      <c r="F121" s="27" t="s">
        <v>43</v>
      </c>
      <c r="G121" s="28" t="s">
        <v>43</v>
      </c>
      <c r="H121" s="29"/>
      <c r="I121" s="29" t="s">
        <v>44</v>
      </c>
      <c r="J121" s="30">
        <v>1</v>
      </c>
      <c r="K121" s="31">
        <f>52100</f>
        <v>52100</v>
      </c>
      <c r="L121" s="32" t="s">
        <v>1110</v>
      </c>
      <c r="M121" s="31">
        <f>56080</f>
        <v>56080</v>
      </c>
      <c r="N121" s="32" t="s">
        <v>1114</v>
      </c>
      <c r="O121" s="31">
        <f>51430</f>
        <v>51430</v>
      </c>
      <c r="P121" s="32" t="s">
        <v>1115</v>
      </c>
      <c r="Q121" s="31">
        <f>56020</f>
        <v>56020</v>
      </c>
      <c r="R121" s="32" t="s">
        <v>883</v>
      </c>
      <c r="S121" s="33">
        <f>53608.95</f>
        <v>53608.95</v>
      </c>
      <c r="T121" s="30">
        <f>3417</f>
        <v>3417</v>
      </c>
      <c r="U121" s="30">
        <f>1900</f>
        <v>1900</v>
      </c>
      <c r="V121" s="30">
        <f>179483420</f>
        <v>179483420</v>
      </c>
      <c r="W121" s="30">
        <f>98477950</f>
        <v>98477950</v>
      </c>
      <c r="X121" s="34">
        <f>19</f>
        <v>19</v>
      </c>
    </row>
    <row r="122" spans="1:24" x14ac:dyDescent="0.15">
      <c r="A122" s="25" t="s">
        <v>1109</v>
      </c>
      <c r="B122" s="25" t="s">
        <v>338</v>
      </c>
      <c r="C122" s="25" t="s">
        <v>339</v>
      </c>
      <c r="D122" s="25" t="s">
        <v>340</v>
      </c>
      <c r="E122" s="26" t="s">
        <v>43</v>
      </c>
      <c r="F122" s="27" t="s">
        <v>43</v>
      </c>
      <c r="G122" s="28" t="s">
        <v>43</v>
      </c>
      <c r="H122" s="29"/>
      <c r="I122" s="29" t="s">
        <v>44</v>
      </c>
      <c r="J122" s="30">
        <v>1</v>
      </c>
      <c r="K122" s="31">
        <f>35560</f>
        <v>35560</v>
      </c>
      <c r="L122" s="32" t="s">
        <v>1110</v>
      </c>
      <c r="M122" s="31">
        <f>39280</f>
        <v>39280</v>
      </c>
      <c r="N122" s="32" t="s">
        <v>760</v>
      </c>
      <c r="O122" s="31">
        <f>35070</f>
        <v>35070</v>
      </c>
      <c r="P122" s="32" t="s">
        <v>1115</v>
      </c>
      <c r="Q122" s="31">
        <f>37390</f>
        <v>37390</v>
      </c>
      <c r="R122" s="32" t="s">
        <v>883</v>
      </c>
      <c r="S122" s="33">
        <f>36471.05</f>
        <v>36471.050000000003</v>
      </c>
      <c r="T122" s="30">
        <f>15556</f>
        <v>15556</v>
      </c>
      <c r="U122" s="30" t="str">
        <f>"－"</f>
        <v>－</v>
      </c>
      <c r="V122" s="30">
        <f>567057940</f>
        <v>567057940</v>
      </c>
      <c r="W122" s="30" t="str">
        <f>"－"</f>
        <v>－</v>
      </c>
      <c r="X122" s="34">
        <f>19</f>
        <v>19</v>
      </c>
    </row>
    <row r="123" spans="1:24" x14ac:dyDescent="0.15">
      <c r="A123" s="25" t="s">
        <v>1109</v>
      </c>
      <c r="B123" s="25" t="s">
        <v>341</v>
      </c>
      <c r="C123" s="25" t="s">
        <v>342</v>
      </c>
      <c r="D123" s="25" t="s">
        <v>343</v>
      </c>
      <c r="E123" s="26" t="s">
        <v>43</v>
      </c>
      <c r="F123" s="27" t="s">
        <v>43</v>
      </c>
      <c r="G123" s="28" t="s">
        <v>43</v>
      </c>
      <c r="H123" s="29"/>
      <c r="I123" s="29" t="s">
        <v>44</v>
      </c>
      <c r="J123" s="30">
        <v>1</v>
      </c>
      <c r="K123" s="31">
        <f>33050</f>
        <v>33050</v>
      </c>
      <c r="L123" s="32" t="s">
        <v>1110</v>
      </c>
      <c r="M123" s="31">
        <f>36350</f>
        <v>36350</v>
      </c>
      <c r="N123" s="32" t="s">
        <v>760</v>
      </c>
      <c r="O123" s="31">
        <f>32730</f>
        <v>32730</v>
      </c>
      <c r="P123" s="32" t="s">
        <v>1115</v>
      </c>
      <c r="Q123" s="31">
        <f>34160</f>
        <v>34160</v>
      </c>
      <c r="R123" s="32" t="s">
        <v>883</v>
      </c>
      <c r="S123" s="33">
        <f>33684.74</f>
        <v>33684.74</v>
      </c>
      <c r="T123" s="30">
        <f>3162</f>
        <v>3162</v>
      </c>
      <c r="U123" s="30" t="str">
        <f>"－"</f>
        <v>－</v>
      </c>
      <c r="V123" s="30">
        <f>106931430</f>
        <v>106931430</v>
      </c>
      <c r="W123" s="30" t="str">
        <f>"－"</f>
        <v>－</v>
      </c>
      <c r="X123" s="34">
        <f>19</f>
        <v>19</v>
      </c>
    </row>
    <row r="124" spans="1:24" x14ac:dyDescent="0.15">
      <c r="A124" s="25" t="s">
        <v>1109</v>
      </c>
      <c r="B124" s="25" t="s">
        <v>344</v>
      </c>
      <c r="C124" s="25" t="s">
        <v>345</v>
      </c>
      <c r="D124" s="25" t="s">
        <v>346</v>
      </c>
      <c r="E124" s="26" t="s">
        <v>43</v>
      </c>
      <c r="F124" s="27" t="s">
        <v>43</v>
      </c>
      <c r="G124" s="28" t="s">
        <v>43</v>
      </c>
      <c r="H124" s="29"/>
      <c r="I124" s="29" t="s">
        <v>44</v>
      </c>
      <c r="J124" s="30">
        <v>1</v>
      </c>
      <c r="K124" s="31">
        <f>8403</f>
        <v>8403</v>
      </c>
      <c r="L124" s="32" t="s">
        <v>1110</v>
      </c>
      <c r="M124" s="31">
        <f>8574</f>
        <v>8574</v>
      </c>
      <c r="N124" s="32" t="s">
        <v>1114</v>
      </c>
      <c r="O124" s="31">
        <f>7999</f>
        <v>7999</v>
      </c>
      <c r="P124" s="32" t="s">
        <v>875</v>
      </c>
      <c r="Q124" s="31">
        <f>8317</f>
        <v>8317</v>
      </c>
      <c r="R124" s="32" t="s">
        <v>883</v>
      </c>
      <c r="S124" s="33">
        <f>8274.74</f>
        <v>8274.74</v>
      </c>
      <c r="T124" s="30">
        <f>57417</f>
        <v>57417</v>
      </c>
      <c r="U124" s="30">
        <f>15000</f>
        <v>15000</v>
      </c>
      <c r="V124" s="30">
        <f>475073502</f>
        <v>475073502</v>
      </c>
      <c r="W124" s="30">
        <f>124800000</f>
        <v>124800000</v>
      </c>
      <c r="X124" s="34">
        <f>19</f>
        <v>19</v>
      </c>
    </row>
    <row r="125" spans="1:24" x14ac:dyDescent="0.15">
      <c r="A125" s="25" t="s">
        <v>1109</v>
      </c>
      <c r="B125" s="25" t="s">
        <v>347</v>
      </c>
      <c r="C125" s="25" t="s">
        <v>348</v>
      </c>
      <c r="D125" s="25" t="s">
        <v>349</v>
      </c>
      <c r="E125" s="26" t="s">
        <v>43</v>
      </c>
      <c r="F125" s="27" t="s">
        <v>43</v>
      </c>
      <c r="G125" s="28" t="s">
        <v>43</v>
      </c>
      <c r="H125" s="29"/>
      <c r="I125" s="29" t="s">
        <v>44</v>
      </c>
      <c r="J125" s="30">
        <v>1</v>
      </c>
      <c r="K125" s="31">
        <f>19595</f>
        <v>19595</v>
      </c>
      <c r="L125" s="32" t="s">
        <v>1110</v>
      </c>
      <c r="M125" s="31">
        <f>19920</f>
        <v>19920</v>
      </c>
      <c r="N125" s="32" t="s">
        <v>1110</v>
      </c>
      <c r="O125" s="31">
        <f>19035</f>
        <v>19035</v>
      </c>
      <c r="P125" s="32" t="s">
        <v>875</v>
      </c>
      <c r="Q125" s="31">
        <f>19380</f>
        <v>19380</v>
      </c>
      <c r="R125" s="32" t="s">
        <v>883</v>
      </c>
      <c r="S125" s="33">
        <f>19445.26</f>
        <v>19445.259999999998</v>
      </c>
      <c r="T125" s="30">
        <f>21855</f>
        <v>21855</v>
      </c>
      <c r="U125" s="30">
        <f>12000</f>
        <v>12000</v>
      </c>
      <c r="V125" s="30">
        <f>427872645</f>
        <v>427872645</v>
      </c>
      <c r="W125" s="30">
        <f>236434800</f>
        <v>236434800</v>
      </c>
      <c r="X125" s="34">
        <f>19</f>
        <v>19</v>
      </c>
    </row>
    <row r="126" spans="1:24" x14ac:dyDescent="0.15">
      <c r="A126" s="25" t="s">
        <v>1109</v>
      </c>
      <c r="B126" s="25" t="s">
        <v>350</v>
      </c>
      <c r="C126" s="25" t="s">
        <v>351</v>
      </c>
      <c r="D126" s="25" t="s">
        <v>352</v>
      </c>
      <c r="E126" s="26" t="s">
        <v>43</v>
      </c>
      <c r="F126" s="27" t="s">
        <v>43</v>
      </c>
      <c r="G126" s="28" t="s">
        <v>43</v>
      </c>
      <c r="H126" s="29"/>
      <c r="I126" s="29" t="s">
        <v>44</v>
      </c>
      <c r="J126" s="30">
        <v>1</v>
      </c>
      <c r="K126" s="31">
        <f>77910</f>
        <v>77910</v>
      </c>
      <c r="L126" s="32" t="s">
        <v>1110</v>
      </c>
      <c r="M126" s="31">
        <f>85850</f>
        <v>85850</v>
      </c>
      <c r="N126" s="32" t="s">
        <v>676</v>
      </c>
      <c r="O126" s="31">
        <f>75970</f>
        <v>75970</v>
      </c>
      <c r="P126" s="32" t="s">
        <v>1124</v>
      </c>
      <c r="Q126" s="31">
        <f>83750</f>
        <v>83750</v>
      </c>
      <c r="R126" s="32" t="s">
        <v>883</v>
      </c>
      <c r="S126" s="33">
        <f>80877.89</f>
        <v>80877.89</v>
      </c>
      <c r="T126" s="30">
        <f>19967</f>
        <v>19967</v>
      </c>
      <c r="U126" s="30">
        <f>10</f>
        <v>10</v>
      </c>
      <c r="V126" s="30">
        <f>1626946985</f>
        <v>1626946985</v>
      </c>
      <c r="W126" s="30">
        <f>820015</f>
        <v>820015</v>
      </c>
      <c r="X126" s="34">
        <f>19</f>
        <v>19</v>
      </c>
    </row>
    <row r="127" spans="1:24" x14ac:dyDescent="0.15">
      <c r="A127" s="25" t="s">
        <v>1109</v>
      </c>
      <c r="B127" s="25" t="s">
        <v>353</v>
      </c>
      <c r="C127" s="25" t="s">
        <v>354</v>
      </c>
      <c r="D127" s="25" t="s">
        <v>355</v>
      </c>
      <c r="E127" s="26" t="s">
        <v>43</v>
      </c>
      <c r="F127" s="27" t="s">
        <v>43</v>
      </c>
      <c r="G127" s="28" t="s">
        <v>43</v>
      </c>
      <c r="H127" s="29"/>
      <c r="I127" s="29" t="s">
        <v>44</v>
      </c>
      <c r="J127" s="30">
        <v>1</v>
      </c>
      <c r="K127" s="31">
        <f>27860</f>
        <v>27860</v>
      </c>
      <c r="L127" s="32" t="s">
        <v>1110</v>
      </c>
      <c r="M127" s="31">
        <f>29315</f>
        <v>29315</v>
      </c>
      <c r="N127" s="32" t="s">
        <v>883</v>
      </c>
      <c r="O127" s="31">
        <f>27800</f>
        <v>27800</v>
      </c>
      <c r="P127" s="32" t="s">
        <v>1110</v>
      </c>
      <c r="Q127" s="31">
        <f>29315</f>
        <v>29315</v>
      </c>
      <c r="R127" s="32" t="s">
        <v>883</v>
      </c>
      <c r="S127" s="33">
        <f>28591.32</f>
        <v>28591.32</v>
      </c>
      <c r="T127" s="30">
        <f>1470</f>
        <v>1470</v>
      </c>
      <c r="U127" s="30" t="str">
        <f>"－"</f>
        <v>－</v>
      </c>
      <c r="V127" s="30">
        <f>41988225</f>
        <v>41988225</v>
      </c>
      <c r="W127" s="30" t="str">
        <f>"－"</f>
        <v>－</v>
      </c>
      <c r="X127" s="34">
        <f>19</f>
        <v>19</v>
      </c>
    </row>
    <row r="128" spans="1:24" x14ac:dyDescent="0.15">
      <c r="A128" s="25" t="s">
        <v>1109</v>
      </c>
      <c r="B128" s="25" t="s">
        <v>356</v>
      </c>
      <c r="C128" s="25" t="s">
        <v>357</v>
      </c>
      <c r="D128" s="25" t="s">
        <v>358</v>
      </c>
      <c r="E128" s="26" t="s">
        <v>43</v>
      </c>
      <c r="F128" s="27" t="s">
        <v>43</v>
      </c>
      <c r="G128" s="28" t="s">
        <v>43</v>
      </c>
      <c r="H128" s="29"/>
      <c r="I128" s="29" t="s">
        <v>44</v>
      </c>
      <c r="J128" s="30">
        <v>1</v>
      </c>
      <c r="K128" s="31">
        <f>15195</f>
        <v>15195</v>
      </c>
      <c r="L128" s="32" t="s">
        <v>1110</v>
      </c>
      <c r="M128" s="31">
        <f>16670</f>
        <v>16670</v>
      </c>
      <c r="N128" s="32" t="s">
        <v>1114</v>
      </c>
      <c r="O128" s="31">
        <f>14930</f>
        <v>14930</v>
      </c>
      <c r="P128" s="32" t="s">
        <v>876</v>
      </c>
      <c r="Q128" s="31">
        <f>16460</f>
        <v>16460</v>
      </c>
      <c r="R128" s="32" t="s">
        <v>883</v>
      </c>
      <c r="S128" s="33">
        <f>15635.53</f>
        <v>15635.53</v>
      </c>
      <c r="T128" s="30">
        <f>77287</f>
        <v>77287</v>
      </c>
      <c r="U128" s="30">
        <f>18709</f>
        <v>18709</v>
      </c>
      <c r="V128" s="30">
        <f>1201379943</f>
        <v>1201379943</v>
      </c>
      <c r="W128" s="30">
        <f>286678393</f>
        <v>286678393</v>
      </c>
      <c r="X128" s="34">
        <f>19</f>
        <v>19</v>
      </c>
    </row>
    <row r="129" spans="1:24" x14ac:dyDescent="0.15">
      <c r="A129" s="25" t="s">
        <v>1109</v>
      </c>
      <c r="B129" s="25" t="s">
        <v>359</v>
      </c>
      <c r="C129" s="25" t="s">
        <v>360</v>
      </c>
      <c r="D129" s="25" t="s">
        <v>361</v>
      </c>
      <c r="E129" s="26" t="s">
        <v>43</v>
      </c>
      <c r="F129" s="27" t="s">
        <v>43</v>
      </c>
      <c r="G129" s="28" t="s">
        <v>43</v>
      </c>
      <c r="H129" s="29"/>
      <c r="I129" s="29" t="s">
        <v>44</v>
      </c>
      <c r="J129" s="30">
        <v>1</v>
      </c>
      <c r="K129" s="31">
        <f>21670</f>
        <v>21670</v>
      </c>
      <c r="L129" s="32" t="s">
        <v>1110</v>
      </c>
      <c r="M129" s="31">
        <f>24200</f>
        <v>24200</v>
      </c>
      <c r="N129" s="32" t="s">
        <v>1118</v>
      </c>
      <c r="O129" s="31">
        <f>21295</f>
        <v>21295</v>
      </c>
      <c r="P129" s="32" t="s">
        <v>1116</v>
      </c>
      <c r="Q129" s="31">
        <f>23970</f>
        <v>23970</v>
      </c>
      <c r="R129" s="32" t="s">
        <v>883</v>
      </c>
      <c r="S129" s="33">
        <f>22854.74</f>
        <v>22854.74</v>
      </c>
      <c r="T129" s="30">
        <f>14740</f>
        <v>14740</v>
      </c>
      <c r="U129" s="30">
        <f>2</f>
        <v>2</v>
      </c>
      <c r="V129" s="30">
        <f>338517845</f>
        <v>338517845</v>
      </c>
      <c r="W129" s="30">
        <f>45300</f>
        <v>45300</v>
      </c>
      <c r="X129" s="34">
        <f>19</f>
        <v>19</v>
      </c>
    </row>
    <row r="130" spans="1:24" x14ac:dyDescent="0.15">
      <c r="A130" s="25" t="s">
        <v>1109</v>
      </c>
      <c r="B130" s="25" t="s">
        <v>362</v>
      </c>
      <c r="C130" s="25" t="s">
        <v>363</v>
      </c>
      <c r="D130" s="25" t="s">
        <v>364</v>
      </c>
      <c r="E130" s="26" t="s">
        <v>43</v>
      </c>
      <c r="F130" s="27" t="s">
        <v>43</v>
      </c>
      <c r="G130" s="28" t="s">
        <v>43</v>
      </c>
      <c r="H130" s="29"/>
      <c r="I130" s="29" t="s">
        <v>44</v>
      </c>
      <c r="J130" s="30">
        <v>1</v>
      </c>
      <c r="K130" s="31">
        <f>36090</f>
        <v>36090</v>
      </c>
      <c r="L130" s="32" t="s">
        <v>1110</v>
      </c>
      <c r="M130" s="31">
        <f>37860</f>
        <v>37860</v>
      </c>
      <c r="N130" s="32" t="s">
        <v>676</v>
      </c>
      <c r="O130" s="31">
        <f>35570</f>
        <v>35570</v>
      </c>
      <c r="P130" s="32" t="s">
        <v>1117</v>
      </c>
      <c r="Q130" s="31">
        <f>37420</f>
        <v>37420</v>
      </c>
      <c r="R130" s="32" t="s">
        <v>883</v>
      </c>
      <c r="S130" s="33">
        <f>36788.42</f>
        <v>36788.42</v>
      </c>
      <c r="T130" s="30">
        <f>5054</f>
        <v>5054</v>
      </c>
      <c r="U130" s="30" t="str">
        <f>"－"</f>
        <v>－</v>
      </c>
      <c r="V130" s="30">
        <f>186088630</f>
        <v>186088630</v>
      </c>
      <c r="W130" s="30" t="str">
        <f>"－"</f>
        <v>－</v>
      </c>
      <c r="X130" s="34">
        <f>19</f>
        <v>19</v>
      </c>
    </row>
    <row r="131" spans="1:24" x14ac:dyDescent="0.15">
      <c r="A131" s="25" t="s">
        <v>1109</v>
      </c>
      <c r="B131" s="25" t="s">
        <v>365</v>
      </c>
      <c r="C131" s="25" t="s">
        <v>926</v>
      </c>
      <c r="D131" s="25" t="s">
        <v>927</v>
      </c>
      <c r="E131" s="26" t="s">
        <v>43</v>
      </c>
      <c r="F131" s="27" t="s">
        <v>43</v>
      </c>
      <c r="G131" s="28" t="s">
        <v>43</v>
      </c>
      <c r="H131" s="29"/>
      <c r="I131" s="29" t="s">
        <v>44</v>
      </c>
      <c r="J131" s="30">
        <v>10</v>
      </c>
      <c r="K131" s="31">
        <f>1836</f>
        <v>1836</v>
      </c>
      <c r="L131" s="32" t="s">
        <v>1110</v>
      </c>
      <c r="M131" s="31">
        <f>1961</f>
        <v>1961</v>
      </c>
      <c r="N131" s="32" t="s">
        <v>1111</v>
      </c>
      <c r="O131" s="31">
        <f>1806</f>
        <v>1806</v>
      </c>
      <c r="P131" s="32" t="s">
        <v>1124</v>
      </c>
      <c r="Q131" s="31">
        <f>1943</f>
        <v>1943</v>
      </c>
      <c r="R131" s="32" t="s">
        <v>883</v>
      </c>
      <c r="S131" s="33">
        <f>1883.55</f>
        <v>1883.55</v>
      </c>
      <c r="T131" s="30">
        <f>2892920</f>
        <v>2892920</v>
      </c>
      <c r="U131" s="30">
        <f>2255870</f>
        <v>2255870</v>
      </c>
      <c r="V131" s="30">
        <f>5505394046</f>
        <v>5505394046</v>
      </c>
      <c r="W131" s="30">
        <f>4300670611</f>
        <v>4300670611</v>
      </c>
      <c r="X131" s="34">
        <f>19</f>
        <v>19</v>
      </c>
    </row>
    <row r="132" spans="1:24" x14ac:dyDescent="0.15">
      <c r="A132" s="25" t="s">
        <v>1109</v>
      </c>
      <c r="B132" s="25" t="s">
        <v>366</v>
      </c>
      <c r="C132" s="25" t="s">
        <v>928</v>
      </c>
      <c r="D132" s="25" t="s">
        <v>929</v>
      </c>
      <c r="E132" s="26" t="s">
        <v>43</v>
      </c>
      <c r="F132" s="27" t="s">
        <v>43</v>
      </c>
      <c r="G132" s="28" t="s">
        <v>43</v>
      </c>
      <c r="H132" s="29"/>
      <c r="I132" s="29" t="s">
        <v>44</v>
      </c>
      <c r="J132" s="30">
        <v>10</v>
      </c>
      <c r="K132" s="31">
        <f>2929</f>
        <v>2929</v>
      </c>
      <c r="L132" s="32" t="s">
        <v>1110</v>
      </c>
      <c r="M132" s="31">
        <f>3099</f>
        <v>3099</v>
      </c>
      <c r="N132" s="32" t="s">
        <v>1111</v>
      </c>
      <c r="O132" s="31">
        <f>2879.5</f>
        <v>2879.5</v>
      </c>
      <c r="P132" s="32" t="s">
        <v>674</v>
      </c>
      <c r="Q132" s="31">
        <f>3066</f>
        <v>3066</v>
      </c>
      <c r="R132" s="32" t="s">
        <v>883</v>
      </c>
      <c r="S132" s="33">
        <f>2973.79</f>
        <v>2973.79</v>
      </c>
      <c r="T132" s="30">
        <f>9710</f>
        <v>9710</v>
      </c>
      <c r="U132" s="30" t="str">
        <f>"－"</f>
        <v>－</v>
      </c>
      <c r="V132" s="30">
        <f>29548335</f>
        <v>29548335</v>
      </c>
      <c r="W132" s="30" t="str">
        <f>"－"</f>
        <v>－</v>
      </c>
      <c r="X132" s="34">
        <f>19</f>
        <v>19</v>
      </c>
    </row>
    <row r="133" spans="1:24" x14ac:dyDescent="0.15">
      <c r="A133" s="25" t="s">
        <v>1109</v>
      </c>
      <c r="B133" s="25" t="s">
        <v>367</v>
      </c>
      <c r="C133" s="25" t="s">
        <v>930</v>
      </c>
      <c r="D133" s="25" t="s">
        <v>931</v>
      </c>
      <c r="E133" s="26" t="s">
        <v>43</v>
      </c>
      <c r="F133" s="27" t="s">
        <v>43</v>
      </c>
      <c r="G133" s="28" t="s">
        <v>43</v>
      </c>
      <c r="H133" s="29"/>
      <c r="I133" s="29" t="s">
        <v>44</v>
      </c>
      <c r="J133" s="30">
        <v>10</v>
      </c>
      <c r="K133" s="31">
        <f>3184</f>
        <v>3184</v>
      </c>
      <c r="L133" s="32" t="s">
        <v>1110</v>
      </c>
      <c r="M133" s="31">
        <f>3369</f>
        <v>3369</v>
      </c>
      <c r="N133" s="32" t="s">
        <v>676</v>
      </c>
      <c r="O133" s="31">
        <f>3184</f>
        <v>3184</v>
      </c>
      <c r="P133" s="32" t="s">
        <v>1110</v>
      </c>
      <c r="Q133" s="31">
        <f>3353</f>
        <v>3353</v>
      </c>
      <c r="R133" s="32" t="s">
        <v>883</v>
      </c>
      <c r="S133" s="33">
        <f>3278.73</f>
        <v>3278.73</v>
      </c>
      <c r="T133" s="30">
        <f>88000</f>
        <v>88000</v>
      </c>
      <c r="U133" s="30">
        <f>69500</f>
        <v>69500</v>
      </c>
      <c r="V133" s="30">
        <f>293505670</f>
        <v>293505670</v>
      </c>
      <c r="W133" s="30">
        <f>233269800</f>
        <v>233269800</v>
      </c>
      <c r="X133" s="34">
        <f>15</f>
        <v>15</v>
      </c>
    </row>
    <row r="134" spans="1:24" x14ac:dyDescent="0.15">
      <c r="A134" s="25" t="s">
        <v>1109</v>
      </c>
      <c r="B134" s="25" t="s">
        <v>368</v>
      </c>
      <c r="C134" s="25" t="s">
        <v>932</v>
      </c>
      <c r="D134" s="25" t="s">
        <v>933</v>
      </c>
      <c r="E134" s="26" t="s">
        <v>43</v>
      </c>
      <c r="F134" s="27" t="s">
        <v>43</v>
      </c>
      <c r="G134" s="28" t="s">
        <v>43</v>
      </c>
      <c r="H134" s="29"/>
      <c r="I134" s="29" t="s">
        <v>44</v>
      </c>
      <c r="J134" s="30">
        <v>10</v>
      </c>
      <c r="K134" s="31">
        <f>1994</f>
        <v>1994</v>
      </c>
      <c r="L134" s="32" t="s">
        <v>1110</v>
      </c>
      <c r="M134" s="31">
        <f>2138.5</f>
        <v>2138.5</v>
      </c>
      <c r="N134" s="32" t="s">
        <v>676</v>
      </c>
      <c r="O134" s="31">
        <f>1994</f>
        <v>1994</v>
      </c>
      <c r="P134" s="32" t="s">
        <v>1110</v>
      </c>
      <c r="Q134" s="31">
        <f>2132</f>
        <v>2132</v>
      </c>
      <c r="R134" s="32" t="s">
        <v>1114</v>
      </c>
      <c r="S134" s="33">
        <f>2074.65</f>
        <v>2074.65</v>
      </c>
      <c r="T134" s="30">
        <f>4470</f>
        <v>4470</v>
      </c>
      <c r="U134" s="30" t="str">
        <f>"－"</f>
        <v>－</v>
      </c>
      <c r="V134" s="30">
        <f>9283225</f>
        <v>9283225</v>
      </c>
      <c r="W134" s="30" t="str">
        <f>"－"</f>
        <v>－</v>
      </c>
      <c r="X134" s="34">
        <f>13</f>
        <v>13</v>
      </c>
    </row>
    <row r="135" spans="1:24" x14ac:dyDescent="0.15">
      <c r="A135" s="25" t="s">
        <v>1109</v>
      </c>
      <c r="B135" s="25" t="s">
        <v>369</v>
      </c>
      <c r="C135" s="25" t="s">
        <v>370</v>
      </c>
      <c r="D135" s="25" t="s">
        <v>371</v>
      </c>
      <c r="E135" s="26" t="s">
        <v>43</v>
      </c>
      <c r="F135" s="27" t="s">
        <v>43</v>
      </c>
      <c r="G135" s="28" t="s">
        <v>43</v>
      </c>
      <c r="H135" s="29"/>
      <c r="I135" s="29" t="s">
        <v>44</v>
      </c>
      <c r="J135" s="30">
        <v>10</v>
      </c>
      <c r="K135" s="31">
        <f>516</f>
        <v>516</v>
      </c>
      <c r="L135" s="32" t="s">
        <v>1110</v>
      </c>
      <c r="M135" s="31">
        <f>550.5</f>
        <v>550.5</v>
      </c>
      <c r="N135" s="32" t="s">
        <v>676</v>
      </c>
      <c r="O135" s="31">
        <f>514.9</f>
        <v>514.9</v>
      </c>
      <c r="P135" s="32" t="s">
        <v>1110</v>
      </c>
      <c r="Q135" s="31">
        <f>547.3</f>
        <v>547.29999999999995</v>
      </c>
      <c r="R135" s="32" t="s">
        <v>883</v>
      </c>
      <c r="S135" s="33">
        <f>537.49</f>
        <v>537.49</v>
      </c>
      <c r="T135" s="30">
        <f>48080440</f>
        <v>48080440</v>
      </c>
      <c r="U135" s="30">
        <f>5654360</f>
        <v>5654360</v>
      </c>
      <c r="V135" s="30">
        <f>25797334753</f>
        <v>25797334753</v>
      </c>
      <c r="W135" s="30">
        <f>3045086457</f>
        <v>3045086457</v>
      </c>
      <c r="X135" s="34">
        <f>19</f>
        <v>19</v>
      </c>
    </row>
    <row r="136" spans="1:24" x14ac:dyDescent="0.15">
      <c r="A136" s="25" t="s">
        <v>1109</v>
      </c>
      <c r="B136" s="25" t="s">
        <v>372</v>
      </c>
      <c r="C136" s="25" t="s">
        <v>373</v>
      </c>
      <c r="D136" s="25" t="s">
        <v>374</v>
      </c>
      <c r="E136" s="26" t="s">
        <v>43</v>
      </c>
      <c r="F136" s="27" t="s">
        <v>43</v>
      </c>
      <c r="G136" s="28" t="s">
        <v>43</v>
      </c>
      <c r="H136" s="29"/>
      <c r="I136" s="29" t="s">
        <v>44</v>
      </c>
      <c r="J136" s="30">
        <v>10</v>
      </c>
      <c r="K136" s="31">
        <f>294.8</f>
        <v>294.8</v>
      </c>
      <c r="L136" s="32" t="s">
        <v>1110</v>
      </c>
      <c r="M136" s="31">
        <f>295.7</f>
        <v>295.7</v>
      </c>
      <c r="N136" s="32" t="s">
        <v>674</v>
      </c>
      <c r="O136" s="31">
        <f>292.8</f>
        <v>292.8</v>
      </c>
      <c r="P136" s="32" t="s">
        <v>1115</v>
      </c>
      <c r="Q136" s="31">
        <f>293.8</f>
        <v>293.8</v>
      </c>
      <c r="R136" s="32" t="s">
        <v>883</v>
      </c>
      <c r="S136" s="33">
        <f>294.33</f>
        <v>294.33</v>
      </c>
      <c r="T136" s="30">
        <f>18386110</f>
        <v>18386110</v>
      </c>
      <c r="U136" s="30">
        <f>16418630</f>
        <v>16418630</v>
      </c>
      <c r="V136" s="30">
        <f>5409482950</f>
        <v>5409482950</v>
      </c>
      <c r="W136" s="30">
        <f>4830750254</f>
        <v>4830750254</v>
      </c>
      <c r="X136" s="34">
        <f>19</f>
        <v>19</v>
      </c>
    </row>
    <row r="137" spans="1:24" x14ac:dyDescent="0.15">
      <c r="A137" s="25" t="s">
        <v>1109</v>
      </c>
      <c r="B137" s="25" t="s">
        <v>375</v>
      </c>
      <c r="C137" s="25" t="s">
        <v>973</v>
      </c>
      <c r="D137" s="25" t="s">
        <v>376</v>
      </c>
      <c r="E137" s="26" t="s">
        <v>43</v>
      </c>
      <c r="F137" s="27" t="s">
        <v>43</v>
      </c>
      <c r="G137" s="28" t="s">
        <v>43</v>
      </c>
      <c r="H137" s="29"/>
      <c r="I137" s="29" t="s">
        <v>44</v>
      </c>
      <c r="J137" s="30">
        <v>1</v>
      </c>
      <c r="K137" s="31">
        <f>4380</f>
        <v>4380</v>
      </c>
      <c r="L137" s="32" t="s">
        <v>1110</v>
      </c>
      <c r="M137" s="31">
        <f>4650</f>
        <v>4650</v>
      </c>
      <c r="N137" s="32" t="s">
        <v>676</v>
      </c>
      <c r="O137" s="31">
        <f>4370</f>
        <v>4370</v>
      </c>
      <c r="P137" s="32" t="s">
        <v>1110</v>
      </c>
      <c r="Q137" s="31">
        <f>4610</f>
        <v>4610</v>
      </c>
      <c r="R137" s="32" t="s">
        <v>883</v>
      </c>
      <c r="S137" s="33">
        <f>4530.53</f>
        <v>4530.53</v>
      </c>
      <c r="T137" s="30">
        <f>58317</f>
        <v>58317</v>
      </c>
      <c r="U137" s="30">
        <f>1445</f>
        <v>1445</v>
      </c>
      <c r="V137" s="30">
        <f>263925465</f>
        <v>263925465</v>
      </c>
      <c r="W137" s="30">
        <f>6482905</f>
        <v>6482905</v>
      </c>
      <c r="X137" s="34">
        <f>19</f>
        <v>19</v>
      </c>
    </row>
    <row r="138" spans="1:24" x14ac:dyDescent="0.15">
      <c r="A138" s="25" t="s">
        <v>1109</v>
      </c>
      <c r="B138" s="25" t="s">
        <v>377</v>
      </c>
      <c r="C138" s="25" t="s">
        <v>378</v>
      </c>
      <c r="D138" s="25" t="s">
        <v>379</v>
      </c>
      <c r="E138" s="26" t="s">
        <v>43</v>
      </c>
      <c r="F138" s="27" t="s">
        <v>43</v>
      </c>
      <c r="G138" s="28" t="s">
        <v>43</v>
      </c>
      <c r="H138" s="29"/>
      <c r="I138" s="29" t="s">
        <v>44</v>
      </c>
      <c r="J138" s="30">
        <v>1</v>
      </c>
      <c r="K138" s="31">
        <f>2448</f>
        <v>2448</v>
      </c>
      <c r="L138" s="32" t="s">
        <v>1110</v>
      </c>
      <c r="M138" s="31">
        <f>2576</f>
        <v>2576</v>
      </c>
      <c r="N138" s="32" t="s">
        <v>676</v>
      </c>
      <c r="O138" s="31">
        <f>2400</f>
        <v>2400</v>
      </c>
      <c r="P138" s="32" t="s">
        <v>1117</v>
      </c>
      <c r="Q138" s="31">
        <f>2547</f>
        <v>2547</v>
      </c>
      <c r="R138" s="32" t="s">
        <v>883</v>
      </c>
      <c r="S138" s="33">
        <f>2518.37</f>
        <v>2518.37</v>
      </c>
      <c r="T138" s="30">
        <f>100518</f>
        <v>100518</v>
      </c>
      <c r="U138" s="30">
        <f>30460</f>
        <v>30460</v>
      </c>
      <c r="V138" s="30">
        <f>252283745</f>
        <v>252283745</v>
      </c>
      <c r="W138" s="30">
        <f>76373195</f>
        <v>76373195</v>
      </c>
      <c r="X138" s="34">
        <f>19</f>
        <v>19</v>
      </c>
    </row>
    <row r="139" spans="1:24" x14ac:dyDescent="0.15">
      <c r="A139" s="25" t="s">
        <v>1109</v>
      </c>
      <c r="B139" s="25" t="s">
        <v>380</v>
      </c>
      <c r="C139" s="25" t="s">
        <v>381</v>
      </c>
      <c r="D139" s="25" t="s">
        <v>382</v>
      </c>
      <c r="E139" s="26" t="s">
        <v>43</v>
      </c>
      <c r="F139" s="27" t="s">
        <v>43</v>
      </c>
      <c r="G139" s="28" t="s">
        <v>43</v>
      </c>
      <c r="H139" s="29"/>
      <c r="I139" s="29" t="s">
        <v>44</v>
      </c>
      <c r="J139" s="30">
        <v>1</v>
      </c>
      <c r="K139" s="31">
        <f>2884</f>
        <v>2884</v>
      </c>
      <c r="L139" s="32" t="s">
        <v>1110</v>
      </c>
      <c r="M139" s="31">
        <f>2946</f>
        <v>2946</v>
      </c>
      <c r="N139" s="32" t="s">
        <v>874</v>
      </c>
      <c r="O139" s="31">
        <f>2830</f>
        <v>2830</v>
      </c>
      <c r="P139" s="32" t="s">
        <v>1113</v>
      </c>
      <c r="Q139" s="31">
        <f>2930</f>
        <v>2930</v>
      </c>
      <c r="R139" s="32" t="s">
        <v>883</v>
      </c>
      <c r="S139" s="33">
        <f>2896.89</f>
        <v>2896.89</v>
      </c>
      <c r="T139" s="30">
        <f>275843</f>
        <v>275843</v>
      </c>
      <c r="U139" s="30">
        <f>82833</f>
        <v>82833</v>
      </c>
      <c r="V139" s="30">
        <f>795623415</f>
        <v>795623415</v>
      </c>
      <c r="W139" s="30">
        <f>236816699</f>
        <v>236816699</v>
      </c>
      <c r="X139" s="34">
        <f>19</f>
        <v>19</v>
      </c>
    </row>
    <row r="140" spans="1:24" x14ac:dyDescent="0.15">
      <c r="A140" s="25" t="s">
        <v>1109</v>
      </c>
      <c r="B140" s="25" t="s">
        <v>383</v>
      </c>
      <c r="C140" s="25" t="s">
        <v>384</v>
      </c>
      <c r="D140" s="25" t="s">
        <v>385</v>
      </c>
      <c r="E140" s="26" t="s">
        <v>43</v>
      </c>
      <c r="F140" s="27" t="s">
        <v>43</v>
      </c>
      <c r="G140" s="28" t="s">
        <v>43</v>
      </c>
      <c r="H140" s="29"/>
      <c r="I140" s="29" t="s">
        <v>44</v>
      </c>
      <c r="J140" s="30">
        <v>1</v>
      </c>
      <c r="K140" s="31">
        <f>10315</f>
        <v>10315</v>
      </c>
      <c r="L140" s="32" t="s">
        <v>1110</v>
      </c>
      <c r="M140" s="31">
        <f>10390</f>
        <v>10390</v>
      </c>
      <c r="N140" s="32" t="s">
        <v>674</v>
      </c>
      <c r="O140" s="31">
        <f>9728</f>
        <v>9728</v>
      </c>
      <c r="P140" s="32" t="s">
        <v>874</v>
      </c>
      <c r="Q140" s="31">
        <f>9886</f>
        <v>9886</v>
      </c>
      <c r="R140" s="32" t="s">
        <v>883</v>
      </c>
      <c r="S140" s="33">
        <f>10045.63</f>
        <v>10045.629999999999</v>
      </c>
      <c r="T140" s="30">
        <f>292571</f>
        <v>292571</v>
      </c>
      <c r="U140" s="30">
        <f>145125</f>
        <v>145125</v>
      </c>
      <c r="V140" s="30">
        <f>2948132045</f>
        <v>2948132045</v>
      </c>
      <c r="W140" s="30">
        <f>1471292398</f>
        <v>1471292398</v>
      </c>
      <c r="X140" s="34">
        <f>19</f>
        <v>19</v>
      </c>
    </row>
    <row r="141" spans="1:24" x14ac:dyDescent="0.15">
      <c r="A141" s="25" t="s">
        <v>1109</v>
      </c>
      <c r="B141" s="25" t="s">
        <v>386</v>
      </c>
      <c r="C141" s="25" t="s">
        <v>387</v>
      </c>
      <c r="D141" s="25" t="s">
        <v>388</v>
      </c>
      <c r="E141" s="26" t="s">
        <v>43</v>
      </c>
      <c r="F141" s="27" t="s">
        <v>43</v>
      </c>
      <c r="G141" s="28" t="s">
        <v>43</v>
      </c>
      <c r="H141" s="29"/>
      <c r="I141" s="29" t="s">
        <v>44</v>
      </c>
      <c r="J141" s="30">
        <v>1</v>
      </c>
      <c r="K141" s="31">
        <f>2875</f>
        <v>2875</v>
      </c>
      <c r="L141" s="32" t="s">
        <v>1110</v>
      </c>
      <c r="M141" s="31">
        <f>3060</f>
        <v>3060</v>
      </c>
      <c r="N141" s="32" t="s">
        <v>1114</v>
      </c>
      <c r="O141" s="31">
        <f>2774</f>
        <v>2774</v>
      </c>
      <c r="P141" s="32" t="s">
        <v>674</v>
      </c>
      <c r="Q141" s="31">
        <f>3035</f>
        <v>3035</v>
      </c>
      <c r="R141" s="32" t="s">
        <v>883</v>
      </c>
      <c r="S141" s="33">
        <f>2946.79</f>
        <v>2946.79</v>
      </c>
      <c r="T141" s="30">
        <f>4430368</f>
        <v>4430368</v>
      </c>
      <c r="U141" s="30">
        <f>12</f>
        <v>12</v>
      </c>
      <c r="V141" s="30">
        <f>12987441401</f>
        <v>12987441401</v>
      </c>
      <c r="W141" s="30">
        <f>34700</f>
        <v>34700</v>
      </c>
      <c r="X141" s="34">
        <f>19</f>
        <v>19</v>
      </c>
    </row>
    <row r="142" spans="1:24" x14ac:dyDescent="0.15">
      <c r="A142" s="25" t="s">
        <v>1109</v>
      </c>
      <c r="B142" s="25" t="s">
        <v>389</v>
      </c>
      <c r="C142" s="25" t="s">
        <v>390</v>
      </c>
      <c r="D142" s="25" t="s">
        <v>391</v>
      </c>
      <c r="E142" s="26" t="s">
        <v>43</v>
      </c>
      <c r="F142" s="27" t="s">
        <v>43</v>
      </c>
      <c r="G142" s="28" t="s">
        <v>43</v>
      </c>
      <c r="H142" s="29"/>
      <c r="I142" s="29" t="s">
        <v>44</v>
      </c>
      <c r="J142" s="30">
        <v>1</v>
      </c>
      <c r="K142" s="31">
        <f>28160</f>
        <v>28160</v>
      </c>
      <c r="L142" s="32" t="s">
        <v>1110</v>
      </c>
      <c r="M142" s="31">
        <f>29575</f>
        <v>29575</v>
      </c>
      <c r="N142" s="32" t="s">
        <v>1117</v>
      </c>
      <c r="O142" s="31">
        <f>27995</f>
        <v>27995</v>
      </c>
      <c r="P142" s="32" t="s">
        <v>875</v>
      </c>
      <c r="Q142" s="31">
        <f>28610</f>
        <v>28610</v>
      </c>
      <c r="R142" s="32" t="s">
        <v>883</v>
      </c>
      <c r="S142" s="33">
        <f>28339.21</f>
        <v>28339.21</v>
      </c>
      <c r="T142" s="30">
        <f>8669</f>
        <v>8669</v>
      </c>
      <c r="U142" s="30" t="str">
        <f>"－"</f>
        <v>－</v>
      </c>
      <c r="V142" s="30">
        <f>245853205</f>
        <v>245853205</v>
      </c>
      <c r="W142" s="30" t="str">
        <f>"－"</f>
        <v>－</v>
      </c>
      <c r="X142" s="34">
        <f>19</f>
        <v>19</v>
      </c>
    </row>
    <row r="143" spans="1:24" x14ac:dyDescent="0.15">
      <c r="A143" s="25" t="s">
        <v>1109</v>
      </c>
      <c r="B143" s="25" t="s">
        <v>392</v>
      </c>
      <c r="C143" s="25" t="s">
        <v>393</v>
      </c>
      <c r="D143" s="25" t="s">
        <v>394</v>
      </c>
      <c r="E143" s="26" t="s">
        <v>43</v>
      </c>
      <c r="F143" s="27" t="s">
        <v>43</v>
      </c>
      <c r="G143" s="28" t="s">
        <v>43</v>
      </c>
      <c r="H143" s="29"/>
      <c r="I143" s="29" t="s">
        <v>44</v>
      </c>
      <c r="J143" s="30">
        <v>10</v>
      </c>
      <c r="K143" s="31">
        <f>3123</f>
        <v>3123</v>
      </c>
      <c r="L143" s="32" t="s">
        <v>1110</v>
      </c>
      <c r="M143" s="31">
        <f>3237</f>
        <v>3237</v>
      </c>
      <c r="N143" s="32" t="s">
        <v>680</v>
      </c>
      <c r="O143" s="31">
        <f>3026</f>
        <v>3026</v>
      </c>
      <c r="P143" s="32" t="s">
        <v>1113</v>
      </c>
      <c r="Q143" s="31">
        <f>3101</f>
        <v>3101</v>
      </c>
      <c r="R143" s="32" t="s">
        <v>883</v>
      </c>
      <c r="S143" s="33">
        <f>3120.26</f>
        <v>3120.26</v>
      </c>
      <c r="T143" s="30">
        <f>27640</f>
        <v>27640</v>
      </c>
      <c r="U143" s="30" t="str">
        <f>"－"</f>
        <v>－</v>
      </c>
      <c r="V143" s="30">
        <f>86334000</f>
        <v>86334000</v>
      </c>
      <c r="W143" s="30" t="str">
        <f>"－"</f>
        <v>－</v>
      </c>
      <c r="X143" s="34">
        <f>19</f>
        <v>19</v>
      </c>
    </row>
    <row r="144" spans="1:24" x14ac:dyDescent="0.15">
      <c r="A144" s="25" t="s">
        <v>1109</v>
      </c>
      <c r="B144" s="25" t="s">
        <v>395</v>
      </c>
      <c r="C144" s="25" t="s">
        <v>396</v>
      </c>
      <c r="D144" s="25" t="s">
        <v>397</v>
      </c>
      <c r="E144" s="26" t="s">
        <v>43</v>
      </c>
      <c r="F144" s="27" t="s">
        <v>43</v>
      </c>
      <c r="G144" s="28" t="s">
        <v>43</v>
      </c>
      <c r="H144" s="29"/>
      <c r="I144" s="29" t="s">
        <v>44</v>
      </c>
      <c r="J144" s="30">
        <v>1</v>
      </c>
      <c r="K144" s="31">
        <f>12475</f>
        <v>12475</v>
      </c>
      <c r="L144" s="32" t="s">
        <v>1110</v>
      </c>
      <c r="M144" s="31">
        <f>12555</f>
        <v>12555</v>
      </c>
      <c r="N144" s="32" t="s">
        <v>680</v>
      </c>
      <c r="O144" s="31">
        <f>12055</f>
        <v>12055</v>
      </c>
      <c r="P144" s="32" t="s">
        <v>1113</v>
      </c>
      <c r="Q144" s="31">
        <f>12270</f>
        <v>12270</v>
      </c>
      <c r="R144" s="32" t="s">
        <v>883</v>
      </c>
      <c r="S144" s="33">
        <f>12331.58</f>
        <v>12331.58</v>
      </c>
      <c r="T144" s="30">
        <f>10210</f>
        <v>10210</v>
      </c>
      <c r="U144" s="30" t="str">
        <f>"－"</f>
        <v>－</v>
      </c>
      <c r="V144" s="30">
        <f>125642275</f>
        <v>125642275</v>
      </c>
      <c r="W144" s="30" t="str">
        <f>"－"</f>
        <v>－</v>
      </c>
      <c r="X144" s="34">
        <f>19</f>
        <v>19</v>
      </c>
    </row>
    <row r="145" spans="1:24" x14ac:dyDescent="0.15">
      <c r="A145" s="25" t="s">
        <v>1109</v>
      </c>
      <c r="B145" s="25" t="s">
        <v>398</v>
      </c>
      <c r="C145" s="25" t="s">
        <v>399</v>
      </c>
      <c r="D145" s="25" t="s">
        <v>400</v>
      </c>
      <c r="E145" s="26" t="s">
        <v>43</v>
      </c>
      <c r="F145" s="27" t="s">
        <v>43</v>
      </c>
      <c r="G145" s="28" t="s">
        <v>43</v>
      </c>
      <c r="H145" s="29"/>
      <c r="I145" s="29" t="s">
        <v>44</v>
      </c>
      <c r="J145" s="30">
        <v>1</v>
      </c>
      <c r="K145" s="31">
        <f>13425</f>
        <v>13425</v>
      </c>
      <c r="L145" s="32" t="s">
        <v>1110</v>
      </c>
      <c r="M145" s="31">
        <f>13650</f>
        <v>13650</v>
      </c>
      <c r="N145" s="32" t="s">
        <v>1112</v>
      </c>
      <c r="O145" s="31">
        <f>11920</f>
        <v>11920</v>
      </c>
      <c r="P145" s="32" t="s">
        <v>1117</v>
      </c>
      <c r="Q145" s="31">
        <f>13070</f>
        <v>13070</v>
      </c>
      <c r="R145" s="32" t="s">
        <v>883</v>
      </c>
      <c r="S145" s="33">
        <f>13012.89</f>
        <v>13012.89</v>
      </c>
      <c r="T145" s="30">
        <f>10796</f>
        <v>10796</v>
      </c>
      <c r="U145" s="30" t="str">
        <f>"－"</f>
        <v>－</v>
      </c>
      <c r="V145" s="30">
        <f>138704900</f>
        <v>138704900</v>
      </c>
      <c r="W145" s="30" t="str">
        <f>"－"</f>
        <v>－</v>
      </c>
      <c r="X145" s="34">
        <f>19</f>
        <v>19</v>
      </c>
    </row>
    <row r="146" spans="1:24" x14ac:dyDescent="0.15">
      <c r="A146" s="25" t="s">
        <v>1109</v>
      </c>
      <c r="B146" s="25" t="s">
        <v>401</v>
      </c>
      <c r="C146" s="25" t="s">
        <v>402</v>
      </c>
      <c r="D146" s="25" t="s">
        <v>403</v>
      </c>
      <c r="E146" s="26" t="s">
        <v>43</v>
      </c>
      <c r="F146" s="27" t="s">
        <v>43</v>
      </c>
      <c r="G146" s="28" t="s">
        <v>43</v>
      </c>
      <c r="H146" s="29"/>
      <c r="I146" s="29" t="s">
        <v>44</v>
      </c>
      <c r="J146" s="30">
        <v>1</v>
      </c>
      <c r="K146" s="31">
        <f>18770</f>
        <v>18770</v>
      </c>
      <c r="L146" s="32" t="s">
        <v>1116</v>
      </c>
      <c r="M146" s="31">
        <f>19355</f>
        <v>19355</v>
      </c>
      <c r="N146" s="32" t="s">
        <v>674</v>
      </c>
      <c r="O146" s="31">
        <f>18500</f>
        <v>18500</v>
      </c>
      <c r="P146" s="32" t="s">
        <v>1117</v>
      </c>
      <c r="Q146" s="31">
        <f>19090</f>
        <v>19090</v>
      </c>
      <c r="R146" s="32" t="s">
        <v>676</v>
      </c>
      <c r="S146" s="33">
        <f>18830</f>
        <v>18830</v>
      </c>
      <c r="T146" s="30">
        <f>573</f>
        <v>573</v>
      </c>
      <c r="U146" s="30" t="str">
        <f>"－"</f>
        <v>－</v>
      </c>
      <c r="V146" s="30">
        <f>10703545</f>
        <v>10703545</v>
      </c>
      <c r="W146" s="30" t="str">
        <f>"－"</f>
        <v>－</v>
      </c>
      <c r="X146" s="34">
        <f>12</f>
        <v>12</v>
      </c>
    </row>
    <row r="147" spans="1:24" x14ac:dyDescent="0.15">
      <c r="A147" s="25" t="s">
        <v>1109</v>
      </c>
      <c r="B147" s="25" t="s">
        <v>404</v>
      </c>
      <c r="C147" s="25" t="s">
        <v>405</v>
      </c>
      <c r="D147" s="25" t="s">
        <v>406</v>
      </c>
      <c r="E147" s="26" t="s">
        <v>43</v>
      </c>
      <c r="F147" s="27" t="s">
        <v>43</v>
      </c>
      <c r="G147" s="28" t="s">
        <v>43</v>
      </c>
      <c r="H147" s="29"/>
      <c r="I147" s="29" t="s">
        <v>44</v>
      </c>
      <c r="J147" s="30">
        <v>10</v>
      </c>
      <c r="K147" s="31">
        <f>54620</f>
        <v>54620</v>
      </c>
      <c r="L147" s="32" t="s">
        <v>1110</v>
      </c>
      <c r="M147" s="31">
        <f>55300</f>
        <v>55300</v>
      </c>
      <c r="N147" s="32" t="s">
        <v>1114</v>
      </c>
      <c r="O147" s="31">
        <f>54530</f>
        <v>54530</v>
      </c>
      <c r="P147" s="32" t="s">
        <v>1110</v>
      </c>
      <c r="Q147" s="31">
        <f>54900</f>
        <v>54900</v>
      </c>
      <c r="R147" s="32" t="s">
        <v>883</v>
      </c>
      <c r="S147" s="33">
        <f>54806.84</f>
        <v>54806.84</v>
      </c>
      <c r="T147" s="30">
        <f>6680</f>
        <v>6680</v>
      </c>
      <c r="U147" s="30">
        <f>3060</f>
        <v>3060</v>
      </c>
      <c r="V147" s="30">
        <f>366826300</f>
        <v>366826300</v>
      </c>
      <c r="W147" s="30">
        <f>168468200</f>
        <v>168468200</v>
      </c>
      <c r="X147" s="34">
        <f>19</f>
        <v>19</v>
      </c>
    </row>
    <row r="148" spans="1:24" x14ac:dyDescent="0.15">
      <c r="A148" s="25" t="s">
        <v>1109</v>
      </c>
      <c r="B148" s="25" t="s">
        <v>407</v>
      </c>
      <c r="C148" s="25" t="s">
        <v>974</v>
      </c>
      <c r="D148" s="25" t="s">
        <v>408</v>
      </c>
      <c r="E148" s="26" t="s">
        <v>43</v>
      </c>
      <c r="F148" s="27" t="s">
        <v>43</v>
      </c>
      <c r="G148" s="28" t="s">
        <v>43</v>
      </c>
      <c r="H148" s="29"/>
      <c r="I148" s="29" t="s">
        <v>44</v>
      </c>
      <c r="J148" s="30">
        <v>10</v>
      </c>
      <c r="K148" s="31">
        <f>338.4</f>
        <v>338.4</v>
      </c>
      <c r="L148" s="32" t="s">
        <v>1110</v>
      </c>
      <c r="M148" s="31">
        <f>354.2</f>
        <v>354.2</v>
      </c>
      <c r="N148" s="32" t="s">
        <v>1114</v>
      </c>
      <c r="O148" s="31">
        <f>336.1</f>
        <v>336.1</v>
      </c>
      <c r="P148" s="32" t="s">
        <v>1110</v>
      </c>
      <c r="Q148" s="31">
        <f>348.4</f>
        <v>348.4</v>
      </c>
      <c r="R148" s="32" t="s">
        <v>883</v>
      </c>
      <c r="S148" s="33">
        <f>346.73</f>
        <v>346.73</v>
      </c>
      <c r="T148" s="30">
        <f>50581480</f>
        <v>50581480</v>
      </c>
      <c r="U148" s="30">
        <f>44580</f>
        <v>44580</v>
      </c>
      <c r="V148" s="30">
        <f>17553799392</f>
        <v>17553799392</v>
      </c>
      <c r="W148" s="30">
        <f>15320367</f>
        <v>15320367</v>
      </c>
      <c r="X148" s="34">
        <f>19</f>
        <v>19</v>
      </c>
    </row>
    <row r="149" spans="1:24" x14ac:dyDescent="0.15">
      <c r="A149" s="25" t="s">
        <v>1109</v>
      </c>
      <c r="B149" s="25" t="s">
        <v>409</v>
      </c>
      <c r="C149" s="25" t="s">
        <v>975</v>
      </c>
      <c r="D149" s="25" t="s">
        <v>410</v>
      </c>
      <c r="E149" s="26" t="s">
        <v>43</v>
      </c>
      <c r="F149" s="27" t="s">
        <v>43</v>
      </c>
      <c r="G149" s="28" t="s">
        <v>43</v>
      </c>
      <c r="H149" s="29"/>
      <c r="I149" s="29" t="s">
        <v>44</v>
      </c>
      <c r="J149" s="30">
        <v>10</v>
      </c>
      <c r="K149" s="31">
        <f>46950</f>
        <v>46950</v>
      </c>
      <c r="L149" s="32" t="s">
        <v>1110</v>
      </c>
      <c r="M149" s="31">
        <f>52600</f>
        <v>52600</v>
      </c>
      <c r="N149" s="32" t="s">
        <v>876</v>
      </c>
      <c r="O149" s="31">
        <f>46840</f>
        <v>46840</v>
      </c>
      <c r="P149" s="32" t="s">
        <v>1110</v>
      </c>
      <c r="Q149" s="31">
        <f>48880</f>
        <v>48880</v>
      </c>
      <c r="R149" s="32" t="s">
        <v>883</v>
      </c>
      <c r="S149" s="33">
        <f>48188.82</f>
        <v>48188.82</v>
      </c>
      <c r="T149" s="30">
        <f>10340</f>
        <v>10340</v>
      </c>
      <c r="U149" s="30" t="str">
        <f t="shared" ref="U149:U163" si="0">"－"</f>
        <v>－</v>
      </c>
      <c r="V149" s="30">
        <f>504586700</f>
        <v>504586700</v>
      </c>
      <c r="W149" s="30" t="str">
        <f t="shared" ref="W149:W163" si="1">"－"</f>
        <v>－</v>
      </c>
      <c r="X149" s="34">
        <f>17</f>
        <v>17</v>
      </c>
    </row>
    <row r="150" spans="1:24" x14ac:dyDescent="0.15">
      <c r="A150" s="25" t="s">
        <v>1109</v>
      </c>
      <c r="B150" s="25" t="s">
        <v>411</v>
      </c>
      <c r="C150" s="25" t="s">
        <v>412</v>
      </c>
      <c r="D150" s="25" t="s">
        <v>976</v>
      </c>
      <c r="E150" s="26" t="s">
        <v>43</v>
      </c>
      <c r="F150" s="27" t="s">
        <v>43</v>
      </c>
      <c r="G150" s="28" t="s">
        <v>43</v>
      </c>
      <c r="H150" s="29"/>
      <c r="I150" s="29" t="s">
        <v>44</v>
      </c>
      <c r="J150" s="30">
        <v>10</v>
      </c>
      <c r="K150" s="31">
        <f>4964</f>
        <v>4964</v>
      </c>
      <c r="L150" s="32" t="s">
        <v>1110</v>
      </c>
      <c r="M150" s="31">
        <f>5290</f>
        <v>5290</v>
      </c>
      <c r="N150" s="32" t="s">
        <v>676</v>
      </c>
      <c r="O150" s="31">
        <f>4951</f>
        <v>4951</v>
      </c>
      <c r="P150" s="32" t="s">
        <v>1110</v>
      </c>
      <c r="Q150" s="31">
        <f>5255</f>
        <v>5255</v>
      </c>
      <c r="R150" s="32" t="s">
        <v>883</v>
      </c>
      <c r="S150" s="33">
        <f>5161.37</f>
        <v>5161.37</v>
      </c>
      <c r="T150" s="30">
        <f>70380</f>
        <v>70380</v>
      </c>
      <c r="U150" s="30" t="str">
        <f t="shared" si="0"/>
        <v>－</v>
      </c>
      <c r="V150" s="30">
        <f>364024040</f>
        <v>364024040</v>
      </c>
      <c r="W150" s="30" t="str">
        <f t="shared" si="1"/>
        <v>－</v>
      </c>
      <c r="X150" s="34">
        <f>19</f>
        <v>19</v>
      </c>
    </row>
    <row r="151" spans="1:24" x14ac:dyDescent="0.15">
      <c r="A151" s="25" t="s">
        <v>1109</v>
      </c>
      <c r="B151" s="25" t="s">
        <v>413</v>
      </c>
      <c r="C151" s="25" t="s">
        <v>977</v>
      </c>
      <c r="D151" s="25" t="s">
        <v>978</v>
      </c>
      <c r="E151" s="26" t="s">
        <v>43</v>
      </c>
      <c r="F151" s="27" t="s">
        <v>43</v>
      </c>
      <c r="G151" s="28" t="s">
        <v>43</v>
      </c>
      <c r="H151" s="29"/>
      <c r="I151" s="29" t="s">
        <v>44</v>
      </c>
      <c r="J151" s="30">
        <v>10</v>
      </c>
      <c r="K151" s="31">
        <f>1786.5</f>
        <v>1786.5</v>
      </c>
      <c r="L151" s="32" t="s">
        <v>1110</v>
      </c>
      <c r="M151" s="31">
        <f>1919</f>
        <v>1919</v>
      </c>
      <c r="N151" s="32" t="s">
        <v>874</v>
      </c>
      <c r="O151" s="31">
        <f>1770.5</f>
        <v>1770.5</v>
      </c>
      <c r="P151" s="32" t="s">
        <v>1110</v>
      </c>
      <c r="Q151" s="31">
        <f>1902.5</f>
        <v>1902.5</v>
      </c>
      <c r="R151" s="32" t="s">
        <v>883</v>
      </c>
      <c r="S151" s="33">
        <f>1864.42</f>
        <v>1864.42</v>
      </c>
      <c r="T151" s="30">
        <f>191100</f>
        <v>191100</v>
      </c>
      <c r="U151" s="30" t="str">
        <f t="shared" si="0"/>
        <v>－</v>
      </c>
      <c r="V151" s="30">
        <f>357186310</f>
        <v>357186310</v>
      </c>
      <c r="W151" s="30" t="str">
        <f t="shared" si="1"/>
        <v>－</v>
      </c>
      <c r="X151" s="34">
        <f>19</f>
        <v>19</v>
      </c>
    </row>
    <row r="152" spans="1:24" x14ac:dyDescent="0.15">
      <c r="A152" s="25" t="s">
        <v>1109</v>
      </c>
      <c r="B152" s="25" t="s">
        <v>414</v>
      </c>
      <c r="C152" s="25" t="s">
        <v>415</v>
      </c>
      <c r="D152" s="25" t="s">
        <v>416</v>
      </c>
      <c r="E152" s="26" t="s">
        <v>43</v>
      </c>
      <c r="F152" s="27" t="s">
        <v>43</v>
      </c>
      <c r="G152" s="28" t="s">
        <v>43</v>
      </c>
      <c r="H152" s="29"/>
      <c r="I152" s="29" t="s">
        <v>44</v>
      </c>
      <c r="J152" s="30">
        <v>100</v>
      </c>
      <c r="K152" s="31">
        <f>234.4</f>
        <v>234.4</v>
      </c>
      <c r="L152" s="32" t="s">
        <v>1110</v>
      </c>
      <c r="M152" s="31">
        <f>237.9</f>
        <v>237.9</v>
      </c>
      <c r="N152" s="32" t="s">
        <v>1110</v>
      </c>
      <c r="O152" s="31">
        <f>229.1</f>
        <v>229.1</v>
      </c>
      <c r="P152" s="32" t="s">
        <v>1113</v>
      </c>
      <c r="Q152" s="31">
        <f>231</f>
        <v>231</v>
      </c>
      <c r="R152" s="32" t="s">
        <v>883</v>
      </c>
      <c r="S152" s="33">
        <f>232.38</f>
        <v>232.38</v>
      </c>
      <c r="T152" s="30">
        <f>82700</f>
        <v>82700</v>
      </c>
      <c r="U152" s="30" t="str">
        <f t="shared" si="0"/>
        <v>－</v>
      </c>
      <c r="V152" s="30">
        <f>19226230</f>
        <v>19226230</v>
      </c>
      <c r="W152" s="30" t="str">
        <f t="shared" si="1"/>
        <v>－</v>
      </c>
      <c r="X152" s="34">
        <f>19</f>
        <v>19</v>
      </c>
    </row>
    <row r="153" spans="1:24" x14ac:dyDescent="0.15">
      <c r="A153" s="25" t="s">
        <v>1109</v>
      </c>
      <c r="B153" s="25" t="s">
        <v>417</v>
      </c>
      <c r="C153" s="25" t="s">
        <v>418</v>
      </c>
      <c r="D153" s="25" t="s">
        <v>419</v>
      </c>
      <c r="E153" s="26" t="s">
        <v>43</v>
      </c>
      <c r="F153" s="27" t="s">
        <v>43</v>
      </c>
      <c r="G153" s="28" t="s">
        <v>43</v>
      </c>
      <c r="H153" s="29"/>
      <c r="I153" s="29" t="s">
        <v>44</v>
      </c>
      <c r="J153" s="30">
        <v>10</v>
      </c>
      <c r="K153" s="31">
        <f>1604.5</f>
        <v>1604.5</v>
      </c>
      <c r="L153" s="32" t="s">
        <v>1110</v>
      </c>
      <c r="M153" s="31">
        <f>1992</f>
        <v>1992</v>
      </c>
      <c r="N153" s="32" t="s">
        <v>1124</v>
      </c>
      <c r="O153" s="31">
        <f>1547</f>
        <v>1547</v>
      </c>
      <c r="P153" s="32" t="s">
        <v>1115</v>
      </c>
      <c r="Q153" s="31">
        <f>1569</f>
        <v>1569</v>
      </c>
      <c r="R153" s="32" t="s">
        <v>883</v>
      </c>
      <c r="S153" s="33">
        <f>1576.32</f>
        <v>1576.32</v>
      </c>
      <c r="T153" s="30">
        <f>10370</f>
        <v>10370</v>
      </c>
      <c r="U153" s="30" t="str">
        <f t="shared" si="0"/>
        <v>－</v>
      </c>
      <c r="V153" s="30">
        <f>18029845</f>
        <v>18029845</v>
      </c>
      <c r="W153" s="30" t="str">
        <f t="shared" si="1"/>
        <v>－</v>
      </c>
      <c r="X153" s="34">
        <f>14</f>
        <v>14</v>
      </c>
    </row>
    <row r="154" spans="1:24" x14ac:dyDescent="0.15">
      <c r="A154" s="25" t="s">
        <v>1109</v>
      </c>
      <c r="B154" s="25" t="s">
        <v>420</v>
      </c>
      <c r="C154" s="25" t="s">
        <v>421</v>
      </c>
      <c r="D154" s="25" t="s">
        <v>422</v>
      </c>
      <c r="E154" s="26" t="s">
        <v>43</v>
      </c>
      <c r="F154" s="27" t="s">
        <v>43</v>
      </c>
      <c r="G154" s="28" t="s">
        <v>43</v>
      </c>
      <c r="H154" s="29"/>
      <c r="I154" s="29" t="s">
        <v>44</v>
      </c>
      <c r="J154" s="30">
        <v>10</v>
      </c>
      <c r="K154" s="31">
        <f>544</f>
        <v>544</v>
      </c>
      <c r="L154" s="32" t="s">
        <v>1110</v>
      </c>
      <c r="M154" s="31">
        <f>552.3</f>
        <v>552.29999999999995</v>
      </c>
      <c r="N154" s="32" t="s">
        <v>1114</v>
      </c>
      <c r="O154" s="31">
        <f>526.4</f>
        <v>526.4</v>
      </c>
      <c r="P154" s="32" t="s">
        <v>1116</v>
      </c>
      <c r="Q154" s="31">
        <f>550.3</f>
        <v>550.29999999999995</v>
      </c>
      <c r="R154" s="32" t="s">
        <v>883</v>
      </c>
      <c r="S154" s="33">
        <f>538.84</f>
        <v>538.84</v>
      </c>
      <c r="T154" s="30">
        <f>89550</f>
        <v>89550</v>
      </c>
      <c r="U154" s="30" t="str">
        <f t="shared" si="0"/>
        <v>－</v>
      </c>
      <c r="V154" s="30">
        <f>48643500</f>
        <v>48643500</v>
      </c>
      <c r="W154" s="30" t="str">
        <f t="shared" si="1"/>
        <v>－</v>
      </c>
      <c r="X154" s="34">
        <f>19</f>
        <v>19</v>
      </c>
    </row>
    <row r="155" spans="1:24" x14ac:dyDescent="0.15">
      <c r="A155" s="25" t="s">
        <v>1109</v>
      </c>
      <c r="B155" s="25" t="s">
        <v>423</v>
      </c>
      <c r="C155" s="25" t="s">
        <v>424</v>
      </c>
      <c r="D155" s="25" t="s">
        <v>425</v>
      </c>
      <c r="E155" s="26" t="s">
        <v>43</v>
      </c>
      <c r="F155" s="27" t="s">
        <v>43</v>
      </c>
      <c r="G155" s="28" t="s">
        <v>43</v>
      </c>
      <c r="H155" s="29"/>
      <c r="I155" s="29" t="s">
        <v>44</v>
      </c>
      <c r="J155" s="30">
        <v>10</v>
      </c>
      <c r="K155" s="31">
        <f>2048</f>
        <v>2048</v>
      </c>
      <c r="L155" s="32" t="s">
        <v>1116</v>
      </c>
      <c r="M155" s="31">
        <f>2100</f>
        <v>2100</v>
      </c>
      <c r="N155" s="32" t="s">
        <v>676</v>
      </c>
      <c r="O155" s="31">
        <f>2008</f>
        <v>2008</v>
      </c>
      <c r="P155" s="32" t="s">
        <v>1113</v>
      </c>
      <c r="Q155" s="31">
        <f>2097.5</f>
        <v>2097.5</v>
      </c>
      <c r="R155" s="32" t="s">
        <v>883</v>
      </c>
      <c r="S155" s="33">
        <f>2062.8</f>
        <v>2062.8000000000002</v>
      </c>
      <c r="T155" s="30">
        <f>1660</f>
        <v>1660</v>
      </c>
      <c r="U155" s="30" t="str">
        <f t="shared" si="0"/>
        <v>－</v>
      </c>
      <c r="V155" s="30">
        <f>3400950</f>
        <v>3400950</v>
      </c>
      <c r="W155" s="30" t="str">
        <f t="shared" si="1"/>
        <v>－</v>
      </c>
      <c r="X155" s="34">
        <f>15</f>
        <v>15</v>
      </c>
    </row>
    <row r="156" spans="1:24" x14ac:dyDescent="0.15">
      <c r="A156" s="25" t="s">
        <v>1109</v>
      </c>
      <c r="B156" s="25" t="s">
        <v>426</v>
      </c>
      <c r="C156" s="25" t="s">
        <v>427</v>
      </c>
      <c r="D156" s="25" t="s">
        <v>428</v>
      </c>
      <c r="E156" s="26" t="s">
        <v>43</v>
      </c>
      <c r="F156" s="27" t="s">
        <v>43</v>
      </c>
      <c r="G156" s="28" t="s">
        <v>43</v>
      </c>
      <c r="H156" s="29"/>
      <c r="I156" s="29" t="s">
        <v>44</v>
      </c>
      <c r="J156" s="30">
        <v>10</v>
      </c>
      <c r="K156" s="31">
        <f>919</f>
        <v>919</v>
      </c>
      <c r="L156" s="32" t="s">
        <v>1110</v>
      </c>
      <c r="M156" s="31">
        <f>925.5</f>
        <v>925.5</v>
      </c>
      <c r="N156" s="32" t="s">
        <v>1117</v>
      </c>
      <c r="O156" s="31">
        <f>880.9</f>
        <v>880.9</v>
      </c>
      <c r="P156" s="32" t="s">
        <v>676</v>
      </c>
      <c r="Q156" s="31">
        <f>899.7</f>
        <v>899.7</v>
      </c>
      <c r="R156" s="32" t="s">
        <v>883</v>
      </c>
      <c r="S156" s="33">
        <f>910.75</f>
        <v>910.75</v>
      </c>
      <c r="T156" s="30">
        <f>53380</f>
        <v>53380</v>
      </c>
      <c r="U156" s="30" t="str">
        <f t="shared" si="0"/>
        <v>－</v>
      </c>
      <c r="V156" s="30">
        <f>48264205</f>
        <v>48264205</v>
      </c>
      <c r="W156" s="30" t="str">
        <f t="shared" si="1"/>
        <v>－</v>
      </c>
      <c r="X156" s="34">
        <f>19</f>
        <v>19</v>
      </c>
    </row>
    <row r="157" spans="1:24" x14ac:dyDescent="0.15">
      <c r="A157" s="25" t="s">
        <v>1109</v>
      </c>
      <c r="B157" s="25" t="s">
        <v>429</v>
      </c>
      <c r="C157" s="25" t="s">
        <v>430</v>
      </c>
      <c r="D157" s="25" t="s">
        <v>431</v>
      </c>
      <c r="E157" s="26" t="s">
        <v>43</v>
      </c>
      <c r="F157" s="27" t="s">
        <v>43</v>
      </c>
      <c r="G157" s="28" t="s">
        <v>43</v>
      </c>
      <c r="H157" s="29"/>
      <c r="I157" s="29" t="s">
        <v>44</v>
      </c>
      <c r="J157" s="30">
        <v>10</v>
      </c>
      <c r="K157" s="31">
        <f>594</f>
        <v>594</v>
      </c>
      <c r="L157" s="32" t="s">
        <v>1110</v>
      </c>
      <c r="M157" s="31">
        <f>594</f>
        <v>594</v>
      </c>
      <c r="N157" s="32" t="s">
        <v>1110</v>
      </c>
      <c r="O157" s="31">
        <f>556.6</f>
        <v>556.6</v>
      </c>
      <c r="P157" s="32" t="s">
        <v>676</v>
      </c>
      <c r="Q157" s="31">
        <f>567</f>
        <v>567</v>
      </c>
      <c r="R157" s="32" t="s">
        <v>883</v>
      </c>
      <c r="S157" s="33">
        <f>576.94</f>
        <v>576.94000000000005</v>
      </c>
      <c r="T157" s="30">
        <f>116880</f>
        <v>116880</v>
      </c>
      <c r="U157" s="30" t="str">
        <f t="shared" si="0"/>
        <v>－</v>
      </c>
      <c r="V157" s="30">
        <f>66950737</f>
        <v>66950737</v>
      </c>
      <c r="W157" s="30" t="str">
        <f t="shared" si="1"/>
        <v>－</v>
      </c>
      <c r="X157" s="34">
        <f>19</f>
        <v>19</v>
      </c>
    </row>
    <row r="158" spans="1:24" x14ac:dyDescent="0.15">
      <c r="A158" s="25" t="s">
        <v>1109</v>
      </c>
      <c r="B158" s="25" t="s">
        <v>432</v>
      </c>
      <c r="C158" s="25" t="s">
        <v>433</v>
      </c>
      <c r="D158" s="25" t="s">
        <v>434</v>
      </c>
      <c r="E158" s="26" t="s">
        <v>43</v>
      </c>
      <c r="F158" s="27" t="s">
        <v>43</v>
      </c>
      <c r="G158" s="28" t="s">
        <v>43</v>
      </c>
      <c r="H158" s="29"/>
      <c r="I158" s="29" t="s">
        <v>44</v>
      </c>
      <c r="J158" s="30">
        <v>1</v>
      </c>
      <c r="K158" s="31">
        <f>1451</f>
        <v>1451</v>
      </c>
      <c r="L158" s="32" t="s">
        <v>1110</v>
      </c>
      <c r="M158" s="31">
        <f>1479</f>
        <v>1479</v>
      </c>
      <c r="N158" s="32" t="s">
        <v>1110</v>
      </c>
      <c r="O158" s="31">
        <f>1162</f>
        <v>1162</v>
      </c>
      <c r="P158" s="32" t="s">
        <v>680</v>
      </c>
      <c r="Q158" s="31">
        <f>1310</f>
        <v>1310</v>
      </c>
      <c r="R158" s="32" t="s">
        <v>883</v>
      </c>
      <c r="S158" s="33">
        <f>1299.53</f>
        <v>1299.53</v>
      </c>
      <c r="T158" s="30">
        <f>1540774</f>
        <v>1540774</v>
      </c>
      <c r="U158" s="30" t="str">
        <f t="shared" si="0"/>
        <v>－</v>
      </c>
      <c r="V158" s="30">
        <f>2004495267</f>
        <v>2004495267</v>
      </c>
      <c r="W158" s="30" t="str">
        <f t="shared" si="1"/>
        <v>－</v>
      </c>
      <c r="X158" s="34">
        <f>19</f>
        <v>19</v>
      </c>
    </row>
    <row r="159" spans="1:24" x14ac:dyDescent="0.15">
      <c r="A159" s="25" t="s">
        <v>1109</v>
      </c>
      <c r="B159" s="25" t="s">
        <v>435</v>
      </c>
      <c r="C159" s="25" t="s">
        <v>436</v>
      </c>
      <c r="D159" s="25" t="s">
        <v>437</v>
      </c>
      <c r="E159" s="26" t="s">
        <v>43</v>
      </c>
      <c r="F159" s="27" t="s">
        <v>43</v>
      </c>
      <c r="G159" s="28" t="s">
        <v>43</v>
      </c>
      <c r="H159" s="29"/>
      <c r="I159" s="29" t="s">
        <v>44</v>
      </c>
      <c r="J159" s="30">
        <v>10</v>
      </c>
      <c r="K159" s="31">
        <f>1398.5</f>
        <v>1398.5</v>
      </c>
      <c r="L159" s="32" t="s">
        <v>1110</v>
      </c>
      <c r="M159" s="31">
        <f>1471</f>
        <v>1471</v>
      </c>
      <c r="N159" s="32" t="s">
        <v>1114</v>
      </c>
      <c r="O159" s="31">
        <f>1348</f>
        <v>1348</v>
      </c>
      <c r="P159" s="32" t="s">
        <v>674</v>
      </c>
      <c r="Q159" s="31">
        <f>1462.5</f>
        <v>1462.5</v>
      </c>
      <c r="R159" s="32" t="s">
        <v>883</v>
      </c>
      <c r="S159" s="33">
        <f>1424.21</f>
        <v>1424.21</v>
      </c>
      <c r="T159" s="30">
        <f>58660</f>
        <v>58660</v>
      </c>
      <c r="U159" s="30" t="str">
        <f t="shared" si="0"/>
        <v>－</v>
      </c>
      <c r="V159" s="30">
        <f>83693440</f>
        <v>83693440</v>
      </c>
      <c r="W159" s="30" t="str">
        <f t="shared" si="1"/>
        <v>－</v>
      </c>
      <c r="X159" s="34">
        <f>19</f>
        <v>19</v>
      </c>
    </row>
    <row r="160" spans="1:24" x14ac:dyDescent="0.15">
      <c r="A160" s="25" t="s">
        <v>1109</v>
      </c>
      <c r="B160" s="25" t="s">
        <v>438</v>
      </c>
      <c r="C160" s="25" t="s">
        <v>439</v>
      </c>
      <c r="D160" s="25" t="s">
        <v>440</v>
      </c>
      <c r="E160" s="26" t="s">
        <v>43</v>
      </c>
      <c r="F160" s="27" t="s">
        <v>43</v>
      </c>
      <c r="G160" s="28" t="s">
        <v>43</v>
      </c>
      <c r="H160" s="29"/>
      <c r="I160" s="29" t="s">
        <v>44</v>
      </c>
      <c r="J160" s="30">
        <v>1</v>
      </c>
      <c r="K160" s="31">
        <f>7569</f>
        <v>7569</v>
      </c>
      <c r="L160" s="32" t="s">
        <v>1110</v>
      </c>
      <c r="M160" s="31">
        <f>8370</f>
        <v>8370</v>
      </c>
      <c r="N160" s="32" t="s">
        <v>1117</v>
      </c>
      <c r="O160" s="31">
        <f>7400</f>
        <v>7400</v>
      </c>
      <c r="P160" s="32" t="s">
        <v>674</v>
      </c>
      <c r="Q160" s="31">
        <f>8100</f>
        <v>8100</v>
      </c>
      <c r="R160" s="32" t="s">
        <v>883</v>
      </c>
      <c r="S160" s="33">
        <f>7969.76</f>
        <v>7969.76</v>
      </c>
      <c r="T160" s="30">
        <f>455</f>
        <v>455</v>
      </c>
      <c r="U160" s="30" t="str">
        <f t="shared" si="0"/>
        <v>－</v>
      </c>
      <c r="V160" s="30">
        <f>3671017</f>
        <v>3671017</v>
      </c>
      <c r="W160" s="30" t="str">
        <f t="shared" si="1"/>
        <v>－</v>
      </c>
      <c r="X160" s="34">
        <f>17</f>
        <v>17</v>
      </c>
    </row>
    <row r="161" spans="1:24" x14ac:dyDescent="0.15">
      <c r="A161" s="25" t="s">
        <v>1109</v>
      </c>
      <c r="B161" s="25" t="s">
        <v>441</v>
      </c>
      <c r="C161" s="25" t="s">
        <v>442</v>
      </c>
      <c r="D161" s="25" t="s">
        <v>443</v>
      </c>
      <c r="E161" s="26" t="s">
        <v>43</v>
      </c>
      <c r="F161" s="27" t="s">
        <v>43</v>
      </c>
      <c r="G161" s="28" t="s">
        <v>43</v>
      </c>
      <c r="H161" s="29"/>
      <c r="I161" s="29" t="s">
        <v>44</v>
      </c>
      <c r="J161" s="30">
        <v>100</v>
      </c>
      <c r="K161" s="31">
        <f>442.4</f>
        <v>442.4</v>
      </c>
      <c r="L161" s="32" t="s">
        <v>1110</v>
      </c>
      <c r="M161" s="31">
        <f>450.2</f>
        <v>450.2</v>
      </c>
      <c r="N161" s="32" t="s">
        <v>1112</v>
      </c>
      <c r="O161" s="31">
        <f>431.8</f>
        <v>431.8</v>
      </c>
      <c r="P161" s="32" t="s">
        <v>1124</v>
      </c>
      <c r="Q161" s="31">
        <f>436.9</f>
        <v>436.9</v>
      </c>
      <c r="R161" s="32" t="s">
        <v>883</v>
      </c>
      <c r="S161" s="33">
        <f>439.74</f>
        <v>439.74</v>
      </c>
      <c r="T161" s="30">
        <f>159300</f>
        <v>159300</v>
      </c>
      <c r="U161" s="30" t="str">
        <f t="shared" si="0"/>
        <v>－</v>
      </c>
      <c r="V161" s="30">
        <f>70012100</f>
        <v>70012100</v>
      </c>
      <c r="W161" s="30" t="str">
        <f t="shared" si="1"/>
        <v>－</v>
      </c>
      <c r="X161" s="34">
        <f>19</f>
        <v>19</v>
      </c>
    </row>
    <row r="162" spans="1:24" x14ac:dyDescent="0.15">
      <c r="A162" s="25" t="s">
        <v>1109</v>
      </c>
      <c r="B162" s="25" t="s">
        <v>444</v>
      </c>
      <c r="C162" s="25" t="s">
        <v>445</v>
      </c>
      <c r="D162" s="25" t="s">
        <v>446</v>
      </c>
      <c r="E162" s="26" t="s">
        <v>43</v>
      </c>
      <c r="F162" s="27" t="s">
        <v>43</v>
      </c>
      <c r="G162" s="28" t="s">
        <v>43</v>
      </c>
      <c r="H162" s="29"/>
      <c r="I162" s="29" t="s">
        <v>44</v>
      </c>
      <c r="J162" s="30">
        <v>10</v>
      </c>
      <c r="K162" s="31">
        <f>5082</f>
        <v>5082</v>
      </c>
      <c r="L162" s="32" t="s">
        <v>1110</v>
      </c>
      <c r="M162" s="31">
        <f>5230</f>
        <v>5230</v>
      </c>
      <c r="N162" s="32" t="s">
        <v>874</v>
      </c>
      <c r="O162" s="31">
        <f>4947</f>
        <v>4947</v>
      </c>
      <c r="P162" s="32" t="s">
        <v>876</v>
      </c>
      <c r="Q162" s="31">
        <f>5136</f>
        <v>5136</v>
      </c>
      <c r="R162" s="32" t="s">
        <v>883</v>
      </c>
      <c r="S162" s="33">
        <f>5077.32</f>
        <v>5077.32</v>
      </c>
      <c r="T162" s="30">
        <f>22280</f>
        <v>22280</v>
      </c>
      <c r="U162" s="30" t="str">
        <f t="shared" si="0"/>
        <v>－</v>
      </c>
      <c r="V162" s="30">
        <f>113086500</f>
        <v>113086500</v>
      </c>
      <c r="W162" s="30" t="str">
        <f t="shared" si="1"/>
        <v>－</v>
      </c>
      <c r="X162" s="34">
        <f>19</f>
        <v>19</v>
      </c>
    </row>
    <row r="163" spans="1:24" x14ac:dyDescent="0.15">
      <c r="A163" s="25" t="s">
        <v>1109</v>
      </c>
      <c r="B163" s="25" t="s">
        <v>447</v>
      </c>
      <c r="C163" s="25" t="s">
        <v>448</v>
      </c>
      <c r="D163" s="25" t="s">
        <v>449</v>
      </c>
      <c r="E163" s="26" t="s">
        <v>43</v>
      </c>
      <c r="F163" s="27" t="s">
        <v>43</v>
      </c>
      <c r="G163" s="28" t="s">
        <v>43</v>
      </c>
      <c r="H163" s="29"/>
      <c r="I163" s="29" t="s">
        <v>44</v>
      </c>
      <c r="J163" s="30">
        <v>10</v>
      </c>
      <c r="K163" s="31">
        <f>2190</f>
        <v>2190</v>
      </c>
      <c r="L163" s="32" t="s">
        <v>1110</v>
      </c>
      <c r="M163" s="31">
        <f>2491</f>
        <v>2491</v>
      </c>
      <c r="N163" s="32" t="s">
        <v>1111</v>
      </c>
      <c r="O163" s="31">
        <f>2150</f>
        <v>2150</v>
      </c>
      <c r="P163" s="32" t="s">
        <v>674</v>
      </c>
      <c r="Q163" s="31">
        <f>2419.5</f>
        <v>2419.5</v>
      </c>
      <c r="R163" s="32" t="s">
        <v>883</v>
      </c>
      <c r="S163" s="33">
        <f>2255.03</f>
        <v>2255.0300000000002</v>
      </c>
      <c r="T163" s="30">
        <f>25190</f>
        <v>25190</v>
      </c>
      <c r="U163" s="30" t="str">
        <f t="shared" si="0"/>
        <v>－</v>
      </c>
      <c r="V163" s="30">
        <f>58267470</f>
        <v>58267470</v>
      </c>
      <c r="W163" s="30" t="str">
        <f t="shared" si="1"/>
        <v>－</v>
      </c>
      <c r="X163" s="34">
        <f>19</f>
        <v>19</v>
      </c>
    </row>
    <row r="164" spans="1:24" x14ac:dyDescent="0.15">
      <c r="A164" s="25" t="s">
        <v>1109</v>
      </c>
      <c r="B164" s="25" t="s">
        <v>450</v>
      </c>
      <c r="C164" s="25" t="s">
        <v>451</v>
      </c>
      <c r="D164" s="25" t="s">
        <v>452</v>
      </c>
      <c r="E164" s="26" t="s">
        <v>43</v>
      </c>
      <c r="F164" s="27" t="s">
        <v>43</v>
      </c>
      <c r="G164" s="28" t="s">
        <v>43</v>
      </c>
      <c r="H164" s="29"/>
      <c r="I164" s="29" t="s">
        <v>44</v>
      </c>
      <c r="J164" s="30">
        <v>1</v>
      </c>
      <c r="K164" s="31">
        <f>3655</f>
        <v>3655</v>
      </c>
      <c r="L164" s="32" t="s">
        <v>1110</v>
      </c>
      <c r="M164" s="31">
        <f>3710</f>
        <v>3710</v>
      </c>
      <c r="N164" s="32" t="s">
        <v>1117</v>
      </c>
      <c r="O164" s="31">
        <f>3450</f>
        <v>3450</v>
      </c>
      <c r="P164" s="32" t="s">
        <v>1118</v>
      </c>
      <c r="Q164" s="31">
        <f>3590</f>
        <v>3590</v>
      </c>
      <c r="R164" s="32" t="s">
        <v>883</v>
      </c>
      <c r="S164" s="33">
        <f>3599.21</f>
        <v>3599.21</v>
      </c>
      <c r="T164" s="30">
        <f>195924</f>
        <v>195924</v>
      </c>
      <c r="U164" s="30">
        <f>77</f>
        <v>77</v>
      </c>
      <c r="V164" s="30">
        <f>702883705</f>
        <v>702883705</v>
      </c>
      <c r="W164" s="30">
        <f>280790</f>
        <v>280790</v>
      </c>
      <c r="X164" s="34">
        <f>19</f>
        <v>19</v>
      </c>
    </row>
    <row r="165" spans="1:24" x14ac:dyDescent="0.15">
      <c r="A165" s="25" t="s">
        <v>1109</v>
      </c>
      <c r="B165" s="25" t="s">
        <v>453</v>
      </c>
      <c r="C165" s="25" t="s">
        <v>454</v>
      </c>
      <c r="D165" s="25" t="s">
        <v>455</v>
      </c>
      <c r="E165" s="26" t="s">
        <v>43</v>
      </c>
      <c r="F165" s="27" t="s">
        <v>43</v>
      </c>
      <c r="G165" s="28" t="s">
        <v>43</v>
      </c>
      <c r="H165" s="29"/>
      <c r="I165" s="29" t="s">
        <v>44</v>
      </c>
      <c r="J165" s="30">
        <v>1</v>
      </c>
      <c r="K165" s="31">
        <f>3350</f>
        <v>3350</v>
      </c>
      <c r="L165" s="32" t="s">
        <v>1110</v>
      </c>
      <c r="M165" s="31">
        <f>3385</f>
        <v>3385</v>
      </c>
      <c r="N165" s="32" t="s">
        <v>1110</v>
      </c>
      <c r="O165" s="31">
        <f>3095</f>
        <v>3095</v>
      </c>
      <c r="P165" s="32" t="s">
        <v>676</v>
      </c>
      <c r="Q165" s="31">
        <f>3215</f>
        <v>3215</v>
      </c>
      <c r="R165" s="32" t="s">
        <v>883</v>
      </c>
      <c r="S165" s="33">
        <f>3254.47</f>
        <v>3254.47</v>
      </c>
      <c r="T165" s="30">
        <f>31721</f>
        <v>31721</v>
      </c>
      <c r="U165" s="30" t="str">
        <f>"－"</f>
        <v>－</v>
      </c>
      <c r="V165" s="30">
        <f>102588330</f>
        <v>102588330</v>
      </c>
      <c r="W165" s="30" t="str">
        <f>"－"</f>
        <v>－</v>
      </c>
      <c r="X165" s="34">
        <f>19</f>
        <v>19</v>
      </c>
    </row>
    <row r="166" spans="1:24" x14ac:dyDescent="0.15">
      <c r="A166" s="25" t="s">
        <v>1109</v>
      </c>
      <c r="B166" s="25" t="s">
        <v>456</v>
      </c>
      <c r="C166" s="25" t="s">
        <v>457</v>
      </c>
      <c r="D166" s="25" t="s">
        <v>458</v>
      </c>
      <c r="E166" s="26" t="s">
        <v>43</v>
      </c>
      <c r="F166" s="27" t="s">
        <v>43</v>
      </c>
      <c r="G166" s="28" t="s">
        <v>43</v>
      </c>
      <c r="H166" s="29"/>
      <c r="I166" s="29" t="s">
        <v>44</v>
      </c>
      <c r="J166" s="30">
        <v>10</v>
      </c>
      <c r="K166" s="31">
        <f>4298</f>
        <v>4298</v>
      </c>
      <c r="L166" s="32" t="s">
        <v>1110</v>
      </c>
      <c r="M166" s="31">
        <f>4298</f>
        <v>4298</v>
      </c>
      <c r="N166" s="32" t="s">
        <v>1110</v>
      </c>
      <c r="O166" s="31">
        <f>4077</f>
        <v>4077</v>
      </c>
      <c r="P166" s="32" t="s">
        <v>883</v>
      </c>
      <c r="Q166" s="31">
        <f>4077</f>
        <v>4077</v>
      </c>
      <c r="R166" s="32" t="s">
        <v>883</v>
      </c>
      <c r="S166" s="33">
        <f>4216.68</f>
        <v>4216.68</v>
      </c>
      <c r="T166" s="30">
        <f>9120</f>
        <v>9120</v>
      </c>
      <c r="U166" s="30" t="str">
        <f>"－"</f>
        <v>－</v>
      </c>
      <c r="V166" s="30">
        <f>38414540</f>
        <v>38414540</v>
      </c>
      <c r="W166" s="30" t="str">
        <f>"－"</f>
        <v>－</v>
      </c>
      <c r="X166" s="34">
        <f>19</f>
        <v>19</v>
      </c>
    </row>
    <row r="167" spans="1:24" x14ac:dyDescent="0.15">
      <c r="A167" s="25" t="s">
        <v>1109</v>
      </c>
      <c r="B167" s="25" t="s">
        <v>459</v>
      </c>
      <c r="C167" s="25" t="s">
        <v>460</v>
      </c>
      <c r="D167" s="25" t="s">
        <v>979</v>
      </c>
      <c r="E167" s="26" t="s">
        <v>43</v>
      </c>
      <c r="F167" s="27" t="s">
        <v>43</v>
      </c>
      <c r="G167" s="28" t="s">
        <v>43</v>
      </c>
      <c r="H167" s="29"/>
      <c r="I167" s="29" t="s">
        <v>44</v>
      </c>
      <c r="J167" s="30">
        <v>10</v>
      </c>
      <c r="K167" s="31">
        <f>2783</f>
        <v>2783</v>
      </c>
      <c r="L167" s="32" t="s">
        <v>1110</v>
      </c>
      <c r="M167" s="31">
        <f>2899</f>
        <v>2899</v>
      </c>
      <c r="N167" s="32" t="s">
        <v>1111</v>
      </c>
      <c r="O167" s="31">
        <f>2767</f>
        <v>2767</v>
      </c>
      <c r="P167" s="32" t="s">
        <v>1110</v>
      </c>
      <c r="Q167" s="31">
        <f>2882</f>
        <v>2882</v>
      </c>
      <c r="R167" s="32" t="s">
        <v>883</v>
      </c>
      <c r="S167" s="33">
        <f>2830.13</f>
        <v>2830.13</v>
      </c>
      <c r="T167" s="30">
        <f>257230</f>
        <v>257230</v>
      </c>
      <c r="U167" s="30">
        <f>20150</f>
        <v>20150</v>
      </c>
      <c r="V167" s="30">
        <f>726580395</f>
        <v>726580395</v>
      </c>
      <c r="W167" s="30">
        <f>56287240</f>
        <v>56287240</v>
      </c>
      <c r="X167" s="34">
        <f>19</f>
        <v>19</v>
      </c>
    </row>
    <row r="168" spans="1:24" x14ac:dyDescent="0.15">
      <c r="A168" s="25" t="s">
        <v>1109</v>
      </c>
      <c r="B168" s="25" t="s">
        <v>461</v>
      </c>
      <c r="C168" s="25" t="s">
        <v>980</v>
      </c>
      <c r="D168" s="25" t="s">
        <v>981</v>
      </c>
      <c r="E168" s="26" t="s">
        <v>43</v>
      </c>
      <c r="F168" s="27" t="s">
        <v>43</v>
      </c>
      <c r="G168" s="28" t="s">
        <v>43</v>
      </c>
      <c r="H168" s="29"/>
      <c r="I168" s="29" t="s">
        <v>44</v>
      </c>
      <c r="J168" s="30">
        <v>10</v>
      </c>
      <c r="K168" s="31">
        <f>384.9</f>
        <v>384.9</v>
      </c>
      <c r="L168" s="32" t="s">
        <v>1110</v>
      </c>
      <c r="M168" s="31">
        <f>405.9</f>
        <v>405.9</v>
      </c>
      <c r="N168" s="32" t="s">
        <v>1118</v>
      </c>
      <c r="O168" s="31">
        <f>372.6</f>
        <v>372.6</v>
      </c>
      <c r="P168" s="32" t="s">
        <v>674</v>
      </c>
      <c r="Q168" s="31">
        <f>402.3</f>
        <v>402.3</v>
      </c>
      <c r="R168" s="32" t="s">
        <v>883</v>
      </c>
      <c r="S168" s="33">
        <f>393.35</f>
        <v>393.35</v>
      </c>
      <c r="T168" s="30">
        <f>26152460</f>
        <v>26152460</v>
      </c>
      <c r="U168" s="30">
        <f>14005860</f>
        <v>14005860</v>
      </c>
      <c r="V168" s="30">
        <f>10003559799</f>
        <v>10003559799</v>
      </c>
      <c r="W168" s="30">
        <f>5234236429</f>
        <v>5234236429</v>
      </c>
      <c r="X168" s="34">
        <f>19</f>
        <v>19</v>
      </c>
    </row>
    <row r="169" spans="1:24" x14ac:dyDescent="0.15">
      <c r="A169" s="25" t="s">
        <v>1109</v>
      </c>
      <c r="B169" s="25" t="s">
        <v>1054</v>
      </c>
      <c r="C169" s="25" t="s">
        <v>1055</v>
      </c>
      <c r="D169" s="25" t="s">
        <v>1056</v>
      </c>
      <c r="E169" s="26" t="s">
        <v>43</v>
      </c>
      <c r="F169" s="27" t="s">
        <v>43</v>
      </c>
      <c r="G169" s="28" t="s">
        <v>43</v>
      </c>
      <c r="H169" s="29"/>
      <c r="I169" s="29" t="s">
        <v>44</v>
      </c>
      <c r="J169" s="30">
        <v>10</v>
      </c>
      <c r="K169" s="31">
        <f>535</f>
        <v>535</v>
      </c>
      <c r="L169" s="32" t="s">
        <v>1110</v>
      </c>
      <c r="M169" s="31">
        <f>554.8</f>
        <v>554.79999999999995</v>
      </c>
      <c r="N169" s="32" t="s">
        <v>676</v>
      </c>
      <c r="O169" s="31">
        <f>527</f>
        <v>527</v>
      </c>
      <c r="P169" s="32" t="s">
        <v>876</v>
      </c>
      <c r="Q169" s="31">
        <f>549.9</f>
        <v>549.9</v>
      </c>
      <c r="R169" s="32" t="s">
        <v>883</v>
      </c>
      <c r="S169" s="33">
        <f>539.61</f>
        <v>539.61</v>
      </c>
      <c r="T169" s="30">
        <f>754470</f>
        <v>754470</v>
      </c>
      <c r="U169" s="30" t="str">
        <f>"－"</f>
        <v>－</v>
      </c>
      <c r="V169" s="30">
        <f>406319254</f>
        <v>406319254</v>
      </c>
      <c r="W169" s="30" t="str">
        <f>"－"</f>
        <v>－</v>
      </c>
      <c r="X169" s="34">
        <f>19</f>
        <v>19</v>
      </c>
    </row>
    <row r="170" spans="1:24" x14ac:dyDescent="0.15">
      <c r="A170" s="25" t="s">
        <v>1109</v>
      </c>
      <c r="B170" s="25" t="s">
        <v>1083</v>
      </c>
      <c r="C170" s="25" t="s">
        <v>1084</v>
      </c>
      <c r="D170" s="25" t="s">
        <v>1085</v>
      </c>
      <c r="E170" s="26" t="s">
        <v>43</v>
      </c>
      <c r="F170" s="27" t="s">
        <v>43</v>
      </c>
      <c r="G170" s="28" t="s">
        <v>43</v>
      </c>
      <c r="H170" s="29"/>
      <c r="I170" s="29" t="s">
        <v>44</v>
      </c>
      <c r="J170" s="30">
        <v>10</v>
      </c>
      <c r="K170" s="31">
        <f>200.1</f>
        <v>200.1</v>
      </c>
      <c r="L170" s="32" t="s">
        <v>1110</v>
      </c>
      <c r="M170" s="31">
        <f>206.9</f>
        <v>206.9</v>
      </c>
      <c r="N170" s="32" t="s">
        <v>680</v>
      </c>
      <c r="O170" s="31">
        <f>198.9</f>
        <v>198.9</v>
      </c>
      <c r="P170" s="32" t="s">
        <v>1116</v>
      </c>
      <c r="Q170" s="31">
        <f>204.8</f>
        <v>204.8</v>
      </c>
      <c r="R170" s="32" t="s">
        <v>883</v>
      </c>
      <c r="S170" s="33">
        <f>203.54</f>
        <v>203.54</v>
      </c>
      <c r="T170" s="30">
        <f>2654660</f>
        <v>2654660</v>
      </c>
      <c r="U170" s="30" t="str">
        <f>"－"</f>
        <v>－</v>
      </c>
      <c r="V170" s="30">
        <f>540666412</f>
        <v>540666412</v>
      </c>
      <c r="W170" s="30" t="str">
        <f>"－"</f>
        <v>－</v>
      </c>
      <c r="X170" s="34">
        <f>19</f>
        <v>19</v>
      </c>
    </row>
    <row r="171" spans="1:24" x14ac:dyDescent="0.15">
      <c r="A171" s="25" t="s">
        <v>1109</v>
      </c>
      <c r="B171" s="25" t="s">
        <v>1087</v>
      </c>
      <c r="C171" s="25" t="s">
        <v>1088</v>
      </c>
      <c r="D171" s="25" t="s">
        <v>1089</v>
      </c>
      <c r="E171" s="26" t="s">
        <v>43</v>
      </c>
      <c r="F171" s="27" t="s">
        <v>43</v>
      </c>
      <c r="G171" s="28" t="s">
        <v>43</v>
      </c>
      <c r="H171" s="29"/>
      <c r="I171" s="29" t="s">
        <v>44</v>
      </c>
      <c r="J171" s="30">
        <v>10</v>
      </c>
      <c r="K171" s="31">
        <f>203.1</f>
        <v>203.1</v>
      </c>
      <c r="L171" s="32" t="s">
        <v>1110</v>
      </c>
      <c r="M171" s="31">
        <f>212.2</f>
        <v>212.2</v>
      </c>
      <c r="N171" s="32" t="s">
        <v>676</v>
      </c>
      <c r="O171" s="31">
        <f>202.1</f>
        <v>202.1</v>
      </c>
      <c r="P171" s="32" t="s">
        <v>1110</v>
      </c>
      <c r="Q171" s="31">
        <f>210.4</f>
        <v>210.4</v>
      </c>
      <c r="R171" s="32" t="s">
        <v>883</v>
      </c>
      <c r="S171" s="33">
        <f>207.44</f>
        <v>207.44</v>
      </c>
      <c r="T171" s="30">
        <f>7338460</f>
        <v>7338460</v>
      </c>
      <c r="U171" s="30">
        <f>4070</f>
        <v>4070</v>
      </c>
      <c r="V171" s="30">
        <f>1523740812</f>
        <v>1523740812</v>
      </c>
      <c r="W171" s="30">
        <f>822646</f>
        <v>822646</v>
      </c>
      <c r="X171" s="34">
        <f>19</f>
        <v>19</v>
      </c>
    </row>
    <row r="172" spans="1:24" x14ac:dyDescent="0.15">
      <c r="A172" s="25" t="s">
        <v>1109</v>
      </c>
      <c r="B172" s="25" t="s">
        <v>1090</v>
      </c>
      <c r="C172" s="25" t="s">
        <v>1091</v>
      </c>
      <c r="D172" s="25" t="s">
        <v>1092</v>
      </c>
      <c r="E172" s="26" t="s">
        <v>43</v>
      </c>
      <c r="F172" s="27" t="s">
        <v>43</v>
      </c>
      <c r="G172" s="28" t="s">
        <v>43</v>
      </c>
      <c r="H172" s="29"/>
      <c r="I172" s="29" t="s">
        <v>44</v>
      </c>
      <c r="J172" s="30">
        <v>10</v>
      </c>
      <c r="K172" s="31">
        <f>204.4</f>
        <v>204.4</v>
      </c>
      <c r="L172" s="32" t="s">
        <v>1110</v>
      </c>
      <c r="M172" s="31">
        <f>216.1</f>
        <v>216.1</v>
      </c>
      <c r="N172" s="32" t="s">
        <v>676</v>
      </c>
      <c r="O172" s="31">
        <f>203.7</f>
        <v>203.7</v>
      </c>
      <c r="P172" s="32" t="s">
        <v>1110</v>
      </c>
      <c r="Q172" s="31">
        <f>214.4</f>
        <v>214.4</v>
      </c>
      <c r="R172" s="32" t="s">
        <v>883</v>
      </c>
      <c r="S172" s="33">
        <f>210.51</f>
        <v>210.51</v>
      </c>
      <c r="T172" s="30">
        <f>13653320</f>
        <v>13653320</v>
      </c>
      <c r="U172" s="30">
        <f>720</f>
        <v>720</v>
      </c>
      <c r="V172" s="30">
        <f>2887153872</f>
        <v>2887153872</v>
      </c>
      <c r="W172" s="30">
        <f>140304</f>
        <v>140304</v>
      </c>
      <c r="X172" s="34">
        <f>19</f>
        <v>19</v>
      </c>
    </row>
    <row r="173" spans="1:24" x14ac:dyDescent="0.15">
      <c r="A173" s="25" t="s">
        <v>1109</v>
      </c>
      <c r="B173" s="25" t="s">
        <v>1093</v>
      </c>
      <c r="C173" s="25" t="s">
        <v>1094</v>
      </c>
      <c r="D173" s="25" t="s">
        <v>1095</v>
      </c>
      <c r="E173" s="26" t="s">
        <v>43</v>
      </c>
      <c r="F173" s="27" t="s">
        <v>43</v>
      </c>
      <c r="G173" s="28" t="s">
        <v>43</v>
      </c>
      <c r="H173" s="29"/>
      <c r="I173" s="29" t="s">
        <v>44</v>
      </c>
      <c r="J173" s="30">
        <v>1</v>
      </c>
      <c r="K173" s="31">
        <f>2016</f>
        <v>2016</v>
      </c>
      <c r="L173" s="32" t="s">
        <v>1110</v>
      </c>
      <c r="M173" s="31">
        <f>2020</f>
        <v>2020</v>
      </c>
      <c r="N173" s="32" t="s">
        <v>674</v>
      </c>
      <c r="O173" s="31">
        <f>2003</f>
        <v>2003</v>
      </c>
      <c r="P173" s="32" t="s">
        <v>1113</v>
      </c>
      <c r="Q173" s="31">
        <f>2005</f>
        <v>2005</v>
      </c>
      <c r="R173" s="32" t="s">
        <v>883</v>
      </c>
      <c r="S173" s="33">
        <f>2010.21</f>
        <v>2010.21</v>
      </c>
      <c r="T173" s="30">
        <f>783994</f>
        <v>783994</v>
      </c>
      <c r="U173" s="30">
        <f>560074</f>
        <v>560074</v>
      </c>
      <c r="V173" s="30">
        <f>1577684963</f>
        <v>1577684963</v>
      </c>
      <c r="W173" s="30">
        <f>1126700481</f>
        <v>1126700481</v>
      </c>
      <c r="X173" s="34">
        <f>19</f>
        <v>19</v>
      </c>
    </row>
    <row r="174" spans="1:24" x14ac:dyDescent="0.15">
      <c r="A174" s="25" t="s">
        <v>1109</v>
      </c>
      <c r="B174" s="25" t="s">
        <v>1096</v>
      </c>
      <c r="C174" s="25" t="s">
        <v>1097</v>
      </c>
      <c r="D174" s="25" t="s">
        <v>1098</v>
      </c>
      <c r="E174" s="26" t="s">
        <v>43</v>
      </c>
      <c r="F174" s="27" t="s">
        <v>43</v>
      </c>
      <c r="G174" s="28" t="s">
        <v>43</v>
      </c>
      <c r="H174" s="29"/>
      <c r="I174" s="29" t="s">
        <v>44</v>
      </c>
      <c r="J174" s="30">
        <v>1</v>
      </c>
      <c r="K174" s="31">
        <f>2016</f>
        <v>2016</v>
      </c>
      <c r="L174" s="32" t="s">
        <v>1110</v>
      </c>
      <c r="M174" s="31">
        <f>2027</f>
        <v>2027</v>
      </c>
      <c r="N174" s="32" t="s">
        <v>1116</v>
      </c>
      <c r="O174" s="31">
        <f>1952</f>
        <v>1952</v>
      </c>
      <c r="P174" s="32" t="s">
        <v>1117</v>
      </c>
      <c r="Q174" s="31">
        <f>1962</f>
        <v>1962</v>
      </c>
      <c r="R174" s="32" t="s">
        <v>883</v>
      </c>
      <c r="S174" s="33">
        <f>1974.84</f>
        <v>1974.84</v>
      </c>
      <c r="T174" s="30">
        <f>710786</f>
        <v>710786</v>
      </c>
      <c r="U174" s="30">
        <f>250000</f>
        <v>250000</v>
      </c>
      <c r="V174" s="30">
        <f>1403621739</f>
        <v>1403621739</v>
      </c>
      <c r="W174" s="30">
        <f>489341425</f>
        <v>489341425</v>
      </c>
      <c r="X174" s="34">
        <f>19</f>
        <v>19</v>
      </c>
    </row>
    <row r="175" spans="1:24" x14ac:dyDescent="0.15">
      <c r="A175" s="25" t="s">
        <v>1109</v>
      </c>
      <c r="B175" s="25" t="s">
        <v>1099</v>
      </c>
      <c r="C175" s="25" t="s">
        <v>1100</v>
      </c>
      <c r="D175" s="25" t="s">
        <v>1101</v>
      </c>
      <c r="E175" s="26" t="s">
        <v>43</v>
      </c>
      <c r="F175" s="27" t="s">
        <v>43</v>
      </c>
      <c r="G175" s="28" t="s">
        <v>43</v>
      </c>
      <c r="H175" s="29"/>
      <c r="I175" s="29" t="s">
        <v>44</v>
      </c>
      <c r="J175" s="30">
        <v>1</v>
      </c>
      <c r="K175" s="31">
        <f>1004</f>
        <v>1004</v>
      </c>
      <c r="L175" s="32" t="s">
        <v>1110</v>
      </c>
      <c r="M175" s="31">
        <f>1052</f>
        <v>1052</v>
      </c>
      <c r="N175" s="32" t="s">
        <v>676</v>
      </c>
      <c r="O175" s="31">
        <f>995</f>
        <v>995</v>
      </c>
      <c r="P175" s="32" t="s">
        <v>1115</v>
      </c>
      <c r="Q175" s="31">
        <f>1047</f>
        <v>1047</v>
      </c>
      <c r="R175" s="32" t="s">
        <v>883</v>
      </c>
      <c r="S175" s="33">
        <f>1025.89</f>
        <v>1025.8900000000001</v>
      </c>
      <c r="T175" s="30">
        <f>7243242</f>
        <v>7243242</v>
      </c>
      <c r="U175" s="30">
        <f>177587</f>
        <v>177587</v>
      </c>
      <c r="V175" s="30">
        <f>7402762134</f>
        <v>7402762134</v>
      </c>
      <c r="W175" s="30">
        <f>181161009</f>
        <v>181161009</v>
      </c>
      <c r="X175" s="34">
        <f>19</f>
        <v>19</v>
      </c>
    </row>
    <row r="176" spans="1:24" x14ac:dyDescent="0.15">
      <c r="A176" s="25" t="s">
        <v>1109</v>
      </c>
      <c r="B176" s="25" t="s">
        <v>1103</v>
      </c>
      <c r="C176" s="25" t="s">
        <v>1104</v>
      </c>
      <c r="D176" s="25" t="s">
        <v>1105</v>
      </c>
      <c r="E176" s="26" t="s">
        <v>43</v>
      </c>
      <c r="F176" s="27" t="s">
        <v>43</v>
      </c>
      <c r="G176" s="28" t="s">
        <v>43</v>
      </c>
      <c r="H176" s="29"/>
      <c r="I176" s="29" t="s">
        <v>44</v>
      </c>
      <c r="J176" s="30">
        <v>1</v>
      </c>
      <c r="K176" s="31">
        <f>995</f>
        <v>995</v>
      </c>
      <c r="L176" s="32" t="s">
        <v>1110</v>
      </c>
      <c r="M176" s="31">
        <f>1032</f>
        <v>1032</v>
      </c>
      <c r="N176" s="32" t="s">
        <v>760</v>
      </c>
      <c r="O176" s="31">
        <f>980</f>
        <v>980</v>
      </c>
      <c r="P176" s="32" t="s">
        <v>1124</v>
      </c>
      <c r="Q176" s="31">
        <f>1028</f>
        <v>1028</v>
      </c>
      <c r="R176" s="32" t="s">
        <v>883</v>
      </c>
      <c r="S176" s="33">
        <f>1006.37</f>
        <v>1006.37</v>
      </c>
      <c r="T176" s="30">
        <f>210801</f>
        <v>210801</v>
      </c>
      <c r="U176" s="30">
        <f>1</f>
        <v>1</v>
      </c>
      <c r="V176" s="30">
        <f>210451943</f>
        <v>210451943</v>
      </c>
      <c r="W176" s="30">
        <f>996</f>
        <v>996</v>
      </c>
      <c r="X176" s="34">
        <f>19</f>
        <v>19</v>
      </c>
    </row>
    <row r="177" spans="1:24" x14ac:dyDescent="0.15">
      <c r="A177" s="25" t="s">
        <v>1109</v>
      </c>
      <c r="B177" s="25" t="s">
        <v>1106</v>
      </c>
      <c r="C177" s="25" t="s">
        <v>1107</v>
      </c>
      <c r="D177" s="25" t="s">
        <v>1108</v>
      </c>
      <c r="E177" s="26" t="s">
        <v>43</v>
      </c>
      <c r="F177" s="27" t="s">
        <v>43</v>
      </c>
      <c r="G177" s="28" t="s">
        <v>43</v>
      </c>
      <c r="H177" s="29"/>
      <c r="I177" s="29" t="s">
        <v>44</v>
      </c>
      <c r="J177" s="30">
        <v>1</v>
      </c>
      <c r="K177" s="31">
        <f>1007</f>
        <v>1007</v>
      </c>
      <c r="L177" s="32" t="s">
        <v>1110</v>
      </c>
      <c r="M177" s="31">
        <f>1038</f>
        <v>1038</v>
      </c>
      <c r="N177" s="32" t="s">
        <v>676</v>
      </c>
      <c r="O177" s="31">
        <f>995</f>
        <v>995</v>
      </c>
      <c r="P177" s="32" t="s">
        <v>1115</v>
      </c>
      <c r="Q177" s="31">
        <f>1032</f>
        <v>1032</v>
      </c>
      <c r="R177" s="32" t="s">
        <v>883</v>
      </c>
      <c r="S177" s="33">
        <f>1018.05</f>
        <v>1018.05</v>
      </c>
      <c r="T177" s="30">
        <f>470729</f>
        <v>470729</v>
      </c>
      <c r="U177" s="30">
        <f>352</f>
        <v>352</v>
      </c>
      <c r="V177" s="30">
        <f>476062557</f>
        <v>476062557</v>
      </c>
      <c r="W177" s="30">
        <f>340593</f>
        <v>340593</v>
      </c>
      <c r="X177" s="34">
        <f>19</f>
        <v>19</v>
      </c>
    </row>
    <row r="178" spans="1:24" x14ac:dyDescent="0.15">
      <c r="A178" s="25" t="s">
        <v>1109</v>
      </c>
      <c r="B178" s="25" t="s">
        <v>462</v>
      </c>
      <c r="C178" s="25" t="s">
        <v>463</v>
      </c>
      <c r="D178" s="25" t="s">
        <v>464</v>
      </c>
      <c r="E178" s="26" t="s">
        <v>43</v>
      </c>
      <c r="F178" s="27" t="s">
        <v>43</v>
      </c>
      <c r="G178" s="28" t="s">
        <v>43</v>
      </c>
      <c r="H178" s="29"/>
      <c r="I178" s="29" t="s">
        <v>465</v>
      </c>
      <c r="J178" s="30">
        <v>1</v>
      </c>
      <c r="K178" s="31">
        <f>3525</f>
        <v>3525</v>
      </c>
      <c r="L178" s="32" t="s">
        <v>1110</v>
      </c>
      <c r="M178" s="31">
        <f>4215</f>
        <v>4215</v>
      </c>
      <c r="N178" s="32" t="s">
        <v>1114</v>
      </c>
      <c r="O178" s="31">
        <f>3490</f>
        <v>3490</v>
      </c>
      <c r="P178" s="32" t="s">
        <v>674</v>
      </c>
      <c r="Q178" s="31">
        <f>4035</f>
        <v>4035</v>
      </c>
      <c r="R178" s="32" t="s">
        <v>883</v>
      </c>
      <c r="S178" s="33">
        <f>3860.26</f>
        <v>3860.26</v>
      </c>
      <c r="T178" s="30">
        <f>190355</f>
        <v>190355</v>
      </c>
      <c r="U178" s="30" t="str">
        <f>"－"</f>
        <v>－</v>
      </c>
      <c r="V178" s="30">
        <f>738010745</f>
        <v>738010745</v>
      </c>
      <c r="W178" s="30" t="str">
        <f>"－"</f>
        <v>－</v>
      </c>
      <c r="X178" s="34">
        <f>19</f>
        <v>19</v>
      </c>
    </row>
    <row r="179" spans="1:24" x14ac:dyDescent="0.15">
      <c r="A179" s="25" t="s">
        <v>1109</v>
      </c>
      <c r="B179" s="25" t="s">
        <v>466</v>
      </c>
      <c r="C179" s="25" t="s">
        <v>467</v>
      </c>
      <c r="D179" s="25" t="s">
        <v>468</v>
      </c>
      <c r="E179" s="26" t="s">
        <v>43</v>
      </c>
      <c r="F179" s="27" t="s">
        <v>43</v>
      </c>
      <c r="G179" s="28" t="s">
        <v>43</v>
      </c>
      <c r="H179" s="29"/>
      <c r="I179" s="29" t="s">
        <v>465</v>
      </c>
      <c r="J179" s="30">
        <v>1</v>
      </c>
      <c r="K179" s="31">
        <f>10515</f>
        <v>10515</v>
      </c>
      <c r="L179" s="32" t="s">
        <v>1110</v>
      </c>
      <c r="M179" s="31">
        <f>10750</f>
        <v>10750</v>
      </c>
      <c r="N179" s="32" t="s">
        <v>674</v>
      </c>
      <c r="O179" s="31">
        <f>9785</f>
        <v>9785</v>
      </c>
      <c r="P179" s="32" t="s">
        <v>676</v>
      </c>
      <c r="Q179" s="31">
        <f>9969</f>
        <v>9969</v>
      </c>
      <c r="R179" s="32" t="s">
        <v>883</v>
      </c>
      <c r="S179" s="33">
        <f>10164.63</f>
        <v>10164.629999999999</v>
      </c>
      <c r="T179" s="30">
        <f>15525</f>
        <v>15525</v>
      </c>
      <c r="U179" s="30" t="str">
        <f>"－"</f>
        <v>－</v>
      </c>
      <c r="V179" s="30">
        <f>158349452</f>
        <v>158349452</v>
      </c>
      <c r="W179" s="30" t="str">
        <f>"－"</f>
        <v>－</v>
      </c>
      <c r="X179" s="34">
        <f>19</f>
        <v>19</v>
      </c>
    </row>
    <row r="180" spans="1:24" x14ac:dyDescent="0.15">
      <c r="A180" s="25" t="s">
        <v>1109</v>
      </c>
      <c r="B180" s="25" t="s">
        <v>469</v>
      </c>
      <c r="C180" s="25" t="s">
        <v>470</v>
      </c>
      <c r="D180" s="25" t="s">
        <v>471</v>
      </c>
      <c r="E180" s="26" t="s">
        <v>43</v>
      </c>
      <c r="F180" s="27" t="s">
        <v>43</v>
      </c>
      <c r="G180" s="28" t="s">
        <v>43</v>
      </c>
      <c r="H180" s="29"/>
      <c r="I180" s="29" t="s">
        <v>465</v>
      </c>
      <c r="J180" s="30">
        <v>1</v>
      </c>
      <c r="K180" s="31">
        <f>11965</f>
        <v>11965</v>
      </c>
      <c r="L180" s="32" t="s">
        <v>1110</v>
      </c>
      <c r="M180" s="31">
        <f>13730</f>
        <v>13730</v>
      </c>
      <c r="N180" s="32" t="s">
        <v>676</v>
      </c>
      <c r="O180" s="31">
        <f>11965</f>
        <v>11965</v>
      </c>
      <c r="P180" s="32" t="s">
        <v>1110</v>
      </c>
      <c r="Q180" s="31">
        <f>13540</f>
        <v>13540</v>
      </c>
      <c r="R180" s="32" t="s">
        <v>1114</v>
      </c>
      <c r="S180" s="33">
        <f>13152.5</f>
        <v>13152.5</v>
      </c>
      <c r="T180" s="30">
        <f>1597</f>
        <v>1597</v>
      </c>
      <c r="U180" s="30" t="str">
        <f>"－"</f>
        <v>－</v>
      </c>
      <c r="V180" s="30">
        <f>20946165</f>
        <v>20946165</v>
      </c>
      <c r="W180" s="30" t="str">
        <f>"－"</f>
        <v>－</v>
      </c>
      <c r="X180" s="34">
        <f>18</f>
        <v>18</v>
      </c>
    </row>
    <row r="181" spans="1:24" x14ac:dyDescent="0.15">
      <c r="A181" s="25" t="s">
        <v>1109</v>
      </c>
      <c r="B181" s="25" t="s">
        <v>472</v>
      </c>
      <c r="C181" s="25" t="s">
        <v>473</v>
      </c>
      <c r="D181" s="25" t="s">
        <v>474</v>
      </c>
      <c r="E181" s="26" t="s">
        <v>43</v>
      </c>
      <c r="F181" s="27" t="s">
        <v>43</v>
      </c>
      <c r="G181" s="28" t="s">
        <v>43</v>
      </c>
      <c r="H181" s="29"/>
      <c r="I181" s="29" t="s">
        <v>465</v>
      </c>
      <c r="J181" s="30">
        <v>1</v>
      </c>
      <c r="K181" s="31">
        <f>8034</f>
        <v>8034</v>
      </c>
      <c r="L181" s="32" t="s">
        <v>1110</v>
      </c>
      <c r="M181" s="31">
        <f>8098</f>
        <v>8098</v>
      </c>
      <c r="N181" s="32" t="s">
        <v>1110</v>
      </c>
      <c r="O181" s="31">
        <f>7694</f>
        <v>7694</v>
      </c>
      <c r="P181" s="32" t="s">
        <v>674</v>
      </c>
      <c r="Q181" s="31">
        <f>7850</f>
        <v>7850</v>
      </c>
      <c r="R181" s="32" t="s">
        <v>883</v>
      </c>
      <c r="S181" s="33">
        <f>7879.26</f>
        <v>7879.26</v>
      </c>
      <c r="T181" s="30">
        <f>5844</f>
        <v>5844</v>
      </c>
      <c r="U181" s="30">
        <f>20</f>
        <v>20</v>
      </c>
      <c r="V181" s="30">
        <f>46000325</f>
        <v>46000325</v>
      </c>
      <c r="W181" s="30">
        <f>156000</f>
        <v>156000</v>
      </c>
      <c r="X181" s="34">
        <f>19</f>
        <v>19</v>
      </c>
    </row>
    <row r="182" spans="1:24" x14ac:dyDescent="0.15">
      <c r="A182" s="25" t="s">
        <v>1109</v>
      </c>
      <c r="B182" s="25" t="s">
        <v>475</v>
      </c>
      <c r="C182" s="25" t="s">
        <v>476</v>
      </c>
      <c r="D182" s="25" t="s">
        <v>477</v>
      </c>
      <c r="E182" s="26" t="s">
        <v>43</v>
      </c>
      <c r="F182" s="27" t="s">
        <v>43</v>
      </c>
      <c r="G182" s="28" t="s">
        <v>43</v>
      </c>
      <c r="H182" s="29"/>
      <c r="I182" s="29" t="s">
        <v>465</v>
      </c>
      <c r="J182" s="30">
        <v>1</v>
      </c>
      <c r="K182" s="31">
        <f>38610</f>
        <v>38610</v>
      </c>
      <c r="L182" s="32" t="s">
        <v>1110</v>
      </c>
      <c r="M182" s="31">
        <f>40260</f>
        <v>40260</v>
      </c>
      <c r="N182" s="32" t="s">
        <v>1114</v>
      </c>
      <c r="O182" s="31">
        <f>38370</f>
        <v>38370</v>
      </c>
      <c r="P182" s="32" t="s">
        <v>1117</v>
      </c>
      <c r="Q182" s="31">
        <f>40040</f>
        <v>40040</v>
      </c>
      <c r="R182" s="32" t="s">
        <v>883</v>
      </c>
      <c r="S182" s="33">
        <f>39226.84</f>
        <v>39226.839999999997</v>
      </c>
      <c r="T182" s="30">
        <f>25967</f>
        <v>25967</v>
      </c>
      <c r="U182" s="30">
        <f>120</f>
        <v>120</v>
      </c>
      <c r="V182" s="30">
        <f>1019038070</f>
        <v>1019038070</v>
      </c>
      <c r="W182" s="30">
        <f>4689270</f>
        <v>4689270</v>
      </c>
      <c r="X182" s="34">
        <f>19</f>
        <v>19</v>
      </c>
    </row>
    <row r="183" spans="1:24" x14ac:dyDescent="0.15">
      <c r="A183" s="25" t="s">
        <v>1109</v>
      </c>
      <c r="B183" s="25" t="s">
        <v>478</v>
      </c>
      <c r="C183" s="25" t="s">
        <v>479</v>
      </c>
      <c r="D183" s="25" t="s">
        <v>480</v>
      </c>
      <c r="E183" s="26" t="s">
        <v>43</v>
      </c>
      <c r="F183" s="27" t="s">
        <v>43</v>
      </c>
      <c r="G183" s="28" t="s">
        <v>43</v>
      </c>
      <c r="H183" s="29"/>
      <c r="I183" s="29" t="s">
        <v>465</v>
      </c>
      <c r="J183" s="30">
        <v>1</v>
      </c>
      <c r="K183" s="31">
        <f>3435</f>
        <v>3435</v>
      </c>
      <c r="L183" s="32" t="s">
        <v>1110</v>
      </c>
      <c r="M183" s="31">
        <f>3475</f>
        <v>3475</v>
      </c>
      <c r="N183" s="32" t="s">
        <v>1110</v>
      </c>
      <c r="O183" s="31">
        <f>3385</f>
        <v>3385</v>
      </c>
      <c r="P183" s="32" t="s">
        <v>876</v>
      </c>
      <c r="Q183" s="31">
        <f>3420</f>
        <v>3420</v>
      </c>
      <c r="R183" s="32" t="s">
        <v>883</v>
      </c>
      <c r="S183" s="33">
        <f>3429.47</f>
        <v>3429.47</v>
      </c>
      <c r="T183" s="30">
        <f>7227</f>
        <v>7227</v>
      </c>
      <c r="U183" s="30" t="str">
        <f>"－"</f>
        <v>－</v>
      </c>
      <c r="V183" s="30">
        <f>24778425</f>
        <v>24778425</v>
      </c>
      <c r="W183" s="30" t="str">
        <f>"－"</f>
        <v>－</v>
      </c>
      <c r="X183" s="34">
        <f>19</f>
        <v>19</v>
      </c>
    </row>
    <row r="184" spans="1:24" x14ac:dyDescent="0.15">
      <c r="A184" s="25" t="s">
        <v>1109</v>
      </c>
      <c r="B184" s="25" t="s">
        <v>481</v>
      </c>
      <c r="C184" s="25" t="s">
        <v>482</v>
      </c>
      <c r="D184" s="25" t="s">
        <v>483</v>
      </c>
      <c r="E184" s="26" t="s">
        <v>43</v>
      </c>
      <c r="F184" s="27" t="s">
        <v>43</v>
      </c>
      <c r="G184" s="28" t="s">
        <v>43</v>
      </c>
      <c r="H184" s="29"/>
      <c r="I184" s="29" t="s">
        <v>465</v>
      </c>
      <c r="J184" s="30">
        <v>1</v>
      </c>
      <c r="K184" s="31">
        <f>1796</f>
        <v>1796</v>
      </c>
      <c r="L184" s="32" t="s">
        <v>1110</v>
      </c>
      <c r="M184" s="31">
        <f>1961</f>
        <v>1961</v>
      </c>
      <c r="N184" s="32" t="s">
        <v>1118</v>
      </c>
      <c r="O184" s="31">
        <f>1708</f>
        <v>1708</v>
      </c>
      <c r="P184" s="32" t="s">
        <v>674</v>
      </c>
      <c r="Q184" s="31">
        <f>1920</f>
        <v>1920</v>
      </c>
      <c r="R184" s="32" t="s">
        <v>883</v>
      </c>
      <c r="S184" s="33">
        <f>1862.84</f>
        <v>1862.84</v>
      </c>
      <c r="T184" s="30">
        <f>9188906</f>
        <v>9188906</v>
      </c>
      <c r="U184" s="30">
        <f>53</f>
        <v>53</v>
      </c>
      <c r="V184" s="30">
        <f>17066218647</f>
        <v>17066218647</v>
      </c>
      <c r="W184" s="30">
        <f>101390</f>
        <v>101390</v>
      </c>
      <c r="X184" s="34">
        <f>19</f>
        <v>19</v>
      </c>
    </row>
    <row r="185" spans="1:24" x14ac:dyDescent="0.15">
      <c r="A185" s="25" t="s">
        <v>1109</v>
      </c>
      <c r="B185" s="25" t="s">
        <v>484</v>
      </c>
      <c r="C185" s="25" t="s">
        <v>485</v>
      </c>
      <c r="D185" s="25" t="s">
        <v>486</v>
      </c>
      <c r="E185" s="26" t="s">
        <v>43</v>
      </c>
      <c r="F185" s="27" t="s">
        <v>43</v>
      </c>
      <c r="G185" s="28" t="s">
        <v>43</v>
      </c>
      <c r="H185" s="29"/>
      <c r="I185" s="29" t="s">
        <v>465</v>
      </c>
      <c r="J185" s="30">
        <v>1</v>
      </c>
      <c r="K185" s="31">
        <f>1066</f>
        <v>1066</v>
      </c>
      <c r="L185" s="32" t="s">
        <v>1110</v>
      </c>
      <c r="M185" s="31">
        <f>1094</f>
        <v>1094</v>
      </c>
      <c r="N185" s="32" t="s">
        <v>674</v>
      </c>
      <c r="O185" s="31">
        <f>1029</f>
        <v>1029</v>
      </c>
      <c r="P185" s="32" t="s">
        <v>1118</v>
      </c>
      <c r="Q185" s="31">
        <f>1036</f>
        <v>1036</v>
      </c>
      <c r="R185" s="32" t="s">
        <v>883</v>
      </c>
      <c r="S185" s="33">
        <f>1052.26</f>
        <v>1052.26</v>
      </c>
      <c r="T185" s="30">
        <f>1031884</f>
        <v>1031884</v>
      </c>
      <c r="U185" s="30" t="str">
        <f>"－"</f>
        <v>－</v>
      </c>
      <c r="V185" s="30">
        <f>1085876477</f>
        <v>1085876477</v>
      </c>
      <c r="W185" s="30" t="str">
        <f>"－"</f>
        <v>－</v>
      </c>
      <c r="X185" s="34">
        <f>19</f>
        <v>19</v>
      </c>
    </row>
    <row r="186" spans="1:24" x14ac:dyDescent="0.15">
      <c r="A186" s="25" t="s">
        <v>1109</v>
      </c>
      <c r="B186" s="25" t="s">
        <v>487</v>
      </c>
      <c r="C186" s="25" t="s">
        <v>488</v>
      </c>
      <c r="D186" s="25" t="s">
        <v>489</v>
      </c>
      <c r="E186" s="26" t="s">
        <v>43</v>
      </c>
      <c r="F186" s="27" t="s">
        <v>43</v>
      </c>
      <c r="G186" s="28" t="s">
        <v>43</v>
      </c>
      <c r="H186" s="29"/>
      <c r="I186" s="29" t="s">
        <v>465</v>
      </c>
      <c r="J186" s="30">
        <v>1</v>
      </c>
      <c r="K186" s="31">
        <f>28240</f>
        <v>28240</v>
      </c>
      <c r="L186" s="32" t="s">
        <v>1110</v>
      </c>
      <c r="M186" s="31">
        <f>29200</f>
        <v>29200</v>
      </c>
      <c r="N186" s="32" t="s">
        <v>676</v>
      </c>
      <c r="O186" s="31">
        <f>28040</f>
        <v>28040</v>
      </c>
      <c r="P186" s="32" t="s">
        <v>1110</v>
      </c>
      <c r="Q186" s="31">
        <f>28955</f>
        <v>28955</v>
      </c>
      <c r="R186" s="32" t="s">
        <v>883</v>
      </c>
      <c r="S186" s="33">
        <f>28643.42</f>
        <v>28643.42</v>
      </c>
      <c r="T186" s="30">
        <f>25585</f>
        <v>25585</v>
      </c>
      <c r="U186" s="30" t="str">
        <f>"－"</f>
        <v>－</v>
      </c>
      <c r="V186" s="30">
        <f>734779045</f>
        <v>734779045</v>
      </c>
      <c r="W186" s="30" t="str">
        <f>"－"</f>
        <v>－</v>
      </c>
      <c r="X186" s="34">
        <f>19</f>
        <v>19</v>
      </c>
    </row>
    <row r="187" spans="1:24" x14ac:dyDescent="0.15">
      <c r="A187" s="25" t="s">
        <v>1109</v>
      </c>
      <c r="B187" s="25" t="s">
        <v>490</v>
      </c>
      <c r="C187" s="25" t="s">
        <v>491</v>
      </c>
      <c r="D187" s="25" t="s">
        <v>492</v>
      </c>
      <c r="E187" s="26" t="s">
        <v>43</v>
      </c>
      <c r="F187" s="27" t="s">
        <v>43</v>
      </c>
      <c r="G187" s="28" t="s">
        <v>43</v>
      </c>
      <c r="H187" s="29"/>
      <c r="I187" s="29" t="s">
        <v>465</v>
      </c>
      <c r="J187" s="30">
        <v>1</v>
      </c>
      <c r="K187" s="31">
        <f>2622</f>
        <v>2622</v>
      </c>
      <c r="L187" s="32" t="s">
        <v>1110</v>
      </c>
      <c r="M187" s="31">
        <f>2626</f>
        <v>2626</v>
      </c>
      <c r="N187" s="32" t="s">
        <v>1124</v>
      </c>
      <c r="O187" s="31">
        <f>2545</f>
        <v>2545</v>
      </c>
      <c r="P187" s="32" t="s">
        <v>676</v>
      </c>
      <c r="Q187" s="31">
        <f>2561</f>
        <v>2561</v>
      </c>
      <c r="R187" s="32" t="s">
        <v>883</v>
      </c>
      <c r="S187" s="33">
        <f>2585.79</f>
        <v>2585.79</v>
      </c>
      <c r="T187" s="30">
        <f>172052</f>
        <v>172052</v>
      </c>
      <c r="U187" s="30">
        <f>215</f>
        <v>215</v>
      </c>
      <c r="V187" s="30">
        <f>445700000</f>
        <v>445700000</v>
      </c>
      <c r="W187" s="30">
        <f>552865</f>
        <v>552865</v>
      </c>
      <c r="X187" s="34">
        <f>19</f>
        <v>19</v>
      </c>
    </row>
    <row r="188" spans="1:24" x14ac:dyDescent="0.15">
      <c r="A188" s="25" t="s">
        <v>1109</v>
      </c>
      <c r="B188" s="25" t="s">
        <v>493</v>
      </c>
      <c r="C188" s="25" t="s">
        <v>1057</v>
      </c>
      <c r="D188" s="25" t="s">
        <v>1058</v>
      </c>
      <c r="E188" s="26" t="s">
        <v>43</v>
      </c>
      <c r="F188" s="27" t="s">
        <v>43</v>
      </c>
      <c r="G188" s="28" t="s">
        <v>43</v>
      </c>
      <c r="H188" s="29"/>
      <c r="I188" s="29" t="s">
        <v>465</v>
      </c>
      <c r="J188" s="30">
        <v>1</v>
      </c>
      <c r="K188" s="31">
        <f>7582</f>
        <v>7582</v>
      </c>
      <c r="L188" s="32" t="s">
        <v>1110</v>
      </c>
      <c r="M188" s="31">
        <f>8385</f>
        <v>8385</v>
      </c>
      <c r="N188" s="32" t="s">
        <v>1114</v>
      </c>
      <c r="O188" s="31">
        <f>7466</f>
        <v>7466</v>
      </c>
      <c r="P188" s="32" t="s">
        <v>1115</v>
      </c>
      <c r="Q188" s="31">
        <f>8286</f>
        <v>8286</v>
      </c>
      <c r="R188" s="32" t="s">
        <v>883</v>
      </c>
      <c r="S188" s="33">
        <f>7821.79</f>
        <v>7821.79</v>
      </c>
      <c r="T188" s="30">
        <f>123400</f>
        <v>123400</v>
      </c>
      <c r="U188" s="30">
        <f>4960</f>
        <v>4960</v>
      </c>
      <c r="V188" s="30">
        <f>979848819</f>
        <v>979848819</v>
      </c>
      <c r="W188" s="30">
        <f>39038306</f>
        <v>39038306</v>
      </c>
      <c r="X188" s="34">
        <f>19</f>
        <v>19</v>
      </c>
    </row>
    <row r="189" spans="1:24" x14ac:dyDescent="0.15">
      <c r="A189" s="25" t="s">
        <v>1109</v>
      </c>
      <c r="B189" s="25" t="s">
        <v>494</v>
      </c>
      <c r="C189" s="25" t="s">
        <v>495</v>
      </c>
      <c r="D189" s="25" t="s">
        <v>496</v>
      </c>
      <c r="E189" s="26" t="s">
        <v>43</v>
      </c>
      <c r="F189" s="27" t="s">
        <v>43</v>
      </c>
      <c r="G189" s="28" t="s">
        <v>43</v>
      </c>
      <c r="H189" s="29"/>
      <c r="I189" s="29" t="s">
        <v>465</v>
      </c>
      <c r="J189" s="30">
        <v>1</v>
      </c>
      <c r="K189" s="31">
        <f>17055</f>
        <v>17055</v>
      </c>
      <c r="L189" s="32" t="s">
        <v>1116</v>
      </c>
      <c r="M189" s="31">
        <f>18430</f>
        <v>18430</v>
      </c>
      <c r="N189" s="32" t="s">
        <v>874</v>
      </c>
      <c r="O189" s="31">
        <f>17055</f>
        <v>17055</v>
      </c>
      <c r="P189" s="32" t="s">
        <v>1116</v>
      </c>
      <c r="Q189" s="31">
        <f>17840</f>
        <v>17840</v>
      </c>
      <c r="R189" s="32" t="s">
        <v>883</v>
      </c>
      <c r="S189" s="33">
        <f>17783</f>
        <v>17783</v>
      </c>
      <c r="T189" s="30">
        <f>597</f>
        <v>597</v>
      </c>
      <c r="U189" s="30" t="str">
        <f>"－"</f>
        <v>－</v>
      </c>
      <c r="V189" s="30">
        <f>10608940</f>
        <v>10608940</v>
      </c>
      <c r="W189" s="30" t="str">
        <f>"－"</f>
        <v>－</v>
      </c>
      <c r="X189" s="34">
        <f>15</f>
        <v>15</v>
      </c>
    </row>
    <row r="190" spans="1:24" x14ac:dyDescent="0.15">
      <c r="A190" s="25" t="s">
        <v>1109</v>
      </c>
      <c r="B190" s="25" t="s">
        <v>497</v>
      </c>
      <c r="C190" s="25" t="s">
        <v>498</v>
      </c>
      <c r="D190" s="25" t="s">
        <v>499</v>
      </c>
      <c r="E190" s="26" t="s">
        <v>43</v>
      </c>
      <c r="F190" s="27" t="s">
        <v>43</v>
      </c>
      <c r="G190" s="28" t="s">
        <v>43</v>
      </c>
      <c r="H190" s="29"/>
      <c r="I190" s="29" t="s">
        <v>465</v>
      </c>
      <c r="J190" s="30">
        <v>1</v>
      </c>
      <c r="K190" s="31">
        <f>26725</f>
        <v>26725</v>
      </c>
      <c r="L190" s="32" t="s">
        <v>1110</v>
      </c>
      <c r="M190" s="31">
        <f>27610</f>
        <v>27610</v>
      </c>
      <c r="N190" s="32" t="s">
        <v>883</v>
      </c>
      <c r="O190" s="31">
        <f>26370</f>
        <v>26370</v>
      </c>
      <c r="P190" s="32" t="s">
        <v>1110</v>
      </c>
      <c r="Q190" s="31">
        <f>27610</f>
        <v>27610</v>
      </c>
      <c r="R190" s="32" t="s">
        <v>883</v>
      </c>
      <c r="S190" s="33">
        <f>27076.58</f>
        <v>27076.58</v>
      </c>
      <c r="T190" s="30">
        <f>15943</f>
        <v>15943</v>
      </c>
      <c r="U190" s="30">
        <f>1</f>
        <v>1</v>
      </c>
      <c r="V190" s="30">
        <f>430213500</f>
        <v>430213500</v>
      </c>
      <c r="W190" s="30">
        <f>27600</f>
        <v>27600</v>
      </c>
      <c r="X190" s="34">
        <f>19</f>
        <v>19</v>
      </c>
    </row>
    <row r="191" spans="1:24" x14ac:dyDescent="0.15">
      <c r="A191" s="25" t="s">
        <v>1109</v>
      </c>
      <c r="B191" s="25" t="s">
        <v>500</v>
      </c>
      <c r="C191" s="25" t="s">
        <v>501</v>
      </c>
      <c r="D191" s="25" t="s">
        <v>502</v>
      </c>
      <c r="E191" s="26" t="s">
        <v>43</v>
      </c>
      <c r="F191" s="27" t="s">
        <v>43</v>
      </c>
      <c r="G191" s="28" t="s">
        <v>43</v>
      </c>
      <c r="H191" s="29"/>
      <c r="I191" s="29" t="s">
        <v>465</v>
      </c>
      <c r="J191" s="30">
        <v>1</v>
      </c>
      <c r="K191" s="31">
        <f>16195</f>
        <v>16195</v>
      </c>
      <c r="L191" s="32" t="s">
        <v>1110</v>
      </c>
      <c r="M191" s="31">
        <f>16595</f>
        <v>16595</v>
      </c>
      <c r="N191" s="32" t="s">
        <v>680</v>
      </c>
      <c r="O191" s="31">
        <f>15900</f>
        <v>15900</v>
      </c>
      <c r="P191" s="32" t="s">
        <v>1115</v>
      </c>
      <c r="Q191" s="31">
        <f>15995</f>
        <v>15995</v>
      </c>
      <c r="R191" s="32" t="s">
        <v>883</v>
      </c>
      <c r="S191" s="33">
        <f>16202.86</f>
        <v>16202.86</v>
      </c>
      <c r="T191" s="30">
        <f>235</f>
        <v>235</v>
      </c>
      <c r="U191" s="30" t="str">
        <f>"－"</f>
        <v>－</v>
      </c>
      <c r="V191" s="30">
        <f>3808635</f>
        <v>3808635</v>
      </c>
      <c r="W191" s="30" t="str">
        <f>"－"</f>
        <v>－</v>
      </c>
      <c r="X191" s="34">
        <f>14</f>
        <v>14</v>
      </c>
    </row>
    <row r="192" spans="1:24" x14ac:dyDescent="0.15">
      <c r="A192" s="25" t="s">
        <v>1109</v>
      </c>
      <c r="B192" s="25" t="s">
        <v>503</v>
      </c>
      <c r="C192" s="25" t="s">
        <v>504</v>
      </c>
      <c r="D192" s="25" t="s">
        <v>505</v>
      </c>
      <c r="E192" s="26" t="s">
        <v>43</v>
      </c>
      <c r="F192" s="27" t="s">
        <v>43</v>
      </c>
      <c r="G192" s="28" t="s">
        <v>43</v>
      </c>
      <c r="H192" s="29"/>
      <c r="I192" s="29" t="s">
        <v>465</v>
      </c>
      <c r="J192" s="30">
        <v>1</v>
      </c>
      <c r="K192" s="31">
        <f>27350</f>
        <v>27350</v>
      </c>
      <c r="L192" s="32" t="s">
        <v>1110</v>
      </c>
      <c r="M192" s="31">
        <f>29580</f>
        <v>29580</v>
      </c>
      <c r="N192" s="32" t="s">
        <v>1114</v>
      </c>
      <c r="O192" s="31">
        <f>27200</f>
        <v>27200</v>
      </c>
      <c r="P192" s="32" t="s">
        <v>1110</v>
      </c>
      <c r="Q192" s="31">
        <f>28700</f>
        <v>28700</v>
      </c>
      <c r="R192" s="32" t="s">
        <v>883</v>
      </c>
      <c r="S192" s="33">
        <f>28267.63</f>
        <v>28267.63</v>
      </c>
      <c r="T192" s="30">
        <f>90781</f>
        <v>90781</v>
      </c>
      <c r="U192" s="30">
        <f>143</f>
        <v>143</v>
      </c>
      <c r="V192" s="30">
        <f>2576518640</f>
        <v>2576518640</v>
      </c>
      <c r="W192" s="30">
        <f>3949595</f>
        <v>3949595</v>
      </c>
      <c r="X192" s="34">
        <f>19</f>
        <v>19</v>
      </c>
    </row>
    <row r="193" spans="1:24" x14ac:dyDescent="0.15">
      <c r="A193" s="25" t="s">
        <v>1109</v>
      </c>
      <c r="B193" s="25" t="s">
        <v>506</v>
      </c>
      <c r="C193" s="25" t="s">
        <v>507</v>
      </c>
      <c r="D193" s="25" t="s">
        <v>508</v>
      </c>
      <c r="E193" s="26" t="s">
        <v>43</v>
      </c>
      <c r="F193" s="27" t="s">
        <v>43</v>
      </c>
      <c r="G193" s="28" t="s">
        <v>43</v>
      </c>
      <c r="H193" s="29"/>
      <c r="I193" s="29" t="s">
        <v>465</v>
      </c>
      <c r="J193" s="30">
        <v>1</v>
      </c>
      <c r="K193" s="31">
        <f>3890</f>
        <v>3890</v>
      </c>
      <c r="L193" s="32" t="s">
        <v>1110</v>
      </c>
      <c r="M193" s="31">
        <f>4035</f>
        <v>4035</v>
      </c>
      <c r="N193" s="32" t="s">
        <v>1117</v>
      </c>
      <c r="O193" s="31">
        <f>3805</f>
        <v>3805</v>
      </c>
      <c r="P193" s="32" t="s">
        <v>1115</v>
      </c>
      <c r="Q193" s="31">
        <f>3925</f>
        <v>3925</v>
      </c>
      <c r="R193" s="32" t="s">
        <v>883</v>
      </c>
      <c r="S193" s="33">
        <f>3910.79</f>
        <v>3910.79</v>
      </c>
      <c r="T193" s="30">
        <f>2942</f>
        <v>2942</v>
      </c>
      <c r="U193" s="30" t="str">
        <f t="shared" ref="U193:U204" si="2">"－"</f>
        <v>－</v>
      </c>
      <c r="V193" s="30">
        <f>11477360</f>
        <v>11477360</v>
      </c>
      <c r="W193" s="30" t="str">
        <f t="shared" ref="W193:W204" si="3">"－"</f>
        <v>－</v>
      </c>
      <c r="X193" s="34">
        <f>19</f>
        <v>19</v>
      </c>
    </row>
    <row r="194" spans="1:24" x14ac:dyDescent="0.15">
      <c r="A194" s="25" t="s">
        <v>1109</v>
      </c>
      <c r="B194" s="25" t="s">
        <v>509</v>
      </c>
      <c r="C194" s="25" t="s">
        <v>510</v>
      </c>
      <c r="D194" s="25" t="s">
        <v>511</v>
      </c>
      <c r="E194" s="26" t="s">
        <v>43</v>
      </c>
      <c r="F194" s="27" t="s">
        <v>43</v>
      </c>
      <c r="G194" s="28" t="s">
        <v>43</v>
      </c>
      <c r="H194" s="29"/>
      <c r="I194" s="29" t="s">
        <v>465</v>
      </c>
      <c r="J194" s="30">
        <v>1</v>
      </c>
      <c r="K194" s="31">
        <f>25935</f>
        <v>25935</v>
      </c>
      <c r="L194" s="32" t="s">
        <v>1110</v>
      </c>
      <c r="M194" s="31">
        <f>27670</f>
        <v>27670</v>
      </c>
      <c r="N194" s="32" t="s">
        <v>1114</v>
      </c>
      <c r="O194" s="31">
        <f>25385</f>
        <v>25385</v>
      </c>
      <c r="P194" s="32" t="s">
        <v>1116</v>
      </c>
      <c r="Q194" s="31">
        <f>27300</f>
        <v>27300</v>
      </c>
      <c r="R194" s="32" t="s">
        <v>883</v>
      </c>
      <c r="S194" s="33">
        <f>26624.44</f>
        <v>26624.44</v>
      </c>
      <c r="T194" s="30">
        <f>1383</f>
        <v>1383</v>
      </c>
      <c r="U194" s="30" t="str">
        <f t="shared" si="2"/>
        <v>－</v>
      </c>
      <c r="V194" s="30">
        <f>36821340</f>
        <v>36821340</v>
      </c>
      <c r="W194" s="30" t="str">
        <f t="shared" si="3"/>
        <v>－</v>
      </c>
      <c r="X194" s="34">
        <f>18</f>
        <v>18</v>
      </c>
    </row>
    <row r="195" spans="1:24" x14ac:dyDescent="0.15">
      <c r="A195" s="25" t="s">
        <v>1109</v>
      </c>
      <c r="B195" s="25" t="s">
        <v>512</v>
      </c>
      <c r="C195" s="25" t="s">
        <v>513</v>
      </c>
      <c r="D195" s="25" t="s">
        <v>514</v>
      </c>
      <c r="E195" s="26" t="s">
        <v>43</v>
      </c>
      <c r="F195" s="27" t="s">
        <v>43</v>
      </c>
      <c r="G195" s="28" t="s">
        <v>43</v>
      </c>
      <c r="H195" s="29"/>
      <c r="I195" s="29" t="s">
        <v>465</v>
      </c>
      <c r="J195" s="30">
        <v>1</v>
      </c>
      <c r="K195" s="31">
        <f>17400</f>
        <v>17400</v>
      </c>
      <c r="L195" s="32" t="s">
        <v>674</v>
      </c>
      <c r="M195" s="31">
        <f>17935</f>
        <v>17935</v>
      </c>
      <c r="N195" s="32" t="s">
        <v>676</v>
      </c>
      <c r="O195" s="31">
        <f>17320</f>
        <v>17320</v>
      </c>
      <c r="P195" s="32" t="s">
        <v>1123</v>
      </c>
      <c r="Q195" s="31">
        <f>17735</f>
        <v>17735</v>
      </c>
      <c r="R195" s="32" t="s">
        <v>883</v>
      </c>
      <c r="S195" s="33">
        <f>17597.5</f>
        <v>17597.5</v>
      </c>
      <c r="T195" s="30">
        <f>65</f>
        <v>65</v>
      </c>
      <c r="U195" s="30" t="str">
        <f t="shared" si="2"/>
        <v>－</v>
      </c>
      <c r="V195" s="30">
        <f>1140950</f>
        <v>1140950</v>
      </c>
      <c r="W195" s="30" t="str">
        <f t="shared" si="3"/>
        <v>－</v>
      </c>
      <c r="X195" s="34">
        <f>10</f>
        <v>10</v>
      </c>
    </row>
    <row r="196" spans="1:24" x14ac:dyDescent="0.15">
      <c r="A196" s="25" t="s">
        <v>1109</v>
      </c>
      <c r="B196" s="25" t="s">
        <v>515</v>
      </c>
      <c r="C196" s="25" t="s">
        <v>516</v>
      </c>
      <c r="D196" s="25" t="s">
        <v>517</v>
      </c>
      <c r="E196" s="26" t="s">
        <v>43</v>
      </c>
      <c r="F196" s="27" t="s">
        <v>43</v>
      </c>
      <c r="G196" s="28" t="s">
        <v>43</v>
      </c>
      <c r="H196" s="29"/>
      <c r="I196" s="29" t="s">
        <v>465</v>
      </c>
      <c r="J196" s="30">
        <v>1</v>
      </c>
      <c r="K196" s="31">
        <f>29300</f>
        <v>29300</v>
      </c>
      <c r="L196" s="32" t="s">
        <v>1110</v>
      </c>
      <c r="M196" s="31">
        <f>31370</f>
        <v>31370</v>
      </c>
      <c r="N196" s="32" t="s">
        <v>1114</v>
      </c>
      <c r="O196" s="31">
        <f>29300</f>
        <v>29300</v>
      </c>
      <c r="P196" s="32" t="s">
        <v>1110</v>
      </c>
      <c r="Q196" s="31">
        <f>31000</f>
        <v>31000</v>
      </c>
      <c r="R196" s="32" t="s">
        <v>1114</v>
      </c>
      <c r="S196" s="33">
        <f>30288.57</f>
        <v>30288.57</v>
      </c>
      <c r="T196" s="30">
        <f>191</f>
        <v>191</v>
      </c>
      <c r="U196" s="30" t="str">
        <f t="shared" si="2"/>
        <v>－</v>
      </c>
      <c r="V196" s="30">
        <f>5807880</f>
        <v>5807880</v>
      </c>
      <c r="W196" s="30" t="str">
        <f t="shared" si="3"/>
        <v>－</v>
      </c>
      <c r="X196" s="34">
        <f>14</f>
        <v>14</v>
      </c>
    </row>
    <row r="197" spans="1:24" x14ac:dyDescent="0.15">
      <c r="A197" s="25" t="s">
        <v>1109</v>
      </c>
      <c r="B197" s="25" t="s">
        <v>518</v>
      </c>
      <c r="C197" s="25" t="s">
        <v>519</v>
      </c>
      <c r="D197" s="25" t="s">
        <v>520</v>
      </c>
      <c r="E197" s="26" t="s">
        <v>43</v>
      </c>
      <c r="F197" s="27" t="s">
        <v>43</v>
      </c>
      <c r="G197" s="28" t="s">
        <v>43</v>
      </c>
      <c r="H197" s="29"/>
      <c r="I197" s="29" t="s">
        <v>465</v>
      </c>
      <c r="J197" s="30">
        <v>1</v>
      </c>
      <c r="K197" s="31">
        <f>18270</f>
        <v>18270</v>
      </c>
      <c r="L197" s="32" t="s">
        <v>680</v>
      </c>
      <c r="M197" s="31">
        <f>18470</f>
        <v>18470</v>
      </c>
      <c r="N197" s="32" t="s">
        <v>1111</v>
      </c>
      <c r="O197" s="31">
        <f>18270</f>
        <v>18270</v>
      </c>
      <c r="P197" s="32" t="s">
        <v>680</v>
      </c>
      <c r="Q197" s="31">
        <f>18390</f>
        <v>18390</v>
      </c>
      <c r="R197" s="32" t="s">
        <v>1114</v>
      </c>
      <c r="S197" s="33">
        <f>18376.67</f>
        <v>18376.669999999998</v>
      </c>
      <c r="T197" s="30">
        <f>5695</f>
        <v>5695</v>
      </c>
      <c r="U197" s="30" t="str">
        <f t="shared" si="2"/>
        <v>－</v>
      </c>
      <c r="V197" s="30">
        <f>104837250</f>
        <v>104837250</v>
      </c>
      <c r="W197" s="30" t="str">
        <f t="shared" si="3"/>
        <v>－</v>
      </c>
      <c r="X197" s="34">
        <f>3</f>
        <v>3</v>
      </c>
    </row>
    <row r="198" spans="1:24" x14ac:dyDescent="0.15">
      <c r="A198" s="25" t="s">
        <v>1109</v>
      </c>
      <c r="B198" s="25" t="s">
        <v>521</v>
      </c>
      <c r="C198" s="25" t="s">
        <v>522</v>
      </c>
      <c r="D198" s="25" t="s">
        <v>523</v>
      </c>
      <c r="E198" s="26" t="s">
        <v>43</v>
      </c>
      <c r="F198" s="27" t="s">
        <v>43</v>
      </c>
      <c r="G198" s="28" t="s">
        <v>43</v>
      </c>
      <c r="H198" s="29"/>
      <c r="I198" s="29" t="s">
        <v>465</v>
      </c>
      <c r="J198" s="30">
        <v>1</v>
      </c>
      <c r="K198" s="31">
        <f>17815</f>
        <v>17815</v>
      </c>
      <c r="L198" s="32" t="s">
        <v>1116</v>
      </c>
      <c r="M198" s="31">
        <f>18930</f>
        <v>18930</v>
      </c>
      <c r="N198" s="32" t="s">
        <v>676</v>
      </c>
      <c r="O198" s="31">
        <f>17700</f>
        <v>17700</v>
      </c>
      <c r="P198" s="32" t="s">
        <v>1116</v>
      </c>
      <c r="Q198" s="31">
        <f>18730</f>
        <v>18730</v>
      </c>
      <c r="R198" s="32" t="s">
        <v>883</v>
      </c>
      <c r="S198" s="33">
        <f>18370</f>
        <v>18370</v>
      </c>
      <c r="T198" s="30">
        <f>993</f>
        <v>993</v>
      </c>
      <c r="U198" s="30" t="str">
        <f t="shared" si="2"/>
        <v>－</v>
      </c>
      <c r="V198" s="30">
        <f>18209730</f>
        <v>18209730</v>
      </c>
      <c r="W198" s="30" t="str">
        <f t="shared" si="3"/>
        <v>－</v>
      </c>
      <c r="X198" s="34">
        <f>16</f>
        <v>16</v>
      </c>
    </row>
    <row r="199" spans="1:24" x14ac:dyDescent="0.15">
      <c r="A199" s="25" t="s">
        <v>1109</v>
      </c>
      <c r="B199" s="25" t="s">
        <v>524</v>
      </c>
      <c r="C199" s="25" t="s">
        <v>525</v>
      </c>
      <c r="D199" s="25" t="s">
        <v>526</v>
      </c>
      <c r="E199" s="26" t="s">
        <v>43</v>
      </c>
      <c r="F199" s="27" t="s">
        <v>43</v>
      </c>
      <c r="G199" s="28" t="s">
        <v>43</v>
      </c>
      <c r="H199" s="29"/>
      <c r="I199" s="29" t="s">
        <v>465</v>
      </c>
      <c r="J199" s="30">
        <v>1</v>
      </c>
      <c r="K199" s="31">
        <f>20835</f>
        <v>20835</v>
      </c>
      <c r="L199" s="32" t="s">
        <v>1110</v>
      </c>
      <c r="M199" s="31">
        <f>21000</f>
        <v>21000</v>
      </c>
      <c r="N199" s="32" t="s">
        <v>1124</v>
      </c>
      <c r="O199" s="31">
        <f>20725</f>
        <v>20725</v>
      </c>
      <c r="P199" s="32" t="s">
        <v>1110</v>
      </c>
      <c r="Q199" s="31">
        <f>21000</f>
        <v>21000</v>
      </c>
      <c r="R199" s="32" t="s">
        <v>1124</v>
      </c>
      <c r="S199" s="33">
        <f>20862.5</f>
        <v>20862.5</v>
      </c>
      <c r="T199" s="30">
        <f>39</f>
        <v>39</v>
      </c>
      <c r="U199" s="30" t="str">
        <f t="shared" si="2"/>
        <v>－</v>
      </c>
      <c r="V199" s="30">
        <f>813885</f>
        <v>813885</v>
      </c>
      <c r="W199" s="30" t="str">
        <f t="shared" si="3"/>
        <v>－</v>
      </c>
      <c r="X199" s="34">
        <f>2</f>
        <v>2</v>
      </c>
    </row>
    <row r="200" spans="1:24" x14ac:dyDescent="0.15">
      <c r="A200" s="25" t="s">
        <v>1109</v>
      </c>
      <c r="B200" s="25" t="s">
        <v>527</v>
      </c>
      <c r="C200" s="25" t="s">
        <v>528</v>
      </c>
      <c r="D200" s="25" t="s">
        <v>529</v>
      </c>
      <c r="E200" s="26" t="s">
        <v>43</v>
      </c>
      <c r="F200" s="27" t="s">
        <v>43</v>
      </c>
      <c r="G200" s="28" t="s">
        <v>43</v>
      </c>
      <c r="H200" s="29"/>
      <c r="I200" s="29" t="s">
        <v>465</v>
      </c>
      <c r="J200" s="30">
        <v>1</v>
      </c>
      <c r="K200" s="31">
        <f>17450</f>
        <v>17450</v>
      </c>
      <c r="L200" s="32" t="s">
        <v>1116</v>
      </c>
      <c r="M200" s="31">
        <f>17450</f>
        <v>17450</v>
      </c>
      <c r="N200" s="32" t="s">
        <v>1116</v>
      </c>
      <c r="O200" s="31">
        <f>17450</f>
        <v>17450</v>
      </c>
      <c r="P200" s="32" t="s">
        <v>1116</v>
      </c>
      <c r="Q200" s="31">
        <f>17450</f>
        <v>17450</v>
      </c>
      <c r="R200" s="32" t="s">
        <v>1116</v>
      </c>
      <c r="S200" s="33">
        <f>17450</f>
        <v>17450</v>
      </c>
      <c r="T200" s="30">
        <f>8</f>
        <v>8</v>
      </c>
      <c r="U200" s="30" t="str">
        <f t="shared" si="2"/>
        <v>－</v>
      </c>
      <c r="V200" s="30">
        <f>139600</f>
        <v>139600</v>
      </c>
      <c r="W200" s="30" t="str">
        <f t="shared" si="3"/>
        <v>－</v>
      </c>
      <c r="X200" s="34">
        <f>1</f>
        <v>1</v>
      </c>
    </row>
    <row r="201" spans="1:24" x14ac:dyDescent="0.15">
      <c r="A201" s="25" t="s">
        <v>1109</v>
      </c>
      <c r="B201" s="25" t="s">
        <v>530</v>
      </c>
      <c r="C201" s="25" t="s">
        <v>531</v>
      </c>
      <c r="D201" s="25" t="s">
        <v>532</v>
      </c>
      <c r="E201" s="26" t="s">
        <v>43</v>
      </c>
      <c r="F201" s="27" t="s">
        <v>43</v>
      </c>
      <c r="G201" s="28" t="s">
        <v>43</v>
      </c>
      <c r="H201" s="29"/>
      <c r="I201" s="29" t="s">
        <v>465</v>
      </c>
      <c r="J201" s="30">
        <v>1</v>
      </c>
      <c r="K201" s="31">
        <f>11045</f>
        <v>11045</v>
      </c>
      <c r="L201" s="32" t="s">
        <v>876</v>
      </c>
      <c r="M201" s="31">
        <f>11295</f>
        <v>11295</v>
      </c>
      <c r="N201" s="32" t="s">
        <v>1114</v>
      </c>
      <c r="O201" s="31">
        <f>11020</f>
        <v>11020</v>
      </c>
      <c r="P201" s="32" t="s">
        <v>876</v>
      </c>
      <c r="Q201" s="31">
        <f>11295</f>
        <v>11295</v>
      </c>
      <c r="R201" s="32" t="s">
        <v>883</v>
      </c>
      <c r="S201" s="33">
        <f>11187.5</f>
        <v>11187.5</v>
      </c>
      <c r="T201" s="30">
        <f>1635</f>
        <v>1635</v>
      </c>
      <c r="U201" s="30" t="str">
        <f t="shared" si="2"/>
        <v>－</v>
      </c>
      <c r="V201" s="30">
        <f>18288280</f>
        <v>18288280</v>
      </c>
      <c r="W201" s="30" t="str">
        <f t="shared" si="3"/>
        <v>－</v>
      </c>
      <c r="X201" s="34">
        <f>8</f>
        <v>8</v>
      </c>
    </row>
    <row r="202" spans="1:24" x14ac:dyDescent="0.15">
      <c r="A202" s="25" t="s">
        <v>1109</v>
      </c>
      <c r="B202" s="25" t="s">
        <v>533</v>
      </c>
      <c r="C202" s="25" t="s">
        <v>534</v>
      </c>
      <c r="D202" s="25" t="s">
        <v>535</v>
      </c>
      <c r="E202" s="26" t="s">
        <v>43</v>
      </c>
      <c r="F202" s="27" t="s">
        <v>43</v>
      </c>
      <c r="G202" s="28" t="s">
        <v>43</v>
      </c>
      <c r="H202" s="29"/>
      <c r="I202" s="29" t="s">
        <v>465</v>
      </c>
      <c r="J202" s="30">
        <v>1</v>
      </c>
      <c r="K202" s="31">
        <f>13160</f>
        <v>13160</v>
      </c>
      <c r="L202" s="32" t="s">
        <v>1110</v>
      </c>
      <c r="M202" s="31">
        <f>13620</f>
        <v>13620</v>
      </c>
      <c r="N202" s="32" t="s">
        <v>676</v>
      </c>
      <c r="O202" s="31">
        <f>13160</f>
        <v>13160</v>
      </c>
      <c r="P202" s="32" t="s">
        <v>1110</v>
      </c>
      <c r="Q202" s="31">
        <f>13470</f>
        <v>13470</v>
      </c>
      <c r="R202" s="32" t="s">
        <v>883</v>
      </c>
      <c r="S202" s="33">
        <f>13382.11</f>
        <v>13382.11</v>
      </c>
      <c r="T202" s="30">
        <f>20371</f>
        <v>20371</v>
      </c>
      <c r="U202" s="30" t="str">
        <f t="shared" si="2"/>
        <v>－</v>
      </c>
      <c r="V202" s="30">
        <f>272899410</f>
        <v>272899410</v>
      </c>
      <c r="W202" s="30" t="str">
        <f t="shared" si="3"/>
        <v>－</v>
      </c>
      <c r="X202" s="34">
        <f>19</f>
        <v>19</v>
      </c>
    </row>
    <row r="203" spans="1:24" x14ac:dyDescent="0.15">
      <c r="A203" s="25" t="s">
        <v>1109</v>
      </c>
      <c r="B203" s="25" t="s">
        <v>536</v>
      </c>
      <c r="C203" s="25" t="s">
        <v>537</v>
      </c>
      <c r="D203" s="25" t="s">
        <v>538</v>
      </c>
      <c r="E203" s="26" t="s">
        <v>43</v>
      </c>
      <c r="F203" s="27" t="s">
        <v>43</v>
      </c>
      <c r="G203" s="28" t="s">
        <v>43</v>
      </c>
      <c r="H203" s="29"/>
      <c r="I203" s="29" t="s">
        <v>465</v>
      </c>
      <c r="J203" s="30">
        <v>1</v>
      </c>
      <c r="K203" s="31">
        <f>12055</f>
        <v>12055</v>
      </c>
      <c r="L203" s="32" t="s">
        <v>1110</v>
      </c>
      <c r="M203" s="31">
        <f>12370</f>
        <v>12370</v>
      </c>
      <c r="N203" s="32" t="s">
        <v>1118</v>
      </c>
      <c r="O203" s="31">
        <f>12015</f>
        <v>12015</v>
      </c>
      <c r="P203" s="32" t="s">
        <v>1115</v>
      </c>
      <c r="Q203" s="31">
        <f>12245</f>
        <v>12245</v>
      </c>
      <c r="R203" s="32" t="s">
        <v>1114</v>
      </c>
      <c r="S203" s="33">
        <f>12185</f>
        <v>12185</v>
      </c>
      <c r="T203" s="30">
        <f>4954</f>
        <v>4954</v>
      </c>
      <c r="U203" s="30" t="str">
        <f t="shared" si="2"/>
        <v>－</v>
      </c>
      <c r="V203" s="30">
        <f>60401460</f>
        <v>60401460</v>
      </c>
      <c r="W203" s="30" t="str">
        <f t="shared" si="3"/>
        <v>－</v>
      </c>
      <c r="X203" s="34">
        <f>13</f>
        <v>13</v>
      </c>
    </row>
    <row r="204" spans="1:24" x14ac:dyDescent="0.15">
      <c r="A204" s="25" t="s">
        <v>1109</v>
      </c>
      <c r="B204" s="25" t="s">
        <v>783</v>
      </c>
      <c r="C204" s="25" t="s">
        <v>784</v>
      </c>
      <c r="D204" s="25" t="s">
        <v>785</v>
      </c>
      <c r="E204" s="26" t="s">
        <v>43</v>
      </c>
      <c r="F204" s="27" t="s">
        <v>43</v>
      </c>
      <c r="G204" s="28" t="s">
        <v>43</v>
      </c>
      <c r="H204" s="29"/>
      <c r="I204" s="29" t="s">
        <v>465</v>
      </c>
      <c r="J204" s="30">
        <v>1</v>
      </c>
      <c r="K204" s="31">
        <f>12210</f>
        <v>12210</v>
      </c>
      <c r="L204" s="32" t="s">
        <v>1110</v>
      </c>
      <c r="M204" s="31">
        <f>12430</f>
        <v>12430</v>
      </c>
      <c r="N204" s="32" t="s">
        <v>883</v>
      </c>
      <c r="O204" s="31">
        <f>12210</f>
        <v>12210</v>
      </c>
      <c r="P204" s="32" t="s">
        <v>1110</v>
      </c>
      <c r="Q204" s="31">
        <f>12430</f>
        <v>12430</v>
      </c>
      <c r="R204" s="32" t="s">
        <v>883</v>
      </c>
      <c r="S204" s="33">
        <f>12304</f>
        <v>12304</v>
      </c>
      <c r="T204" s="30">
        <f>533</f>
        <v>533</v>
      </c>
      <c r="U204" s="30" t="str">
        <f t="shared" si="2"/>
        <v>－</v>
      </c>
      <c r="V204" s="30">
        <f>6535730</f>
        <v>6535730</v>
      </c>
      <c r="W204" s="30" t="str">
        <f t="shared" si="3"/>
        <v>－</v>
      </c>
      <c r="X204" s="34">
        <f>5</f>
        <v>5</v>
      </c>
    </row>
    <row r="205" spans="1:24" x14ac:dyDescent="0.15">
      <c r="A205" s="25" t="s">
        <v>1109</v>
      </c>
      <c r="B205" s="25" t="s">
        <v>991</v>
      </c>
      <c r="C205" s="25" t="s">
        <v>992</v>
      </c>
      <c r="D205" s="25" t="s">
        <v>993</v>
      </c>
      <c r="E205" s="26" t="s">
        <v>43</v>
      </c>
      <c r="F205" s="27" t="s">
        <v>43</v>
      </c>
      <c r="G205" s="28" t="s">
        <v>43</v>
      </c>
      <c r="H205" s="29"/>
      <c r="I205" s="29" t="s">
        <v>44</v>
      </c>
      <c r="J205" s="30">
        <v>1</v>
      </c>
      <c r="K205" s="31">
        <f>1076</f>
        <v>1076</v>
      </c>
      <c r="L205" s="32" t="s">
        <v>1110</v>
      </c>
      <c r="M205" s="31">
        <f>1135</f>
        <v>1135</v>
      </c>
      <c r="N205" s="32" t="s">
        <v>1114</v>
      </c>
      <c r="O205" s="31">
        <f>1068</f>
        <v>1068</v>
      </c>
      <c r="P205" s="32" t="s">
        <v>1116</v>
      </c>
      <c r="Q205" s="31">
        <f>1128</f>
        <v>1128</v>
      </c>
      <c r="R205" s="32" t="s">
        <v>883</v>
      </c>
      <c r="S205" s="33">
        <f>1097.68</f>
        <v>1097.68</v>
      </c>
      <c r="T205" s="30">
        <f>6391712</f>
        <v>6391712</v>
      </c>
      <c r="U205" s="30">
        <f>10658</f>
        <v>10658</v>
      </c>
      <c r="V205" s="30">
        <f>7033841814</f>
        <v>7033841814</v>
      </c>
      <c r="W205" s="30">
        <f>11820405</f>
        <v>11820405</v>
      </c>
      <c r="X205" s="34">
        <f>19</f>
        <v>19</v>
      </c>
    </row>
    <row r="206" spans="1:24" x14ac:dyDescent="0.15">
      <c r="A206" s="25" t="s">
        <v>1109</v>
      </c>
      <c r="B206" s="25" t="s">
        <v>994</v>
      </c>
      <c r="C206" s="25" t="s">
        <v>995</v>
      </c>
      <c r="D206" s="25" t="s">
        <v>996</v>
      </c>
      <c r="E206" s="26" t="s">
        <v>43</v>
      </c>
      <c r="F206" s="27" t="s">
        <v>43</v>
      </c>
      <c r="G206" s="28" t="s">
        <v>43</v>
      </c>
      <c r="H206" s="29"/>
      <c r="I206" s="29" t="s">
        <v>44</v>
      </c>
      <c r="J206" s="30">
        <v>1</v>
      </c>
      <c r="K206" s="31">
        <f>1068</f>
        <v>1068</v>
      </c>
      <c r="L206" s="32" t="s">
        <v>1110</v>
      </c>
      <c r="M206" s="31">
        <f>1199</f>
        <v>1199</v>
      </c>
      <c r="N206" s="32" t="s">
        <v>760</v>
      </c>
      <c r="O206" s="31">
        <f>1066</f>
        <v>1066</v>
      </c>
      <c r="P206" s="32" t="s">
        <v>1110</v>
      </c>
      <c r="Q206" s="31">
        <f>1160</f>
        <v>1160</v>
      </c>
      <c r="R206" s="32" t="s">
        <v>883</v>
      </c>
      <c r="S206" s="33">
        <f>1120.32</f>
        <v>1120.32</v>
      </c>
      <c r="T206" s="30">
        <f>197636</f>
        <v>197636</v>
      </c>
      <c r="U206" s="30" t="str">
        <f>"－"</f>
        <v>－</v>
      </c>
      <c r="V206" s="30">
        <f>225433775</f>
        <v>225433775</v>
      </c>
      <c r="W206" s="30" t="str">
        <f>"－"</f>
        <v>－</v>
      </c>
      <c r="X206" s="34">
        <f>19</f>
        <v>19</v>
      </c>
    </row>
    <row r="207" spans="1:24" x14ac:dyDescent="0.15">
      <c r="A207" s="25" t="s">
        <v>1109</v>
      </c>
      <c r="B207" s="25" t="s">
        <v>997</v>
      </c>
      <c r="C207" s="25" t="s">
        <v>998</v>
      </c>
      <c r="D207" s="25" t="s">
        <v>999</v>
      </c>
      <c r="E207" s="26" t="s">
        <v>43</v>
      </c>
      <c r="F207" s="27" t="s">
        <v>43</v>
      </c>
      <c r="G207" s="28" t="s">
        <v>43</v>
      </c>
      <c r="H207" s="29"/>
      <c r="I207" s="29" t="s">
        <v>44</v>
      </c>
      <c r="J207" s="30">
        <v>1</v>
      </c>
      <c r="K207" s="31">
        <f>1020</f>
        <v>1020</v>
      </c>
      <c r="L207" s="32" t="s">
        <v>1110</v>
      </c>
      <c r="M207" s="31">
        <f>1040</f>
        <v>1040</v>
      </c>
      <c r="N207" s="32" t="s">
        <v>876</v>
      </c>
      <c r="O207" s="31">
        <f>1004</f>
        <v>1004</v>
      </c>
      <c r="P207" s="32" t="s">
        <v>1117</v>
      </c>
      <c r="Q207" s="31">
        <f>1038</f>
        <v>1038</v>
      </c>
      <c r="R207" s="32" t="s">
        <v>883</v>
      </c>
      <c r="S207" s="33">
        <f>1022.16</f>
        <v>1022.16</v>
      </c>
      <c r="T207" s="30">
        <f>56283</f>
        <v>56283</v>
      </c>
      <c r="U207" s="30" t="str">
        <f>"－"</f>
        <v>－</v>
      </c>
      <c r="V207" s="30">
        <f>57457711</f>
        <v>57457711</v>
      </c>
      <c r="W207" s="30" t="str">
        <f>"－"</f>
        <v>－</v>
      </c>
      <c r="X207" s="34">
        <f>19</f>
        <v>19</v>
      </c>
    </row>
    <row r="208" spans="1:24" x14ac:dyDescent="0.15">
      <c r="A208" s="25" t="s">
        <v>1109</v>
      </c>
      <c r="B208" s="25" t="s">
        <v>1000</v>
      </c>
      <c r="C208" s="25" t="s">
        <v>1001</v>
      </c>
      <c r="D208" s="25" t="s">
        <v>1002</v>
      </c>
      <c r="E208" s="26" t="s">
        <v>43</v>
      </c>
      <c r="F208" s="27" t="s">
        <v>43</v>
      </c>
      <c r="G208" s="28" t="s">
        <v>43</v>
      </c>
      <c r="H208" s="29"/>
      <c r="I208" s="29" t="s">
        <v>44</v>
      </c>
      <c r="J208" s="30">
        <v>1</v>
      </c>
      <c r="K208" s="31">
        <f>2109</f>
        <v>2109</v>
      </c>
      <c r="L208" s="32" t="s">
        <v>1110</v>
      </c>
      <c r="M208" s="31">
        <f>2259</f>
        <v>2259</v>
      </c>
      <c r="N208" s="32" t="s">
        <v>883</v>
      </c>
      <c r="O208" s="31">
        <f>2096</f>
        <v>2096</v>
      </c>
      <c r="P208" s="32" t="s">
        <v>1115</v>
      </c>
      <c r="Q208" s="31">
        <f>2258</f>
        <v>2258</v>
      </c>
      <c r="R208" s="32" t="s">
        <v>883</v>
      </c>
      <c r="S208" s="33">
        <f>2174.21</f>
        <v>2174.21</v>
      </c>
      <c r="T208" s="30">
        <f>438979</f>
        <v>438979</v>
      </c>
      <c r="U208" s="30" t="str">
        <f>"－"</f>
        <v>－</v>
      </c>
      <c r="V208" s="30">
        <f>949668574</f>
        <v>949668574</v>
      </c>
      <c r="W208" s="30" t="str">
        <f>"－"</f>
        <v>－</v>
      </c>
      <c r="X208" s="34">
        <f>19</f>
        <v>19</v>
      </c>
    </row>
    <row r="209" spans="1:24" x14ac:dyDescent="0.15">
      <c r="A209" s="25" t="s">
        <v>1109</v>
      </c>
      <c r="B209" s="25" t="s">
        <v>1003</v>
      </c>
      <c r="C209" s="25" t="s">
        <v>1004</v>
      </c>
      <c r="D209" s="25" t="s">
        <v>1005</v>
      </c>
      <c r="E209" s="26" t="s">
        <v>43</v>
      </c>
      <c r="F209" s="27" t="s">
        <v>43</v>
      </c>
      <c r="G209" s="28" t="s">
        <v>43</v>
      </c>
      <c r="H209" s="29"/>
      <c r="I209" s="29" t="s">
        <v>44</v>
      </c>
      <c r="J209" s="30">
        <v>1</v>
      </c>
      <c r="K209" s="31">
        <f>2167</f>
        <v>2167</v>
      </c>
      <c r="L209" s="32" t="s">
        <v>1110</v>
      </c>
      <c r="M209" s="31">
        <f>2269</f>
        <v>2269</v>
      </c>
      <c r="N209" s="32" t="s">
        <v>1111</v>
      </c>
      <c r="O209" s="31">
        <f>2144</f>
        <v>2144</v>
      </c>
      <c r="P209" s="32" t="s">
        <v>876</v>
      </c>
      <c r="Q209" s="31">
        <f>2256</f>
        <v>2256</v>
      </c>
      <c r="R209" s="32" t="s">
        <v>883</v>
      </c>
      <c r="S209" s="33">
        <f>2201.74</f>
        <v>2201.7399999999998</v>
      </c>
      <c r="T209" s="30">
        <f>1161007</f>
        <v>1161007</v>
      </c>
      <c r="U209" s="30">
        <f>22700</f>
        <v>22700</v>
      </c>
      <c r="V209" s="30">
        <f>2560748704</f>
        <v>2560748704</v>
      </c>
      <c r="W209" s="30">
        <f>50272960</f>
        <v>50272960</v>
      </c>
      <c r="X209" s="34">
        <f>19</f>
        <v>19</v>
      </c>
    </row>
    <row r="210" spans="1:24" x14ac:dyDescent="0.15">
      <c r="A210" s="25" t="s">
        <v>1109</v>
      </c>
      <c r="B210" s="25" t="s">
        <v>1006</v>
      </c>
      <c r="C210" s="25" t="s">
        <v>1007</v>
      </c>
      <c r="D210" s="25" t="s">
        <v>1008</v>
      </c>
      <c r="E210" s="26" t="s">
        <v>43</v>
      </c>
      <c r="F210" s="27" t="s">
        <v>43</v>
      </c>
      <c r="G210" s="28" t="s">
        <v>43</v>
      </c>
      <c r="H210" s="29"/>
      <c r="I210" s="29" t="s">
        <v>44</v>
      </c>
      <c r="J210" s="30">
        <v>10</v>
      </c>
      <c r="K210" s="31">
        <f>551.5</f>
        <v>551.5</v>
      </c>
      <c r="L210" s="32" t="s">
        <v>1110</v>
      </c>
      <c r="M210" s="31">
        <f>572.4</f>
        <v>572.4</v>
      </c>
      <c r="N210" s="32" t="s">
        <v>1114</v>
      </c>
      <c r="O210" s="31">
        <f>541.5</f>
        <v>541.5</v>
      </c>
      <c r="P210" s="32" t="s">
        <v>1116</v>
      </c>
      <c r="Q210" s="31">
        <f>566.1</f>
        <v>566.1</v>
      </c>
      <c r="R210" s="32" t="s">
        <v>883</v>
      </c>
      <c r="S210" s="33">
        <f>557.79</f>
        <v>557.79</v>
      </c>
      <c r="T210" s="30">
        <f>5339920</f>
        <v>5339920</v>
      </c>
      <c r="U210" s="30">
        <f>1950000</f>
        <v>1950000</v>
      </c>
      <c r="V210" s="30">
        <f>2971399315</f>
        <v>2971399315</v>
      </c>
      <c r="W210" s="30">
        <f>1080990000</f>
        <v>1080990000</v>
      </c>
      <c r="X210" s="34">
        <f>19</f>
        <v>19</v>
      </c>
    </row>
    <row r="211" spans="1:24" x14ac:dyDescent="0.15">
      <c r="A211" s="25" t="s">
        <v>1109</v>
      </c>
      <c r="B211" s="25" t="s">
        <v>1009</v>
      </c>
      <c r="C211" s="25" t="s">
        <v>1010</v>
      </c>
      <c r="D211" s="25" t="s">
        <v>1011</v>
      </c>
      <c r="E211" s="26" t="s">
        <v>43</v>
      </c>
      <c r="F211" s="27" t="s">
        <v>43</v>
      </c>
      <c r="G211" s="28" t="s">
        <v>43</v>
      </c>
      <c r="H211" s="29"/>
      <c r="I211" s="29" t="s">
        <v>44</v>
      </c>
      <c r="J211" s="30">
        <v>10</v>
      </c>
      <c r="K211" s="31">
        <f>2162</f>
        <v>2162</v>
      </c>
      <c r="L211" s="32" t="s">
        <v>1110</v>
      </c>
      <c r="M211" s="31">
        <f>2261.5</f>
        <v>2261.5</v>
      </c>
      <c r="N211" s="32" t="s">
        <v>676</v>
      </c>
      <c r="O211" s="31">
        <f>2162</f>
        <v>2162</v>
      </c>
      <c r="P211" s="32" t="s">
        <v>1110</v>
      </c>
      <c r="Q211" s="31">
        <f>2252.5</f>
        <v>2252.5</v>
      </c>
      <c r="R211" s="32" t="s">
        <v>883</v>
      </c>
      <c r="S211" s="33">
        <f>2227.06</f>
        <v>2227.06</v>
      </c>
      <c r="T211" s="30">
        <f>495430</f>
        <v>495430</v>
      </c>
      <c r="U211" s="30">
        <f>494000</f>
        <v>494000</v>
      </c>
      <c r="V211" s="30">
        <f>1103176926</f>
        <v>1103176926</v>
      </c>
      <c r="W211" s="30">
        <f>1100010611</f>
        <v>1100010611</v>
      </c>
      <c r="X211" s="34">
        <f>9</f>
        <v>9</v>
      </c>
    </row>
    <row r="212" spans="1:24" x14ac:dyDescent="0.15">
      <c r="A212" s="25" t="s">
        <v>1109</v>
      </c>
      <c r="B212" s="25" t="s">
        <v>1012</v>
      </c>
      <c r="C212" s="25" t="s">
        <v>1013</v>
      </c>
      <c r="D212" s="25" t="s">
        <v>1014</v>
      </c>
      <c r="E212" s="26" t="s">
        <v>43</v>
      </c>
      <c r="F212" s="27" t="s">
        <v>43</v>
      </c>
      <c r="G212" s="28" t="s">
        <v>43</v>
      </c>
      <c r="H212" s="29"/>
      <c r="I212" s="29" t="s">
        <v>44</v>
      </c>
      <c r="J212" s="30">
        <v>10</v>
      </c>
      <c r="K212" s="31">
        <f>2239.5</f>
        <v>2239.5</v>
      </c>
      <c r="L212" s="32" t="s">
        <v>1110</v>
      </c>
      <c r="M212" s="31">
        <f>2352</f>
        <v>2352</v>
      </c>
      <c r="N212" s="32" t="s">
        <v>1112</v>
      </c>
      <c r="O212" s="31">
        <f>2239.5</f>
        <v>2239.5</v>
      </c>
      <c r="P212" s="32" t="s">
        <v>1110</v>
      </c>
      <c r="Q212" s="31">
        <f>2320</f>
        <v>2320</v>
      </c>
      <c r="R212" s="32" t="s">
        <v>883</v>
      </c>
      <c r="S212" s="33">
        <f>2304.12</f>
        <v>2304.12</v>
      </c>
      <c r="T212" s="30">
        <f>3190</f>
        <v>3190</v>
      </c>
      <c r="U212" s="30" t="str">
        <f>"－"</f>
        <v>－</v>
      </c>
      <c r="V212" s="30">
        <f>7349125</f>
        <v>7349125</v>
      </c>
      <c r="W212" s="30" t="str">
        <f>"－"</f>
        <v>－</v>
      </c>
      <c r="X212" s="34">
        <f>17</f>
        <v>17</v>
      </c>
    </row>
    <row r="213" spans="1:24" x14ac:dyDescent="0.15">
      <c r="A213" s="25" t="s">
        <v>1109</v>
      </c>
      <c r="B213" s="25" t="s">
        <v>1015</v>
      </c>
      <c r="C213" s="25" t="s">
        <v>1016</v>
      </c>
      <c r="D213" s="25" t="s">
        <v>1017</v>
      </c>
      <c r="E213" s="26" t="s">
        <v>43</v>
      </c>
      <c r="F213" s="27" t="s">
        <v>43</v>
      </c>
      <c r="G213" s="28" t="s">
        <v>43</v>
      </c>
      <c r="H213" s="29"/>
      <c r="I213" s="29" t="s">
        <v>44</v>
      </c>
      <c r="J213" s="30">
        <v>10</v>
      </c>
      <c r="K213" s="31">
        <f>2219.5</f>
        <v>2219.5</v>
      </c>
      <c r="L213" s="32" t="s">
        <v>676</v>
      </c>
      <c r="M213" s="31">
        <f>2219.5</f>
        <v>2219.5</v>
      </c>
      <c r="N213" s="32" t="s">
        <v>676</v>
      </c>
      <c r="O213" s="31">
        <f>2219.5</f>
        <v>2219.5</v>
      </c>
      <c r="P213" s="32" t="s">
        <v>676</v>
      </c>
      <c r="Q213" s="31">
        <f>2219.5</f>
        <v>2219.5</v>
      </c>
      <c r="R213" s="32" t="s">
        <v>676</v>
      </c>
      <c r="S213" s="33">
        <f>2219.5</f>
        <v>2219.5</v>
      </c>
      <c r="T213" s="30">
        <f>225010</f>
        <v>225010</v>
      </c>
      <c r="U213" s="30">
        <f>225000</f>
        <v>225000</v>
      </c>
      <c r="V213" s="30">
        <f>499224025</f>
        <v>499224025</v>
      </c>
      <c r="W213" s="30">
        <f>499201830</f>
        <v>499201830</v>
      </c>
      <c r="X213" s="34">
        <f>1</f>
        <v>1</v>
      </c>
    </row>
    <row r="214" spans="1:24" x14ac:dyDescent="0.15">
      <c r="A214" s="25" t="s">
        <v>1109</v>
      </c>
      <c r="B214" s="25" t="s">
        <v>1018</v>
      </c>
      <c r="C214" s="25" t="s">
        <v>1019</v>
      </c>
      <c r="D214" s="25" t="s">
        <v>1020</v>
      </c>
      <c r="E214" s="26" t="s">
        <v>43</v>
      </c>
      <c r="F214" s="27" t="s">
        <v>43</v>
      </c>
      <c r="G214" s="28" t="s">
        <v>43</v>
      </c>
      <c r="H214" s="29"/>
      <c r="I214" s="29" t="s">
        <v>44</v>
      </c>
      <c r="J214" s="30">
        <v>10</v>
      </c>
      <c r="K214" s="31">
        <f>2143.5</f>
        <v>2143.5</v>
      </c>
      <c r="L214" s="32" t="s">
        <v>760</v>
      </c>
      <c r="M214" s="31">
        <f>2210.5</f>
        <v>2210.5</v>
      </c>
      <c r="N214" s="32" t="s">
        <v>676</v>
      </c>
      <c r="O214" s="31">
        <f>2094.5</f>
        <v>2094.5</v>
      </c>
      <c r="P214" s="32" t="s">
        <v>680</v>
      </c>
      <c r="Q214" s="31">
        <f>2184.5</f>
        <v>2184.5</v>
      </c>
      <c r="R214" s="32" t="s">
        <v>676</v>
      </c>
      <c r="S214" s="33">
        <f>2154.4</f>
        <v>2154.4</v>
      </c>
      <c r="T214" s="30">
        <f>588750</f>
        <v>588750</v>
      </c>
      <c r="U214" s="30">
        <f>229000</f>
        <v>229000</v>
      </c>
      <c r="V214" s="30">
        <f>1274327998</f>
        <v>1274327998</v>
      </c>
      <c r="W214" s="30">
        <f>499446023</f>
        <v>499446023</v>
      </c>
      <c r="X214" s="34">
        <f>5</f>
        <v>5</v>
      </c>
    </row>
    <row r="215" spans="1:24" x14ac:dyDescent="0.15">
      <c r="A215" s="25" t="s">
        <v>1109</v>
      </c>
      <c r="B215" s="25" t="s">
        <v>1021</v>
      </c>
      <c r="C215" s="25" t="s">
        <v>1022</v>
      </c>
      <c r="D215" s="25" t="s">
        <v>1023</v>
      </c>
      <c r="E215" s="26" t="s">
        <v>43</v>
      </c>
      <c r="F215" s="27" t="s">
        <v>43</v>
      </c>
      <c r="G215" s="28" t="s">
        <v>43</v>
      </c>
      <c r="H215" s="29"/>
      <c r="I215" s="29" t="s">
        <v>44</v>
      </c>
      <c r="J215" s="30">
        <v>10</v>
      </c>
      <c r="K215" s="31">
        <f>5153</f>
        <v>5153</v>
      </c>
      <c r="L215" s="32" t="s">
        <v>1110</v>
      </c>
      <c r="M215" s="31">
        <f>5153</f>
        <v>5153</v>
      </c>
      <c r="N215" s="32" t="s">
        <v>1110</v>
      </c>
      <c r="O215" s="31">
        <f>4993</f>
        <v>4993</v>
      </c>
      <c r="P215" s="32" t="s">
        <v>1117</v>
      </c>
      <c r="Q215" s="31">
        <f>4993</f>
        <v>4993</v>
      </c>
      <c r="R215" s="32" t="s">
        <v>1117</v>
      </c>
      <c r="S215" s="33">
        <f>5073</f>
        <v>5073</v>
      </c>
      <c r="T215" s="30">
        <f>221330</f>
        <v>221330</v>
      </c>
      <c r="U215" s="30">
        <f>200000</f>
        <v>200000</v>
      </c>
      <c r="V215" s="30">
        <f>1109449890</f>
        <v>1109449890</v>
      </c>
      <c r="W215" s="30">
        <f>999538000</f>
        <v>999538000</v>
      </c>
      <c r="X215" s="34">
        <f>2</f>
        <v>2</v>
      </c>
    </row>
    <row r="216" spans="1:24" x14ac:dyDescent="0.15">
      <c r="A216" s="25" t="s">
        <v>1109</v>
      </c>
      <c r="B216" s="25" t="s">
        <v>1024</v>
      </c>
      <c r="C216" s="25" t="s">
        <v>1025</v>
      </c>
      <c r="D216" s="25" t="s">
        <v>1026</v>
      </c>
      <c r="E216" s="26" t="s">
        <v>43</v>
      </c>
      <c r="F216" s="27" t="s">
        <v>43</v>
      </c>
      <c r="G216" s="28" t="s">
        <v>43</v>
      </c>
      <c r="H216" s="29"/>
      <c r="I216" s="29" t="s">
        <v>44</v>
      </c>
      <c r="J216" s="30">
        <v>10</v>
      </c>
      <c r="K216" s="31">
        <f>5137</f>
        <v>5137</v>
      </c>
      <c r="L216" s="32" t="s">
        <v>1114</v>
      </c>
      <c r="M216" s="31">
        <f>5137</f>
        <v>5137</v>
      </c>
      <c r="N216" s="32" t="s">
        <v>1114</v>
      </c>
      <c r="O216" s="31">
        <f>5137</f>
        <v>5137</v>
      </c>
      <c r="P216" s="32" t="s">
        <v>1114</v>
      </c>
      <c r="Q216" s="31">
        <f>5137</f>
        <v>5137</v>
      </c>
      <c r="R216" s="32" t="s">
        <v>1114</v>
      </c>
      <c r="S216" s="33">
        <f>5137</f>
        <v>5137</v>
      </c>
      <c r="T216" s="30">
        <f>40</f>
        <v>40</v>
      </c>
      <c r="U216" s="30" t="str">
        <f>"－"</f>
        <v>－</v>
      </c>
      <c r="V216" s="30">
        <f>205480</f>
        <v>205480</v>
      </c>
      <c r="W216" s="30" t="str">
        <f>"－"</f>
        <v>－</v>
      </c>
      <c r="X216" s="34">
        <f>1</f>
        <v>1</v>
      </c>
    </row>
    <row r="217" spans="1:24" x14ac:dyDescent="0.15">
      <c r="A217" s="25" t="s">
        <v>1109</v>
      </c>
      <c r="B217" s="25" t="s">
        <v>1027</v>
      </c>
      <c r="C217" s="25" t="s">
        <v>1028</v>
      </c>
      <c r="D217" s="25" t="s">
        <v>1029</v>
      </c>
      <c r="E217" s="26" t="s">
        <v>43</v>
      </c>
      <c r="F217" s="27" t="s">
        <v>43</v>
      </c>
      <c r="G217" s="28" t="s">
        <v>43</v>
      </c>
      <c r="H217" s="29"/>
      <c r="I217" s="29" t="s">
        <v>44</v>
      </c>
      <c r="J217" s="30">
        <v>10</v>
      </c>
      <c r="K217" s="31" t="str">
        <f>"－"</f>
        <v>－</v>
      </c>
      <c r="L217" s="32"/>
      <c r="M217" s="31" t="str">
        <f>"－"</f>
        <v>－</v>
      </c>
      <c r="N217" s="32"/>
      <c r="O217" s="31" t="str">
        <f>"－"</f>
        <v>－</v>
      </c>
      <c r="P217" s="32"/>
      <c r="Q217" s="31" t="str">
        <f>"－"</f>
        <v>－</v>
      </c>
      <c r="R217" s="32"/>
      <c r="S217" s="33" t="str">
        <f>"－"</f>
        <v>－</v>
      </c>
      <c r="T217" s="30" t="str">
        <f>"－"</f>
        <v>－</v>
      </c>
      <c r="U217" s="30" t="str">
        <f>"－"</f>
        <v>－</v>
      </c>
      <c r="V217" s="30" t="str">
        <f>"－"</f>
        <v>－</v>
      </c>
      <c r="W217" s="30" t="str">
        <f>"－"</f>
        <v>－</v>
      </c>
      <c r="X217" s="34" t="str">
        <f>"－"</f>
        <v>－</v>
      </c>
    </row>
    <row r="218" spans="1:24" x14ac:dyDescent="0.15">
      <c r="A218" s="25" t="s">
        <v>1109</v>
      </c>
      <c r="B218" s="25" t="s">
        <v>1053</v>
      </c>
      <c r="C218" s="25" t="s">
        <v>1052</v>
      </c>
      <c r="D218" s="25" t="s">
        <v>1051</v>
      </c>
      <c r="E218" s="26" t="s">
        <v>43</v>
      </c>
      <c r="F218" s="27" t="s">
        <v>43</v>
      </c>
      <c r="G218" s="28" t="s">
        <v>43</v>
      </c>
      <c r="H218" s="29"/>
      <c r="I218" s="29" t="s">
        <v>44</v>
      </c>
      <c r="J218" s="30">
        <v>10</v>
      </c>
      <c r="K218" s="31">
        <f>4991</f>
        <v>4991</v>
      </c>
      <c r="L218" s="32" t="s">
        <v>1110</v>
      </c>
      <c r="M218" s="31">
        <f>5037</f>
        <v>5037</v>
      </c>
      <c r="N218" s="32" t="s">
        <v>1124</v>
      </c>
      <c r="O218" s="31">
        <f>4908</f>
        <v>4908</v>
      </c>
      <c r="P218" s="32" t="s">
        <v>1113</v>
      </c>
      <c r="Q218" s="31">
        <f>4978</f>
        <v>4978</v>
      </c>
      <c r="R218" s="32" t="s">
        <v>883</v>
      </c>
      <c r="S218" s="33">
        <f>4983.68</f>
        <v>4983.68</v>
      </c>
      <c r="T218" s="30">
        <f>488110</f>
        <v>488110</v>
      </c>
      <c r="U218" s="30">
        <f>340000</f>
        <v>340000</v>
      </c>
      <c r="V218" s="30">
        <f>2432727640</f>
        <v>2432727640</v>
      </c>
      <c r="W218" s="30">
        <f>1693800320</f>
        <v>1693800320</v>
      </c>
      <c r="X218" s="34">
        <f>19</f>
        <v>19</v>
      </c>
    </row>
    <row r="219" spans="1:24" x14ac:dyDescent="0.15">
      <c r="A219" s="25" t="s">
        <v>1109</v>
      </c>
      <c r="B219" s="25" t="s">
        <v>1050</v>
      </c>
      <c r="C219" s="25" t="s">
        <v>1049</v>
      </c>
      <c r="D219" s="25" t="s">
        <v>1048</v>
      </c>
      <c r="E219" s="26" t="s">
        <v>43</v>
      </c>
      <c r="F219" s="27" t="s">
        <v>43</v>
      </c>
      <c r="G219" s="28" t="s">
        <v>43</v>
      </c>
      <c r="H219" s="29"/>
      <c r="I219" s="29" t="s">
        <v>44</v>
      </c>
      <c r="J219" s="30">
        <v>1</v>
      </c>
      <c r="K219" s="31">
        <f>992</f>
        <v>992</v>
      </c>
      <c r="L219" s="32" t="s">
        <v>1110</v>
      </c>
      <c r="M219" s="31">
        <f>1086</f>
        <v>1086</v>
      </c>
      <c r="N219" s="32" t="s">
        <v>760</v>
      </c>
      <c r="O219" s="31">
        <f>984</f>
        <v>984</v>
      </c>
      <c r="P219" s="32" t="s">
        <v>674</v>
      </c>
      <c r="Q219" s="31">
        <f>1031</f>
        <v>1031</v>
      </c>
      <c r="R219" s="32" t="s">
        <v>883</v>
      </c>
      <c r="S219" s="33">
        <f>1015.89</f>
        <v>1015.89</v>
      </c>
      <c r="T219" s="30">
        <f>278559</f>
        <v>278559</v>
      </c>
      <c r="U219" s="30" t="str">
        <f t="shared" ref="U219:U224" si="4">"－"</f>
        <v>－</v>
      </c>
      <c r="V219" s="30">
        <f>288950117</f>
        <v>288950117</v>
      </c>
      <c r="W219" s="30" t="str">
        <f t="shared" ref="W219:W224" si="5">"－"</f>
        <v>－</v>
      </c>
      <c r="X219" s="34">
        <f>19</f>
        <v>19</v>
      </c>
    </row>
    <row r="220" spans="1:24" x14ac:dyDescent="0.15">
      <c r="A220" s="25" t="s">
        <v>1109</v>
      </c>
      <c r="B220" s="25" t="s">
        <v>1047</v>
      </c>
      <c r="C220" s="25" t="s">
        <v>1046</v>
      </c>
      <c r="D220" s="25" t="s">
        <v>1045</v>
      </c>
      <c r="E220" s="26" t="s">
        <v>43</v>
      </c>
      <c r="F220" s="27" t="s">
        <v>43</v>
      </c>
      <c r="G220" s="28" t="s">
        <v>43</v>
      </c>
      <c r="H220" s="29"/>
      <c r="I220" s="29" t="s">
        <v>44</v>
      </c>
      <c r="J220" s="30">
        <v>1</v>
      </c>
      <c r="K220" s="31">
        <f>1109</f>
        <v>1109</v>
      </c>
      <c r="L220" s="32" t="s">
        <v>1110</v>
      </c>
      <c r="M220" s="31">
        <f>1124</f>
        <v>1124</v>
      </c>
      <c r="N220" s="32" t="s">
        <v>1116</v>
      </c>
      <c r="O220" s="31">
        <f>1086</f>
        <v>1086</v>
      </c>
      <c r="P220" s="32" t="s">
        <v>1124</v>
      </c>
      <c r="Q220" s="31">
        <f>1115</f>
        <v>1115</v>
      </c>
      <c r="R220" s="32" t="s">
        <v>883</v>
      </c>
      <c r="S220" s="33">
        <f>1101.58</f>
        <v>1101.58</v>
      </c>
      <c r="T220" s="30">
        <f>96312</f>
        <v>96312</v>
      </c>
      <c r="U220" s="30" t="str">
        <f t="shared" si="4"/>
        <v>－</v>
      </c>
      <c r="V220" s="30">
        <f>105819899</f>
        <v>105819899</v>
      </c>
      <c r="W220" s="30" t="str">
        <f t="shared" si="5"/>
        <v>－</v>
      </c>
      <c r="X220" s="34">
        <f>19</f>
        <v>19</v>
      </c>
    </row>
    <row r="221" spans="1:24" x14ac:dyDescent="0.15">
      <c r="A221" s="25" t="s">
        <v>1109</v>
      </c>
      <c r="B221" s="25" t="s">
        <v>1044</v>
      </c>
      <c r="C221" s="25" t="s">
        <v>1043</v>
      </c>
      <c r="D221" s="25" t="s">
        <v>1042</v>
      </c>
      <c r="E221" s="26" t="s">
        <v>43</v>
      </c>
      <c r="F221" s="27" t="s">
        <v>43</v>
      </c>
      <c r="G221" s="28" t="s">
        <v>43</v>
      </c>
      <c r="H221" s="29"/>
      <c r="I221" s="29" t="s">
        <v>44</v>
      </c>
      <c r="J221" s="30">
        <v>1</v>
      </c>
      <c r="K221" s="31">
        <f>992</f>
        <v>992</v>
      </c>
      <c r="L221" s="32" t="s">
        <v>1110</v>
      </c>
      <c r="M221" s="31">
        <f>1001</f>
        <v>1001</v>
      </c>
      <c r="N221" s="32" t="s">
        <v>674</v>
      </c>
      <c r="O221" s="31">
        <f>930</f>
        <v>930</v>
      </c>
      <c r="P221" s="32" t="s">
        <v>874</v>
      </c>
      <c r="Q221" s="31">
        <f>947</f>
        <v>947</v>
      </c>
      <c r="R221" s="32" t="s">
        <v>883</v>
      </c>
      <c r="S221" s="33">
        <f>963.95</f>
        <v>963.95</v>
      </c>
      <c r="T221" s="30">
        <f>72836</f>
        <v>72836</v>
      </c>
      <c r="U221" s="30" t="str">
        <f t="shared" si="4"/>
        <v>－</v>
      </c>
      <c r="V221" s="30">
        <f>71927695</f>
        <v>71927695</v>
      </c>
      <c r="W221" s="30" t="str">
        <f t="shared" si="5"/>
        <v>－</v>
      </c>
      <c r="X221" s="34">
        <f>19</f>
        <v>19</v>
      </c>
    </row>
    <row r="222" spans="1:24" x14ac:dyDescent="0.15">
      <c r="A222" s="25" t="s">
        <v>1109</v>
      </c>
      <c r="B222" s="25" t="s">
        <v>1041</v>
      </c>
      <c r="C222" s="25" t="s">
        <v>1040</v>
      </c>
      <c r="D222" s="25" t="s">
        <v>1039</v>
      </c>
      <c r="E222" s="26" t="s">
        <v>43</v>
      </c>
      <c r="F222" s="27" t="s">
        <v>43</v>
      </c>
      <c r="G222" s="28" t="s">
        <v>43</v>
      </c>
      <c r="H222" s="29"/>
      <c r="I222" s="29" t="s">
        <v>44</v>
      </c>
      <c r="J222" s="30">
        <v>1</v>
      </c>
      <c r="K222" s="31">
        <f>1002</f>
        <v>1002</v>
      </c>
      <c r="L222" s="32" t="s">
        <v>1110</v>
      </c>
      <c r="M222" s="31">
        <f>1012</f>
        <v>1012</v>
      </c>
      <c r="N222" s="32" t="s">
        <v>1124</v>
      </c>
      <c r="O222" s="31">
        <f>932</f>
        <v>932</v>
      </c>
      <c r="P222" s="32" t="s">
        <v>874</v>
      </c>
      <c r="Q222" s="31">
        <f>943</f>
        <v>943</v>
      </c>
      <c r="R222" s="32" t="s">
        <v>883</v>
      </c>
      <c r="S222" s="33">
        <f>966.79</f>
        <v>966.79</v>
      </c>
      <c r="T222" s="30">
        <f>51025</f>
        <v>51025</v>
      </c>
      <c r="U222" s="30" t="str">
        <f t="shared" si="4"/>
        <v>－</v>
      </c>
      <c r="V222" s="30">
        <f>49937724</f>
        <v>49937724</v>
      </c>
      <c r="W222" s="30" t="str">
        <f t="shared" si="5"/>
        <v>－</v>
      </c>
      <c r="X222" s="34">
        <f>19</f>
        <v>19</v>
      </c>
    </row>
    <row r="223" spans="1:24" x14ac:dyDescent="0.15">
      <c r="A223" s="25" t="s">
        <v>1109</v>
      </c>
      <c r="B223" s="25" t="s">
        <v>1038</v>
      </c>
      <c r="C223" s="25" t="s">
        <v>1037</v>
      </c>
      <c r="D223" s="25" t="s">
        <v>1036</v>
      </c>
      <c r="E223" s="26" t="s">
        <v>43</v>
      </c>
      <c r="F223" s="27" t="s">
        <v>43</v>
      </c>
      <c r="G223" s="28" t="s">
        <v>43</v>
      </c>
      <c r="H223" s="29"/>
      <c r="I223" s="29" t="s">
        <v>44</v>
      </c>
      <c r="J223" s="30">
        <v>1</v>
      </c>
      <c r="K223" s="31">
        <f>1025</f>
        <v>1025</v>
      </c>
      <c r="L223" s="32" t="s">
        <v>1110</v>
      </c>
      <c r="M223" s="31">
        <f>1029</f>
        <v>1029</v>
      </c>
      <c r="N223" s="32" t="s">
        <v>1116</v>
      </c>
      <c r="O223" s="31">
        <f>964</f>
        <v>964</v>
      </c>
      <c r="P223" s="32" t="s">
        <v>874</v>
      </c>
      <c r="Q223" s="31">
        <f>972</f>
        <v>972</v>
      </c>
      <c r="R223" s="32" t="s">
        <v>883</v>
      </c>
      <c r="S223" s="33">
        <f>996.95</f>
        <v>996.95</v>
      </c>
      <c r="T223" s="30">
        <f>103118</f>
        <v>103118</v>
      </c>
      <c r="U223" s="30" t="str">
        <f t="shared" si="4"/>
        <v>－</v>
      </c>
      <c r="V223" s="30">
        <f>102176984</f>
        <v>102176984</v>
      </c>
      <c r="W223" s="30" t="str">
        <f t="shared" si="5"/>
        <v>－</v>
      </c>
      <c r="X223" s="34">
        <f>19</f>
        <v>19</v>
      </c>
    </row>
    <row r="224" spans="1:24" x14ac:dyDescent="0.15">
      <c r="A224" s="25" t="s">
        <v>1109</v>
      </c>
      <c r="B224" s="25" t="s">
        <v>868</v>
      </c>
      <c r="C224" s="25" t="s">
        <v>869</v>
      </c>
      <c r="D224" s="25" t="s">
        <v>870</v>
      </c>
      <c r="E224" s="26" t="s">
        <v>43</v>
      </c>
      <c r="F224" s="27" t="s">
        <v>43</v>
      </c>
      <c r="G224" s="28" t="s">
        <v>43</v>
      </c>
      <c r="H224" s="29"/>
      <c r="I224" s="29" t="s">
        <v>44</v>
      </c>
      <c r="J224" s="30">
        <v>10</v>
      </c>
      <c r="K224" s="31">
        <f>2439</f>
        <v>2439</v>
      </c>
      <c r="L224" s="32" t="s">
        <v>1110</v>
      </c>
      <c r="M224" s="31">
        <f>2560.5</f>
        <v>2560.5</v>
      </c>
      <c r="N224" s="32" t="s">
        <v>676</v>
      </c>
      <c r="O224" s="31">
        <f>2435</f>
        <v>2435</v>
      </c>
      <c r="P224" s="32" t="s">
        <v>1110</v>
      </c>
      <c r="Q224" s="31">
        <f>2536.5</f>
        <v>2536.5</v>
      </c>
      <c r="R224" s="32" t="s">
        <v>883</v>
      </c>
      <c r="S224" s="33">
        <f>2511.97</f>
        <v>2511.9699999999998</v>
      </c>
      <c r="T224" s="30">
        <f>15560</f>
        <v>15560</v>
      </c>
      <c r="U224" s="30" t="str">
        <f t="shared" si="4"/>
        <v>－</v>
      </c>
      <c r="V224" s="30">
        <f>39156625</f>
        <v>39156625</v>
      </c>
      <c r="W224" s="30" t="str">
        <f t="shared" si="5"/>
        <v>－</v>
      </c>
      <c r="X224" s="34">
        <f>17</f>
        <v>17</v>
      </c>
    </row>
    <row r="225" spans="1:24" x14ac:dyDescent="0.15">
      <c r="A225" s="25" t="s">
        <v>1109</v>
      </c>
      <c r="B225" s="25" t="s">
        <v>871</v>
      </c>
      <c r="C225" s="25" t="s">
        <v>872</v>
      </c>
      <c r="D225" s="25" t="s">
        <v>873</v>
      </c>
      <c r="E225" s="26" t="s">
        <v>43</v>
      </c>
      <c r="F225" s="27" t="s">
        <v>43</v>
      </c>
      <c r="G225" s="28" t="s">
        <v>43</v>
      </c>
      <c r="H225" s="29"/>
      <c r="I225" s="29" t="s">
        <v>44</v>
      </c>
      <c r="J225" s="30">
        <v>1</v>
      </c>
      <c r="K225" s="31">
        <f>1142</f>
        <v>1142</v>
      </c>
      <c r="L225" s="32" t="s">
        <v>1110</v>
      </c>
      <c r="M225" s="31">
        <f>1189</f>
        <v>1189</v>
      </c>
      <c r="N225" s="32" t="s">
        <v>883</v>
      </c>
      <c r="O225" s="31">
        <f>1132</f>
        <v>1132</v>
      </c>
      <c r="P225" s="32" t="s">
        <v>1110</v>
      </c>
      <c r="Q225" s="31">
        <f>1183</f>
        <v>1183</v>
      </c>
      <c r="R225" s="32" t="s">
        <v>883</v>
      </c>
      <c r="S225" s="33">
        <f>1159.89</f>
        <v>1159.8900000000001</v>
      </c>
      <c r="T225" s="30">
        <f>420093</f>
        <v>420093</v>
      </c>
      <c r="U225" s="30">
        <f>26014</f>
        <v>26014</v>
      </c>
      <c r="V225" s="30">
        <f>486462770</f>
        <v>486462770</v>
      </c>
      <c r="W225" s="30">
        <f>30686638</f>
        <v>30686638</v>
      </c>
      <c r="X225" s="34">
        <f>19</f>
        <v>19</v>
      </c>
    </row>
    <row r="226" spans="1:24" x14ac:dyDescent="0.15">
      <c r="A226" s="25" t="s">
        <v>1109</v>
      </c>
      <c r="B226" s="25" t="s">
        <v>877</v>
      </c>
      <c r="C226" s="25" t="s">
        <v>878</v>
      </c>
      <c r="D226" s="25" t="s">
        <v>879</v>
      </c>
      <c r="E226" s="26" t="s">
        <v>43</v>
      </c>
      <c r="F226" s="27" t="s">
        <v>43</v>
      </c>
      <c r="G226" s="28" t="s">
        <v>43</v>
      </c>
      <c r="H226" s="29"/>
      <c r="I226" s="29" t="s">
        <v>44</v>
      </c>
      <c r="J226" s="30">
        <v>1</v>
      </c>
      <c r="K226" s="31">
        <f>65230</f>
        <v>65230</v>
      </c>
      <c r="L226" s="32" t="s">
        <v>1110</v>
      </c>
      <c r="M226" s="31">
        <f>71070</f>
        <v>71070</v>
      </c>
      <c r="N226" s="32" t="s">
        <v>676</v>
      </c>
      <c r="O226" s="31">
        <f>65190</f>
        <v>65190</v>
      </c>
      <c r="P226" s="32" t="s">
        <v>1110</v>
      </c>
      <c r="Q226" s="31">
        <f>70630</f>
        <v>70630</v>
      </c>
      <c r="R226" s="32" t="s">
        <v>883</v>
      </c>
      <c r="S226" s="33">
        <f>68816.84</f>
        <v>68816.84</v>
      </c>
      <c r="T226" s="30">
        <f>26119</f>
        <v>26119</v>
      </c>
      <c r="U226" s="30">
        <f>3</f>
        <v>3</v>
      </c>
      <c r="V226" s="30">
        <f>1796403110</f>
        <v>1796403110</v>
      </c>
      <c r="W226" s="30">
        <f>209190</f>
        <v>209190</v>
      </c>
      <c r="X226" s="34">
        <f>19</f>
        <v>19</v>
      </c>
    </row>
    <row r="227" spans="1:24" x14ac:dyDescent="0.15">
      <c r="A227" s="25" t="s">
        <v>1109</v>
      </c>
      <c r="B227" s="25" t="s">
        <v>880</v>
      </c>
      <c r="C227" s="25" t="s">
        <v>881</v>
      </c>
      <c r="D227" s="25" t="s">
        <v>882</v>
      </c>
      <c r="E227" s="26" t="s">
        <v>43</v>
      </c>
      <c r="F227" s="27" t="s">
        <v>43</v>
      </c>
      <c r="G227" s="28" t="s">
        <v>43</v>
      </c>
      <c r="H227" s="29"/>
      <c r="I227" s="29" t="s">
        <v>44</v>
      </c>
      <c r="J227" s="30">
        <v>1</v>
      </c>
      <c r="K227" s="31">
        <f>8151</f>
        <v>8151</v>
      </c>
      <c r="L227" s="32" t="s">
        <v>1110</v>
      </c>
      <c r="M227" s="31">
        <f>8151</f>
        <v>8151</v>
      </c>
      <c r="N227" s="32" t="s">
        <v>1110</v>
      </c>
      <c r="O227" s="31">
        <f>7782</f>
        <v>7782</v>
      </c>
      <c r="P227" s="32" t="s">
        <v>676</v>
      </c>
      <c r="Q227" s="31">
        <f>7802</f>
        <v>7802</v>
      </c>
      <c r="R227" s="32" t="s">
        <v>883</v>
      </c>
      <c r="S227" s="33">
        <f>7923.37</f>
        <v>7923.37</v>
      </c>
      <c r="T227" s="30">
        <f>38063</f>
        <v>38063</v>
      </c>
      <c r="U227" s="30">
        <f>4200</f>
        <v>4200</v>
      </c>
      <c r="V227" s="30">
        <f>301083747</f>
        <v>301083747</v>
      </c>
      <c r="W227" s="30">
        <f>33261900</f>
        <v>33261900</v>
      </c>
      <c r="X227" s="34">
        <f>19</f>
        <v>19</v>
      </c>
    </row>
    <row r="228" spans="1:24" x14ac:dyDescent="0.15">
      <c r="A228" s="25" t="s">
        <v>1109</v>
      </c>
      <c r="B228" s="25" t="s">
        <v>884</v>
      </c>
      <c r="C228" s="25" t="s">
        <v>885</v>
      </c>
      <c r="D228" s="25" t="s">
        <v>886</v>
      </c>
      <c r="E228" s="26" t="s">
        <v>43</v>
      </c>
      <c r="F228" s="27" t="s">
        <v>43</v>
      </c>
      <c r="G228" s="28" t="s">
        <v>43</v>
      </c>
      <c r="H228" s="29"/>
      <c r="I228" s="29" t="s">
        <v>44</v>
      </c>
      <c r="J228" s="30">
        <v>10</v>
      </c>
      <c r="K228" s="31">
        <f>14005</f>
        <v>14005</v>
      </c>
      <c r="L228" s="32" t="s">
        <v>1110</v>
      </c>
      <c r="M228" s="31">
        <f>15270</f>
        <v>15270</v>
      </c>
      <c r="N228" s="32" t="s">
        <v>676</v>
      </c>
      <c r="O228" s="31">
        <f>14005</f>
        <v>14005</v>
      </c>
      <c r="P228" s="32" t="s">
        <v>1110</v>
      </c>
      <c r="Q228" s="31">
        <f>15195</f>
        <v>15195</v>
      </c>
      <c r="R228" s="32" t="s">
        <v>883</v>
      </c>
      <c r="S228" s="33">
        <f>14783.16</f>
        <v>14783.16</v>
      </c>
      <c r="T228" s="30">
        <f>29370</f>
        <v>29370</v>
      </c>
      <c r="U228" s="30" t="str">
        <f>"－"</f>
        <v>－</v>
      </c>
      <c r="V228" s="30">
        <f>434205250</f>
        <v>434205250</v>
      </c>
      <c r="W228" s="30" t="str">
        <f>"－"</f>
        <v>－</v>
      </c>
      <c r="X228" s="34">
        <f>19</f>
        <v>19</v>
      </c>
    </row>
    <row r="229" spans="1:24" x14ac:dyDescent="0.15">
      <c r="A229" s="25" t="s">
        <v>1109</v>
      </c>
      <c r="B229" s="25" t="s">
        <v>887</v>
      </c>
      <c r="C229" s="25" t="s">
        <v>888</v>
      </c>
      <c r="D229" s="25" t="s">
        <v>889</v>
      </c>
      <c r="E229" s="26" t="s">
        <v>43</v>
      </c>
      <c r="F229" s="27" t="s">
        <v>43</v>
      </c>
      <c r="G229" s="28" t="s">
        <v>43</v>
      </c>
      <c r="H229" s="29"/>
      <c r="I229" s="29" t="s">
        <v>44</v>
      </c>
      <c r="J229" s="30">
        <v>10</v>
      </c>
      <c r="K229" s="31">
        <f>8201</f>
        <v>8201</v>
      </c>
      <c r="L229" s="32" t="s">
        <v>1110</v>
      </c>
      <c r="M229" s="31">
        <f>8201</f>
        <v>8201</v>
      </c>
      <c r="N229" s="32" t="s">
        <v>1110</v>
      </c>
      <c r="O229" s="31">
        <f>7833</f>
        <v>7833</v>
      </c>
      <c r="P229" s="32" t="s">
        <v>676</v>
      </c>
      <c r="Q229" s="31">
        <f>7853</f>
        <v>7853</v>
      </c>
      <c r="R229" s="32" t="s">
        <v>883</v>
      </c>
      <c r="S229" s="33">
        <f>7974.16</f>
        <v>7974.16</v>
      </c>
      <c r="T229" s="30">
        <f>111410</f>
        <v>111410</v>
      </c>
      <c r="U229" s="30">
        <f>105000</f>
        <v>105000</v>
      </c>
      <c r="V229" s="30">
        <f>884304380</f>
        <v>884304380</v>
      </c>
      <c r="W229" s="30">
        <f>833206500</f>
        <v>833206500</v>
      </c>
      <c r="X229" s="34">
        <f>19</f>
        <v>19</v>
      </c>
    </row>
    <row r="230" spans="1:24" x14ac:dyDescent="0.15">
      <c r="A230" s="25" t="s">
        <v>1109</v>
      </c>
      <c r="B230" s="25" t="s">
        <v>890</v>
      </c>
      <c r="C230" s="25" t="s">
        <v>891</v>
      </c>
      <c r="D230" s="25" t="s">
        <v>892</v>
      </c>
      <c r="E230" s="26" t="s">
        <v>43</v>
      </c>
      <c r="F230" s="27" t="s">
        <v>43</v>
      </c>
      <c r="G230" s="28" t="s">
        <v>43</v>
      </c>
      <c r="H230" s="29"/>
      <c r="I230" s="29" t="s">
        <v>44</v>
      </c>
      <c r="J230" s="30">
        <v>10</v>
      </c>
      <c r="K230" s="31">
        <f>626</f>
        <v>626</v>
      </c>
      <c r="L230" s="32" t="s">
        <v>1110</v>
      </c>
      <c r="M230" s="31">
        <f>656.9</f>
        <v>656.9</v>
      </c>
      <c r="N230" s="32" t="s">
        <v>676</v>
      </c>
      <c r="O230" s="31">
        <f>624.6</f>
        <v>624.6</v>
      </c>
      <c r="P230" s="32" t="s">
        <v>1110</v>
      </c>
      <c r="Q230" s="31">
        <f>652.3</f>
        <v>652.29999999999995</v>
      </c>
      <c r="R230" s="32" t="s">
        <v>883</v>
      </c>
      <c r="S230" s="33">
        <f>643.99</f>
        <v>643.99</v>
      </c>
      <c r="T230" s="30">
        <f>3239810</f>
        <v>3239810</v>
      </c>
      <c r="U230" s="30">
        <f>2159100</f>
        <v>2159100</v>
      </c>
      <c r="V230" s="30">
        <f>2110384715</f>
        <v>2110384715</v>
      </c>
      <c r="W230" s="30">
        <f>1415887360</f>
        <v>1415887360</v>
      </c>
      <c r="X230" s="34">
        <f>19</f>
        <v>19</v>
      </c>
    </row>
    <row r="231" spans="1:24" x14ac:dyDescent="0.15">
      <c r="A231" s="25" t="s">
        <v>1109</v>
      </c>
      <c r="B231" s="25" t="s">
        <v>893</v>
      </c>
      <c r="C231" s="25" t="s">
        <v>894</v>
      </c>
      <c r="D231" s="25" t="s">
        <v>895</v>
      </c>
      <c r="E231" s="26" t="s">
        <v>43</v>
      </c>
      <c r="F231" s="27" t="s">
        <v>43</v>
      </c>
      <c r="G231" s="28" t="s">
        <v>43</v>
      </c>
      <c r="H231" s="29"/>
      <c r="I231" s="29" t="s">
        <v>44</v>
      </c>
      <c r="J231" s="30">
        <v>10</v>
      </c>
      <c r="K231" s="31">
        <f>550</f>
        <v>550</v>
      </c>
      <c r="L231" s="32" t="s">
        <v>1110</v>
      </c>
      <c r="M231" s="31">
        <f>564.2</f>
        <v>564.20000000000005</v>
      </c>
      <c r="N231" s="32" t="s">
        <v>874</v>
      </c>
      <c r="O231" s="31">
        <f>543</f>
        <v>543</v>
      </c>
      <c r="P231" s="32" t="s">
        <v>1112</v>
      </c>
      <c r="Q231" s="31">
        <f>560.1</f>
        <v>560.1</v>
      </c>
      <c r="R231" s="32" t="s">
        <v>883</v>
      </c>
      <c r="S231" s="33">
        <f>555.92</f>
        <v>555.91999999999996</v>
      </c>
      <c r="T231" s="30">
        <f>123240</f>
        <v>123240</v>
      </c>
      <c r="U231" s="30" t="str">
        <f>"－"</f>
        <v>－</v>
      </c>
      <c r="V231" s="30">
        <f>68623461</f>
        <v>68623461</v>
      </c>
      <c r="W231" s="30" t="str">
        <f>"－"</f>
        <v>－</v>
      </c>
      <c r="X231" s="34">
        <f>19</f>
        <v>19</v>
      </c>
    </row>
    <row r="232" spans="1:24" x14ac:dyDescent="0.15">
      <c r="A232" s="25" t="s">
        <v>1109</v>
      </c>
      <c r="B232" s="25" t="s">
        <v>934</v>
      </c>
      <c r="C232" s="25" t="s">
        <v>935</v>
      </c>
      <c r="D232" s="25" t="s">
        <v>936</v>
      </c>
      <c r="E232" s="26" t="s">
        <v>43</v>
      </c>
      <c r="F232" s="27" t="s">
        <v>43</v>
      </c>
      <c r="G232" s="28" t="s">
        <v>43</v>
      </c>
      <c r="H232" s="29"/>
      <c r="I232" s="29" t="s">
        <v>44</v>
      </c>
      <c r="J232" s="30">
        <v>1</v>
      </c>
      <c r="K232" s="31">
        <f>1505</f>
        <v>1505</v>
      </c>
      <c r="L232" s="32" t="s">
        <v>1110</v>
      </c>
      <c r="M232" s="31">
        <f>1677</f>
        <v>1677</v>
      </c>
      <c r="N232" s="32" t="s">
        <v>1111</v>
      </c>
      <c r="O232" s="31">
        <f>1501</f>
        <v>1501</v>
      </c>
      <c r="P232" s="32" t="s">
        <v>1110</v>
      </c>
      <c r="Q232" s="31">
        <f>1654</f>
        <v>1654</v>
      </c>
      <c r="R232" s="32" t="s">
        <v>883</v>
      </c>
      <c r="S232" s="33">
        <f>1607.37</f>
        <v>1607.37</v>
      </c>
      <c r="T232" s="30">
        <f>10033123</f>
        <v>10033123</v>
      </c>
      <c r="U232" s="30">
        <f>2758845</f>
        <v>2758845</v>
      </c>
      <c r="V232" s="30">
        <f>16216336261</f>
        <v>16216336261</v>
      </c>
      <c r="W232" s="30">
        <f>4425934437</f>
        <v>4425934437</v>
      </c>
      <c r="X232" s="34">
        <f>19</f>
        <v>19</v>
      </c>
    </row>
    <row r="233" spans="1:24" x14ac:dyDescent="0.15">
      <c r="A233" s="25" t="s">
        <v>1109</v>
      </c>
      <c r="B233" s="25" t="s">
        <v>937</v>
      </c>
      <c r="C233" s="25" t="s">
        <v>938</v>
      </c>
      <c r="D233" s="25" t="s">
        <v>939</v>
      </c>
      <c r="E233" s="26" t="s">
        <v>43</v>
      </c>
      <c r="F233" s="27" t="s">
        <v>43</v>
      </c>
      <c r="G233" s="28" t="s">
        <v>43</v>
      </c>
      <c r="H233" s="29"/>
      <c r="I233" s="29" t="s">
        <v>44</v>
      </c>
      <c r="J233" s="30">
        <v>1</v>
      </c>
      <c r="K233" s="31">
        <f>1662</f>
        <v>1662</v>
      </c>
      <c r="L233" s="32" t="s">
        <v>1110</v>
      </c>
      <c r="M233" s="31">
        <f>1823</f>
        <v>1823</v>
      </c>
      <c r="N233" s="32" t="s">
        <v>1114</v>
      </c>
      <c r="O233" s="31">
        <f>1660</f>
        <v>1660</v>
      </c>
      <c r="P233" s="32" t="s">
        <v>1110</v>
      </c>
      <c r="Q233" s="31">
        <f>1806</f>
        <v>1806</v>
      </c>
      <c r="R233" s="32" t="s">
        <v>883</v>
      </c>
      <c r="S233" s="33">
        <f>1774.26</f>
        <v>1774.26</v>
      </c>
      <c r="T233" s="30">
        <f>9482216</f>
        <v>9482216</v>
      </c>
      <c r="U233" s="30">
        <f>292385</f>
        <v>292385</v>
      </c>
      <c r="V233" s="30">
        <f>16881868940</f>
        <v>16881868940</v>
      </c>
      <c r="W233" s="30">
        <f>521338616</f>
        <v>521338616</v>
      </c>
      <c r="X233" s="34">
        <f>19</f>
        <v>19</v>
      </c>
    </row>
    <row r="234" spans="1:24" x14ac:dyDescent="0.15">
      <c r="A234" s="25" t="s">
        <v>1109</v>
      </c>
      <c r="B234" s="25" t="s">
        <v>940</v>
      </c>
      <c r="C234" s="25" t="s">
        <v>941</v>
      </c>
      <c r="D234" s="25" t="s">
        <v>942</v>
      </c>
      <c r="E234" s="26" t="s">
        <v>43</v>
      </c>
      <c r="F234" s="27" t="s">
        <v>43</v>
      </c>
      <c r="G234" s="28" t="s">
        <v>43</v>
      </c>
      <c r="H234" s="29"/>
      <c r="I234" s="29" t="s">
        <v>44</v>
      </c>
      <c r="J234" s="30">
        <v>10</v>
      </c>
      <c r="K234" s="31">
        <f>799.3</f>
        <v>799.3</v>
      </c>
      <c r="L234" s="32" t="s">
        <v>1110</v>
      </c>
      <c r="M234" s="31">
        <f>862.4</f>
        <v>862.4</v>
      </c>
      <c r="N234" s="32" t="s">
        <v>674</v>
      </c>
      <c r="O234" s="31">
        <f>775.1</f>
        <v>775.1</v>
      </c>
      <c r="P234" s="32" t="s">
        <v>676</v>
      </c>
      <c r="Q234" s="31">
        <f>780.5</f>
        <v>780.5</v>
      </c>
      <c r="R234" s="32" t="s">
        <v>883</v>
      </c>
      <c r="S234" s="33">
        <f>788.46</f>
        <v>788.46</v>
      </c>
      <c r="T234" s="30">
        <f>89210</f>
        <v>89210</v>
      </c>
      <c r="U234" s="30" t="str">
        <f>"－"</f>
        <v>－</v>
      </c>
      <c r="V234" s="30">
        <f>70971883</f>
        <v>70971883</v>
      </c>
      <c r="W234" s="30" t="str">
        <f>"－"</f>
        <v>－</v>
      </c>
      <c r="X234" s="34">
        <f>16</f>
        <v>16</v>
      </c>
    </row>
    <row r="235" spans="1:24" x14ac:dyDescent="0.15">
      <c r="A235" s="25" t="s">
        <v>1109</v>
      </c>
      <c r="B235" s="25" t="s">
        <v>943</v>
      </c>
      <c r="C235" s="25" t="s">
        <v>944</v>
      </c>
      <c r="D235" s="25" t="s">
        <v>945</v>
      </c>
      <c r="E235" s="26" t="s">
        <v>43</v>
      </c>
      <c r="F235" s="27" t="s">
        <v>43</v>
      </c>
      <c r="G235" s="28" t="s">
        <v>43</v>
      </c>
      <c r="H235" s="29"/>
      <c r="I235" s="29" t="s">
        <v>44</v>
      </c>
      <c r="J235" s="30">
        <v>10</v>
      </c>
      <c r="K235" s="31">
        <f>833</f>
        <v>833</v>
      </c>
      <c r="L235" s="32" t="s">
        <v>1116</v>
      </c>
      <c r="M235" s="31">
        <f>833</f>
        <v>833</v>
      </c>
      <c r="N235" s="32" t="s">
        <v>1116</v>
      </c>
      <c r="O235" s="31">
        <f>787.4</f>
        <v>787.4</v>
      </c>
      <c r="P235" s="32" t="s">
        <v>874</v>
      </c>
      <c r="Q235" s="31">
        <f>792.5</f>
        <v>792.5</v>
      </c>
      <c r="R235" s="32" t="s">
        <v>676</v>
      </c>
      <c r="S235" s="33">
        <f>795.52</f>
        <v>795.52</v>
      </c>
      <c r="T235" s="30">
        <f>62530</f>
        <v>62530</v>
      </c>
      <c r="U235" s="30" t="str">
        <f>"－"</f>
        <v>－</v>
      </c>
      <c r="V235" s="30">
        <f>50283638</f>
        <v>50283638</v>
      </c>
      <c r="W235" s="30" t="str">
        <f>"－"</f>
        <v>－</v>
      </c>
      <c r="X235" s="34">
        <f>11</f>
        <v>11</v>
      </c>
    </row>
    <row r="236" spans="1:24" x14ac:dyDescent="0.15">
      <c r="A236" s="25" t="s">
        <v>1109</v>
      </c>
      <c r="B236" s="25" t="s">
        <v>952</v>
      </c>
      <c r="C236" s="25" t="s">
        <v>953</v>
      </c>
      <c r="D236" s="25" t="s">
        <v>954</v>
      </c>
      <c r="E236" s="26" t="s">
        <v>43</v>
      </c>
      <c r="F236" s="27" t="s">
        <v>43</v>
      </c>
      <c r="G236" s="28" t="s">
        <v>43</v>
      </c>
      <c r="H236" s="29"/>
      <c r="I236" s="29" t="s">
        <v>44</v>
      </c>
      <c r="J236" s="30">
        <v>1</v>
      </c>
      <c r="K236" s="31">
        <f>13395</f>
        <v>13395</v>
      </c>
      <c r="L236" s="32" t="s">
        <v>1110</v>
      </c>
      <c r="M236" s="31">
        <f>14380</f>
        <v>14380</v>
      </c>
      <c r="N236" s="32" t="s">
        <v>676</v>
      </c>
      <c r="O236" s="31">
        <f>13365</f>
        <v>13365</v>
      </c>
      <c r="P236" s="32" t="s">
        <v>1110</v>
      </c>
      <c r="Q236" s="31">
        <f>14275</f>
        <v>14275</v>
      </c>
      <c r="R236" s="32" t="s">
        <v>883</v>
      </c>
      <c r="S236" s="33">
        <f>14012.37</f>
        <v>14012.37</v>
      </c>
      <c r="T236" s="30">
        <f>293931</f>
        <v>293931</v>
      </c>
      <c r="U236" s="30">
        <f>66230</f>
        <v>66230</v>
      </c>
      <c r="V236" s="30">
        <f>4121751372</f>
        <v>4121751372</v>
      </c>
      <c r="W236" s="30">
        <f>924391337</f>
        <v>924391337</v>
      </c>
      <c r="X236" s="34">
        <f>19</f>
        <v>19</v>
      </c>
    </row>
    <row r="237" spans="1:24" x14ac:dyDescent="0.15">
      <c r="A237" s="25" t="s">
        <v>1109</v>
      </c>
      <c r="B237" s="25" t="s">
        <v>955</v>
      </c>
      <c r="C237" s="25" t="s">
        <v>956</v>
      </c>
      <c r="D237" s="25" t="s">
        <v>957</v>
      </c>
      <c r="E237" s="26" t="s">
        <v>43</v>
      </c>
      <c r="F237" s="27" t="s">
        <v>43</v>
      </c>
      <c r="G237" s="28" t="s">
        <v>43</v>
      </c>
      <c r="H237" s="29"/>
      <c r="I237" s="29" t="s">
        <v>44</v>
      </c>
      <c r="J237" s="30">
        <v>1</v>
      </c>
      <c r="K237" s="31">
        <f>39050</f>
        <v>39050</v>
      </c>
      <c r="L237" s="32" t="s">
        <v>1110</v>
      </c>
      <c r="M237" s="31">
        <f>40820</f>
        <v>40820</v>
      </c>
      <c r="N237" s="32" t="s">
        <v>676</v>
      </c>
      <c r="O237" s="31">
        <f>39030</f>
        <v>39030</v>
      </c>
      <c r="P237" s="32" t="s">
        <v>1110</v>
      </c>
      <c r="Q237" s="31">
        <f>40720</f>
        <v>40720</v>
      </c>
      <c r="R237" s="32" t="s">
        <v>883</v>
      </c>
      <c r="S237" s="33">
        <f>40113.68</f>
        <v>40113.68</v>
      </c>
      <c r="T237" s="30">
        <f>74897</f>
        <v>74897</v>
      </c>
      <c r="U237" s="30">
        <f>54900</f>
        <v>54900</v>
      </c>
      <c r="V237" s="30">
        <f>2965078596</f>
        <v>2965078596</v>
      </c>
      <c r="W237" s="30">
        <f>2169531286</f>
        <v>2169531286</v>
      </c>
      <c r="X237" s="34">
        <f>19</f>
        <v>19</v>
      </c>
    </row>
    <row r="238" spans="1:24" x14ac:dyDescent="0.15">
      <c r="A238" s="25" t="s">
        <v>1109</v>
      </c>
      <c r="B238" s="25" t="s">
        <v>958</v>
      </c>
      <c r="C238" s="25" t="s">
        <v>959</v>
      </c>
      <c r="D238" s="25" t="s">
        <v>960</v>
      </c>
      <c r="E238" s="26" t="s">
        <v>43</v>
      </c>
      <c r="F238" s="27" t="s">
        <v>43</v>
      </c>
      <c r="G238" s="28" t="s">
        <v>43</v>
      </c>
      <c r="H238" s="29"/>
      <c r="I238" s="29" t="s">
        <v>44</v>
      </c>
      <c r="J238" s="30">
        <v>1</v>
      </c>
      <c r="K238" s="31">
        <f>24455</f>
        <v>24455</v>
      </c>
      <c r="L238" s="32" t="s">
        <v>1110</v>
      </c>
      <c r="M238" s="31">
        <f>24460</f>
        <v>24460</v>
      </c>
      <c r="N238" s="32" t="s">
        <v>1110</v>
      </c>
      <c r="O238" s="31">
        <f>22300</f>
        <v>22300</v>
      </c>
      <c r="P238" s="32" t="s">
        <v>676</v>
      </c>
      <c r="Q238" s="31">
        <f>22405</f>
        <v>22405</v>
      </c>
      <c r="R238" s="32" t="s">
        <v>883</v>
      </c>
      <c r="S238" s="33">
        <f>23110.26</f>
        <v>23110.26</v>
      </c>
      <c r="T238" s="30">
        <f>59196</f>
        <v>59196</v>
      </c>
      <c r="U238" s="30" t="str">
        <f>"－"</f>
        <v>－</v>
      </c>
      <c r="V238" s="30">
        <f>1372051015</f>
        <v>1372051015</v>
      </c>
      <c r="W238" s="30" t="str">
        <f>"－"</f>
        <v>－</v>
      </c>
      <c r="X238" s="34">
        <f>19</f>
        <v>19</v>
      </c>
    </row>
    <row r="239" spans="1:24" x14ac:dyDescent="0.15">
      <c r="A239" s="25" t="s">
        <v>1109</v>
      </c>
      <c r="B239" s="25" t="s">
        <v>961</v>
      </c>
      <c r="C239" s="25" t="s">
        <v>962</v>
      </c>
      <c r="D239" s="25" t="s">
        <v>963</v>
      </c>
      <c r="E239" s="26" t="s">
        <v>43</v>
      </c>
      <c r="F239" s="27" t="s">
        <v>43</v>
      </c>
      <c r="G239" s="28" t="s">
        <v>43</v>
      </c>
      <c r="H239" s="29"/>
      <c r="I239" s="29" t="s">
        <v>44</v>
      </c>
      <c r="J239" s="30">
        <v>10</v>
      </c>
      <c r="K239" s="31">
        <f>227</f>
        <v>227</v>
      </c>
      <c r="L239" s="32" t="s">
        <v>1110</v>
      </c>
      <c r="M239" s="31">
        <f>238.7</f>
        <v>238.7</v>
      </c>
      <c r="N239" s="32" t="s">
        <v>1111</v>
      </c>
      <c r="O239" s="31">
        <f>222.6</f>
        <v>222.6</v>
      </c>
      <c r="P239" s="32" t="s">
        <v>876</v>
      </c>
      <c r="Q239" s="31">
        <f>231.8</f>
        <v>231.8</v>
      </c>
      <c r="R239" s="32" t="s">
        <v>883</v>
      </c>
      <c r="S239" s="33">
        <f>227.02</f>
        <v>227.02</v>
      </c>
      <c r="T239" s="30">
        <f>36350</f>
        <v>36350</v>
      </c>
      <c r="U239" s="30" t="str">
        <f>"－"</f>
        <v>－</v>
      </c>
      <c r="V239" s="30">
        <f>8259535</f>
        <v>8259535</v>
      </c>
      <c r="W239" s="30" t="str">
        <f>"－"</f>
        <v>－</v>
      </c>
      <c r="X239" s="34">
        <f>19</f>
        <v>19</v>
      </c>
    </row>
    <row r="240" spans="1:24" x14ac:dyDescent="0.15">
      <c r="A240" s="25" t="s">
        <v>1109</v>
      </c>
      <c r="B240" s="25" t="s">
        <v>964</v>
      </c>
      <c r="C240" s="25" t="s">
        <v>965</v>
      </c>
      <c r="D240" s="25" t="s">
        <v>966</v>
      </c>
      <c r="E240" s="26" t="s">
        <v>43</v>
      </c>
      <c r="F240" s="27" t="s">
        <v>43</v>
      </c>
      <c r="G240" s="28" t="s">
        <v>43</v>
      </c>
      <c r="H240" s="29"/>
      <c r="I240" s="29" t="s">
        <v>44</v>
      </c>
      <c r="J240" s="30">
        <v>10</v>
      </c>
      <c r="K240" s="31">
        <f>753.7</f>
        <v>753.7</v>
      </c>
      <c r="L240" s="32" t="s">
        <v>1110</v>
      </c>
      <c r="M240" s="31">
        <f>757.6</f>
        <v>757.6</v>
      </c>
      <c r="N240" s="32" t="s">
        <v>1117</v>
      </c>
      <c r="O240" s="31">
        <f>746.4</f>
        <v>746.4</v>
      </c>
      <c r="P240" s="32" t="s">
        <v>1116</v>
      </c>
      <c r="Q240" s="31">
        <f>753.2</f>
        <v>753.2</v>
      </c>
      <c r="R240" s="32" t="s">
        <v>883</v>
      </c>
      <c r="S240" s="33">
        <f>752.33</f>
        <v>752.33</v>
      </c>
      <c r="T240" s="30">
        <f>1598050</f>
        <v>1598050</v>
      </c>
      <c r="U240" s="30">
        <f>1266000</f>
        <v>1266000</v>
      </c>
      <c r="V240" s="30">
        <f>1201810775</f>
        <v>1201810775</v>
      </c>
      <c r="W240" s="30">
        <f>952258100</f>
        <v>952258100</v>
      </c>
      <c r="X240" s="34">
        <f>19</f>
        <v>19</v>
      </c>
    </row>
    <row r="241" spans="1:24" x14ac:dyDescent="0.15">
      <c r="A241" s="25" t="s">
        <v>1109</v>
      </c>
      <c r="B241" s="25" t="s">
        <v>982</v>
      </c>
      <c r="C241" s="25" t="s">
        <v>983</v>
      </c>
      <c r="D241" s="25" t="s">
        <v>984</v>
      </c>
      <c r="E241" s="26" t="s">
        <v>43</v>
      </c>
      <c r="F241" s="27" t="s">
        <v>43</v>
      </c>
      <c r="G241" s="28" t="s">
        <v>43</v>
      </c>
      <c r="H241" s="29"/>
      <c r="I241" s="29" t="s">
        <v>44</v>
      </c>
      <c r="J241" s="30">
        <v>1</v>
      </c>
      <c r="K241" s="31">
        <f>1050</f>
        <v>1050</v>
      </c>
      <c r="L241" s="32" t="s">
        <v>1110</v>
      </c>
      <c r="M241" s="31">
        <f>1139</f>
        <v>1139</v>
      </c>
      <c r="N241" s="32" t="s">
        <v>676</v>
      </c>
      <c r="O241" s="31">
        <f>1048</f>
        <v>1048</v>
      </c>
      <c r="P241" s="32" t="s">
        <v>1110</v>
      </c>
      <c r="Q241" s="31">
        <f>1133</f>
        <v>1133</v>
      </c>
      <c r="R241" s="32" t="s">
        <v>883</v>
      </c>
      <c r="S241" s="33">
        <f>1101</f>
        <v>1101</v>
      </c>
      <c r="T241" s="30">
        <f>343759</f>
        <v>343759</v>
      </c>
      <c r="U241" s="30">
        <f>1</f>
        <v>1</v>
      </c>
      <c r="V241" s="30">
        <f>376480645</f>
        <v>376480645</v>
      </c>
      <c r="W241" s="30">
        <f>1056</f>
        <v>1056</v>
      </c>
      <c r="X241" s="34">
        <f>19</f>
        <v>19</v>
      </c>
    </row>
    <row r="242" spans="1:24" x14ac:dyDescent="0.15">
      <c r="A242" s="25" t="s">
        <v>1109</v>
      </c>
      <c r="B242" s="25" t="s">
        <v>985</v>
      </c>
      <c r="C242" s="25" t="s">
        <v>986</v>
      </c>
      <c r="D242" s="25" t="s">
        <v>987</v>
      </c>
      <c r="E242" s="26" t="s">
        <v>43</v>
      </c>
      <c r="F242" s="27" t="s">
        <v>43</v>
      </c>
      <c r="G242" s="28" t="s">
        <v>43</v>
      </c>
      <c r="H242" s="29"/>
      <c r="I242" s="29" t="s">
        <v>44</v>
      </c>
      <c r="J242" s="30">
        <v>1</v>
      </c>
      <c r="K242" s="31">
        <f>1070</f>
        <v>1070</v>
      </c>
      <c r="L242" s="32" t="s">
        <v>1110</v>
      </c>
      <c r="M242" s="31">
        <f>1086</f>
        <v>1086</v>
      </c>
      <c r="N242" s="32" t="s">
        <v>676</v>
      </c>
      <c r="O242" s="31">
        <f>1039</f>
        <v>1039</v>
      </c>
      <c r="P242" s="32" t="s">
        <v>1113</v>
      </c>
      <c r="Q242" s="31">
        <f>1077</f>
        <v>1077</v>
      </c>
      <c r="R242" s="32" t="s">
        <v>883</v>
      </c>
      <c r="S242" s="33">
        <f>1065.47</f>
        <v>1065.47</v>
      </c>
      <c r="T242" s="30">
        <f>201768</f>
        <v>201768</v>
      </c>
      <c r="U242" s="30">
        <f>2</f>
        <v>2</v>
      </c>
      <c r="V242" s="30">
        <f>214377615</f>
        <v>214377615</v>
      </c>
      <c r="W242" s="30">
        <f>2134</f>
        <v>2134</v>
      </c>
      <c r="X242" s="34">
        <f>19</f>
        <v>19</v>
      </c>
    </row>
    <row r="243" spans="1:24" x14ac:dyDescent="0.15">
      <c r="A243" s="25" t="s">
        <v>1109</v>
      </c>
      <c r="B243" s="25" t="s">
        <v>988</v>
      </c>
      <c r="C243" s="25" t="s">
        <v>989</v>
      </c>
      <c r="D243" s="25" t="s">
        <v>990</v>
      </c>
      <c r="E243" s="26" t="s">
        <v>43</v>
      </c>
      <c r="F243" s="27" t="s">
        <v>43</v>
      </c>
      <c r="G243" s="28" t="s">
        <v>43</v>
      </c>
      <c r="H243" s="29"/>
      <c r="I243" s="29" t="s">
        <v>44</v>
      </c>
      <c r="J243" s="30">
        <v>1</v>
      </c>
      <c r="K243" s="31">
        <f>677</f>
        <v>677</v>
      </c>
      <c r="L243" s="32" t="s">
        <v>1110</v>
      </c>
      <c r="M243" s="31">
        <f>772</f>
        <v>772</v>
      </c>
      <c r="N243" s="32" t="s">
        <v>1114</v>
      </c>
      <c r="O243" s="31">
        <f>632</f>
        <v>632</v>
      </c>
      <c r="P243" s="32" t="s">
        <v>674</v>
      </c>
      <c r="Q243" s="31">
        <f>755</f>
        <v>755</v>
      </c>
      <c r="R243" s="32" t="s">
        <v>883</v>
      </c>
      <c r="S243" s="33">
        <f>716.47</f>
        <v>716.47</v>
      </c>
      <c r="T243" s="30">
        <f>998500</f>
        <v>998500</v>
      </c>
      <c r="U243" s="30" t="str">
        <f>"－"</f>
        <v>－</v>
      </c>
      <c r="V243" s="30">
        <f>704587037</f>
        <v>704587037</v>
      </c>
      <c r="W243" s="30" t="str">
        <f>"－"</f>
        <v>－</v>
      </c>
      <c r="X243" s="34">
        <f>19</f>
        <v>19</v>
      </c>
    </row>
    <row r="244" spans="1:24" x14ac:dyDescent="0.15">
      <c r="A244" s="25" t="s">
        <v>1109</v>
      </c>
      <c r="B244" s="25" t="s">
        <v>1059</v>
      </c>
      <c r="C244" s="25" t="s">
        <v>1060</v>
      </c>
      <c r="D244" s="25" t="s">
        <v>1061</v>
      </c>
      <c r="E244" s="26" t="s">
        <v>43</v>
      </c>
      <c r="F244" s="27" t="s">
        <v>43</v>
      </c>
      <c r="G244" s="28" t="s">
        <v>43</v>
      </c>
      <c r="H244" s="29"/>
      <c r="I244" s="29" t="s">
        <v>44</v>
      </c>
      <c r="J244" s="30">
        <v>10</v>
      </c>
      <c r="K244" s="31">
        <f>214</f>
        <v>214</v>
      </c>
      <c r="L244" s="32" t="s">
        <v>1110</v>
      </c>
      <c r="M244" s="31">
        <f>215.4</f>
        <v>215.4</v>
      </c>
      <c r="N244" s="32" t="s">
        <v>1116</v>
      </c>
      <c r="O244" s="31">
        <f>208.2</f>
        <v>208.2</v>
      </c>
      <c r="P244" s="32" t="s">
        <v>874</v>
      </c>
      <c r="Q244" s="31">
        <f>210.4</f>
        <v>210.4</v>
      </c>
      <c r="R244" s="32" t="s">
        <v>883</v>
      </c>
      <c r="S244" s="33">
        <f>211.15</f>
        <v>211.15</v>
      </c>
      <c r="T244" s="30">
        <f>8851360</f>
        <v>8851360</v>
      </c>
      <c r="U244" s="30">
        <f>5950</f>
        <v>5950</v>
      </c>
      <c r="V244" s="30">
        <f>1870522110</f>
        <v>1870522110</v>
      </c>
      <c r="W244" s="30">
        <f>1272031</f>
        <v>1272031</v>
      </c>
      <c r="X244" s="34">
        <f>19</f>
        <v>19</v>
      </c>
    </row>
    <row r="245" spans="1:24" x14ac:dyDescent="0.15">
      <c r="A245" s="25" t="s">
        <v>1109</v>
      </c>
      <c r="B245" s="25" t="s">
        <v>1062</v>
      </c>
      <c r="C245" s="25" t="s">
        <v>1063</v>
      </c>
      <c r="D245" s="25" t="s">
        <v>1064</v>
      </c>
      <c r="E245" s="26" t="s">
        <v>43</v>
      </c>
      <c r="F245" s="27" t="s">
        <v>43</v>
      </c>
      <c r="G245" s="28" t="s">
        <v>43</v>
      </c>
      <c r="H245" s="29"/>
      <c r="I245" s="29" t="s">
        <v>44</v>
      </c>
      <c r="J245" s="30">
        <v>10</v>
      </c>
      <c r="K245" s="31">
        <f>213.8</f>
        <v>213.8</v>
      </c>
      <c r="L245" s="32" t="s">
        <v>1110</v>
      </c>
      <c r="M245" s="31">
        <f>213.8</f>
        <v>213.8</v>
      </c>
      <c r="N245" s="32" t="s">
        <v>1110</v>
      </c>
      <c r="O245" s="31">
        <f>204.6</f>
        <v>204.6</v>
      </c>
      <c r="P245" s="32" t="s">
        <v>1110</v>
      </c>
      <c r="Q245" s="31">
        <f>205.8</f>
        <v>205.8</v>
      </c>
      <c r="R245" s="32" t="s">
        <v>883</v>
      </c>
      <c r="S245" s="33">
        <f>205.96</f>
        <v>205.96</v>
      </c>
      <c r="T245" s="30">
        <f>1065820</f>
        <v>1065820</v>
      </c>
      <c r="U245" s="30">
        <f>40</f>
        <v>40</v>
      </c>
      <c r="V245" s="30">
        <f>219706258</f>
        <v>219706258</v>
      </c>
      <c r="W245" s="30">
        <f>8264</f>
        <v>8264</v>
      </c>
      <c r="X245" s="34">
        <f>19</f>
        <v>19</v>
      </c>
    </row>
    <row r="246" spans="1:24" x14ac:dyDescent="0.15">
      <c r="A246" s="25" t="s">
        <v>1109</v>
      </c>
      <c r="B246" s="25" t="s">
        <v>1065</v>
      </c>
      <c r="C246" s="25" t="s">
        <v>1066</v>
      </c>
      <c r="D246" s="25" t="s">
        <v>1067</v>
      </c>
      <c r="E246" s="26" t="s">
        <v>43</v>
      </c>
      <c r="F246" s="27" t="s">
        <v>43</v>
      </c>
      <c r="G246" s="28" t="s">
        <v>43</v>
      </c>
      <c r="H246" s="29"/>
      <c r="I246" s="29" t="s">
        <v>44</v>
      </c>
      <c r="J246" s="30">
        <v>10</v>
      </c>
      <c r="K246" s="31">
        <f>208.2</f>
        <v>208.2</v>
      </c>
      <c r="L246" s="32" t="s">
        <v>1110</v>
      </c>
      <c r="M246" s="31">
        <f>209.2</f>
        <v>209.2</v>
      </c>
      <c r="N246" s="32" t="s">
        <v>1114</v>
      </c>
      <c r="O246" s="31">
        <f>205</f>
        <v>205</v>
      </c>
      <c r="P246" s="32" t="s">
        <v>1110</v>
      </c>
      <c r="Q246" s="31">
        <f>206.8</f>
        <v>206.8</v>
      </c>
      <c r="R246" s="32" t="s">
        <v>883</v>
      </c>
      <c r="S246" s="33">
        <f>206.92</f>
        <v>206.92</v>
      </c>
      <c r="T246" s="30">
        <f>307110</f>
        <v>307110</v>
      </c>
      <c r="U246" s="30" t="str">
        <f>"－"</f>
        <v>－</v>
      </c>
      <c r="V246" s="30">
        <f>63445762</f>
        <v>63445762</v>
      </c>
      <c r="W246" s="30" t="str">
        <f>"－"</f>
        <v>－</v>
      </c>
      <c r="X246" s="34">
        <f>19</f>
        <v>19</v>
      </c>
    </row>
    <row r="247" spans="1:24" x14ac:dyDescent="0.15">
      <c r="A247" s="25" t="s">
        <v>1109</v>
      </c>
      <c r="B247" s="25" t="s">
        <v>1068</v>
      </c>
      <c r="C247" s="25" t="s">
        <v>1069</v>
      </c>
      <c r="D247" s="25" t="s">
        <v>1070</v>
      </c>
      <c r="E247" s="26" t="s">
        <v>43</v>
      </c>
      <c r="F247" s="27" t="s">
        <v>43</v>
      </c>
      <c r="G247" s="28" t="s">
        <v>43</v>
      </c>
      <c r="H247" s="29"/>
      <c r="I247" s="29" t="s">
        <v>44</v>
      </c>
      <c r="J247" s="30">
        <v>10</v>
      </c>
      <c r="K247" s="31">
        <f>206.2</f>
        <v>206.2</v>
      </c>
      <c r="L247" s="32" t="s">
        <v>1110</v>
      </c>
      <c r="M247" s="31">
        <f>209.6</f>
        <v>209.6</v>
      </c>
      <c r="N247" s="32" t="s">
        <v>676</v>
      </c>
      <c r="O247" s="31">
        <f>203.1</f>
        <v>203.1</v>
      </c>
      <c r="P247" s="32" t="s">
        <v>1116</v>
      </c>
      <c r="Q247" s="31">
        <f>208.2</f>
        <v>208.2</v>
      </c>
      <c r="R247" s="32" t="s">
        <v>883</v>
      </c>
      <c r="S247" s="33">
        <f>207.13</f>
        <v>207.13</v>
      </c>
      <c r="T247" s="30">
        <f>1306430</f>
        <v>1306430</v>
      </c>
      <c r="U247" s="30">
        <f>3330</f>
        <v>3330</v>
      </c>
      <c r="V247" s="30">
        <f>269427131</f>
        <v>269427131</v>
      </c>
      <c r="W247" s="30">
        <f>711213</f>
        <v>711213</v>
      </c>
      <c r="X247" s="34">
        <f>19</f>
        <v>19</v>
      </c>
    </row>
    <row r="248" spans="1:24" x14ac:dyDescent="0.15">
      <c r="A248" s="25" t="s">
        <v>1109</v>
      </c>
      <c r="B248" s="25" t="s">
        <v>1071</v>
      </c>
      <c r="C248" s="25" t="s">
        <v>1072</v>
      </c>
      <c r="D248" s="25" t="s">
        <v>1073</v>
      </c>
      <c r="E248" s="26" t="s">
        <v>43</v>
      </c>
      <c r="F248" s="27" t="s">
        <v>43</v>
      </c>
      <c r="G248" s="28" t="s">
        <v>43</v>
      </c>
      <c r="H248" s="29"/>
      <c r="I248" s="29" t="s">
        <v>44</v>
      </c>
      <c r="J248" s="30">
        <v>10</v>
      </c>
      <c r="K248" s="31">
        <f>207.2</f>
        <v>207.2</v>
      </c>
      <c r="L248" s="32" t="s">
        <v>1110</v>
      </c>
      <c r="M248" s="31">
        <f>211.5</f>
        <v>211.5</v>
      </c>
      <c r="N248" s="32" t="s">
        <v>1118</v>
      </c>
      <c r="O248" s="31">
        <f>200</f>
        <v>200</v>
      </c>
      <c r="P248" s="32" t="s">
        <v>876</v>
      </c>
      <c r="Q248" s="31">
        <f>202.6</f>
        <v>202.6</v>
      </c>
      <c r="R248" s="32" t="s">
        <v>883</v>
      </c>
      <c r="S248" s="33">
        <f>204.28</f>
        <v>204.28</v>
      </c>
      <c r="T248" s="30">
        <f>7877410</f>
        <v>7877410</v>
      </c>
      <c r="U248" s="30">
        <f>4752540</f>
        <v>4752540</v>
      </c>
      <c r="V248" s="30">
        <f>1609247353</f>
        <v>1609247353</v>
      </c>
      <c r="W248" s="30">
        <f>971359911</f>
        <v>971359911</v>
      </c>
      <c r="X248" s="34">
        <f>17</f>
        <v>17</v>
      </c>
    </row>
    <row r="249" spans="1:24" x14ac:dyDescent="0.15">
      <c r="A249" s="25" t="s">
        <v>1109</v>
      </c>
      <c r="B249" s="25" t="s">
        <v>539</v>
      </c>
      <c r="C249" s="25" t="s">
        <v>540</v>
      </c>
      <c r="D249" s="25" t="s">
        <v>541</v>
      </c>
      <c r="E249" s="26" t="s">
        <v>43</v>
      </c>
      <c r="F249" s="27" t="s">
        <v>43</v>
      </c>
      <c r="G249" s="28" t="s">
        <v>43</v>
      </c>
      <c r="H249" s="29"/>
      <c r="I249" s="29" t="s">
        <v>44</v>
      </c>
      <c r="J249" s="30">
        <v>10</v>
      </c>
      <c r="K249" s="31">
        <f>929</f>
        <v>929</v>
      </c>
      <c r="L249" s="32" t="s">
        <v>1110</v>
      </c>
      <c r="M249" s="31">
        <f>934.4</f>
        <v>934.4</v>
      </c>
      <c r="N249" s="32" t="s">
        <v>1111</v>
      </c>
      <c r="O249" s="31">
        <f>924.7</f>
        <v>924.7</v>
      </c>
      <c r="P249" s="32" t="s">
        <v>1117</v>
      </c>
      <c r="Q249" s="31">
        <f>931.6</f>
        <v>931.6</v>
      </c>
      <c r="R249" s="32" t="s">
        <v>883</v>
      </c>
      <c r="S249" s="33">
        <f>930.28</f>
        <v>930.28</v>
      </c>
      <c r="T249" s="30">
        <f>50586850</f>
        <v>50586850</v>
      </c>
      <c r="U249" s="30">
        <f>48585530</f>
        <v>48585530</v>
      </c>
      <c r="V249" s="30">
        <f>46964579069</f>
        <v>46964579069</v>
      </c>
      <c r="W249" s="30">
        <f>45102983458</f>
        <v>45102983458</v>
      </c>
      <c r="X249" s="34">
        <f>19</f>
        <v>19</v>
      </c>
    </row>
    <row r="250" spans="1:24" x14ac:dyDescent="0.15">
      <c r="A250" s="25" t="s">
        <v>1109</v>
      </c>
      <c r="B250" s="25" t="s">
        <v>542</v>
      </c>
      <c r="C250" s="25" t="s">
        <v>543</v>
      </c>
      <c r="D250" s="25" t="s">
        <v>544</v>
      </c>
      <c r="E250" s="26" t="s">
        <v>43</v>
      </c>
      <c r="F250" s="27" t="s">
        <v>43</v>
      </c>
      <c r="G250" s="28" t="s">
        <v>43</v>
      </c>
      <c r="H250" s="29"/>
      <c r="I250" s="29" t="s">
        <v>44</v>
      </c>
      <c r="J250" s="30">
        <v>10</v>
      </c>
      <c r="K250" s="31">
        <f>1074</f>
        <v>1074</v>
      </c>
      <c r="L250" s="32" t="s">
        <v>1110</v>
      </c>
      <c r="M250" s="31">
        <f>1087.5</f>
        <v>1087.5</v>
      </c>
      <c r="N250" s="32" t="s">
        <v>676</v>
      </c>
      <c r="O250" s="31">
        <f>1068</f>
        <v>1068</v>
      </c>
      <c r="P250" s="32" t="s">
        <v>1115</v>
      </c>
      <c r="Q250" s="31">
        <f>1078</f>
        <v>1078</v>
      </c>
      <c r="R250" s="32" t="s">
        <v>883</v>
      </c>
      <c r="S250" s="33">
        <f>1078.76</f>
        <v>1078.76</v>
      </c>
      <c r="T250" s="30">
        <f>986820</f>
        <v>986820</v>
      </c>
      <c r="U250" s="30">
        <f>137250</f>
        <v>137250</v>
      </c>
      <c r="V250" s="30">
        <f>1064971142</f>
        <v>1064971142</v>
      </c>
      <c r="W250" s="30">
        <f>148794157</f>
        <v>148794157</v>
      </c>
      <c r="X250" s="34">
        <f>19</f>
        <v>19</v>
      </c>
    </row>
    <row r="251" spans="1:24" x14ac:dyDescent="0.15">
      <c r="A251" s="25" t="s">
        <v>1109</v>
      </c>
      <c r="B251" s="25" t="s">
        <v>545</v>
      </c>
      <c r="C251" s="25" t="s">
        <v>546</v>
      </c>
      <c r="D251" s="25" t="s">
        <v>547</v>
      </c>
      <c r="E251" s="26" t="s">
        <v>43</v>
      </c>
      <c r="F251" s="27" t="s">
        <v>43</v>
      </c>
      <c r="G251" s="28" t="s">
        <v>43</v>
      </c>
      <c r="H251" s="29"/>
      <c r="I251" s="29" t="s">
        <v>44</v>
      </c>
      <c r="J251" s="30">
        <v>10</v>
      </c>
      <c r="K251" s="31">
        <f>807.8</f>
        <v>807.8</v>
      </c>
      <c r="L251" s="32" t="s">
        <v>1110</v>
      </c>
      <c r="M251" s="31">
        <f>808</f>
        <v>808</v>
      </c>
      <c r="N251" s="32" t="s">
        <v>1116</v>
      </c>
      <c r="O251" s="31">
        <f>790</f>
        <v>790</v>
      </c>
      <c r="P251" s="32" t="s">
        <v>1117</v>
      </c>
      <c r="Q251" s="31">
        <f>792</f>
        <v>792</v>
      </c>
      <c r="R251" s="32" t="s">
        <v>883</v>
      </c>
      <c r="S251" s="33">
        <f>796.22</f>
        <v>796.22</v>
      </c>
      <c r="T251" s="30">
        <f>3923880</f>
        <v>3923880</v>
      </c>
      <c r="U251" s="30">
        <f>3754810</f>
        <v>3754810</v>
      </c>
      <c r="V251" s="30">
        <f>3116560218</f>
        <v>3116560218</v>
      </c>
      <c r="W251" s="30">
        <f>2981997608</f>
        <v>2981997608</v>
      </c>
      <c r="X251" s="34">
        <f>19</f>
        <v>19</v>
      </c>
    </row>
    <row r="252" spans="1:24" x14ac:dyDescent="0.15">
      <c r="A252" s="25" t="s">
        <v>1109</v>
      </c>
      <c r="B252" s="25" t="s">
        <v>548</v>
      </c>
      <c r="C252" s="25" t="s">
        <v>549</v>
      </c>
      <c r="D252" s="25" t="s">
        <v>550</v>
      </c>
      <c r="E252" s="26" t="s">
        <v>43</v>
      </c>
      <c r="F252" s="27" t="s">
        <v>43</v>
      </c>
      <c r="G252" s="28" t="s">
        <v>43</v>
      </c>
      <c r="H252" s="29"/>
      <c r="I252" s="29" t="s">
        <v>44</v>
      </c>
      <c r="J252" s="30">
        <v>10</v>
      </c>
      <c r="K252" s="31">
        <f>2152</f>
        <v>2152</v>
      </c>
      <c r="L252" s="32" t="s">
        <v>1110</v>
      </c>
      <c r="M252" s="31">
        <f>2296.5</f>
        <v>2296.5</v>
      </c>
      <c r="N252" s="32" t="s">
        <v>676</v>
      </c>
      <c r="O252" s="31">
        <f>2147</f>
        <v>2147</v>
      </c>
      <c r="P252" s="32" t="s">
        <v>1110</v>
      </c>
      <c r="Q252" s="31">
        <f>2282</f>
        <v>2282</v>
      </c>
      <c r="R252" s="32" t="s">
        <v>883</v>
      </c>
      <c r="S252" s="33">
        <f>2238.13</f>
        <v>2238.13</v>
      </c>
      <c r="T252" s="30">
        <f>1269040</f>
        <v>1269040</v>
      </c>
      <c r="U252" s="30">
        <f>982060</f>
        <v>982060</v>
      </c>
      <c r="V252" s="30">
        <f>2847898707</f>
        <v>2847898707</v>
      </c>
      <c r="W252" s="30">
        <f>2206608082</f>
        <v>2206608082</v>
      </c>
      <c r="X252" s="34">
        <f>19</f>
        <v>19</v>
      </c>
    </row>
    <row r="253" spans="1:24" x14ac:dyDescent="0.15">
      <c r="A253" s="25" t="s">
        <v>1109</v>
      </c>
      <c r="B253" s="25" t="s">
        <v>551</v>
      </c>
      <c r="C253" s="25" t="s">
        <v>552</v>
      </c>
      <c r="D253" s="25" t="s">
        <v>553</v>
      </c>
      <c r="E253" s="26" t="s">
        <v>43</v>
      </c>
      <c r="F253" s="27" t="s">
        <v>43</v>
      </c>
      <c r="G253" s="28" t="s">
        <v>43</v>
      </c>
      <c r="H253" s="29"/>
      <c r="I253" s="29" t="s">
        <v>44</v>
      </c>
      <c r="J253" s="30">
        <v>10</v>
      </c>
      <c r="K253" s="31">
        <f>1471.5</f>
        <v>1471.5</v>
      </c>
      <c r="L253" s="32" t="s">
        <v>1110</v>
      </c>
      <c r="M253" s="31">
        <f>1534</f>
        <v>1534</v>
      </c>
      <c r="N253" s="32" t="s">
        <v>883</v>
      </c>
      <c r="O253" s="31">
        <f>1471.5</f>
        <v>1471.5</v>
      </c>
      <c r="P253" s="32" t="s">
        <v>1110</v>
      </c>
      <c r="Q253" s="31">
        <f>1528.5</f>
        <v>1528.5</v>
      </c>
      <c r="R253" s="32" t="s">
        <v>883</v>
      </c>
      <c r="S253" s="33">
        <f>1507.68</f>
        <v>1507.68</v>
      </c>
      <c r="T253" s="30">
        <f>82750</f>
        <v>82750</v>
      </c>
      <c r="U253" s="30">
        <f>16250</f>
        <v>16250</v>
      </c>
      <c r="V253" s="30">
        <f>124993208</f>
        <v>124993208</v>
      </c>
      <c r="W253" s="30">
        <f>24782373</f>
        <v>24782373</v>
      </c>
      <c r="X253" s="34">
        <f>19</f>
        <v>19</v>
      </c>
    </row>
    <row r="254" spans="1:24" x14ac:dyDescent="0.15">
      <c r="A254" s="25" t="s">
        <v>1109</v>
      </c>
      <c r="B254" s="25" t="s">
        <v>554</v>
      </c>
      <c r="C254" s="25" t="s">
        <v>555</v>
      </c>
      <c r="D254" s="25" t="s">
        <v>556</v>
      </c>
      <c r="E254" s="26" t="s">
        <v>43</v>
      </c>
      <c r="F254" s="27" t="s">
        <v>43</v>
      </c>
      <c r="G254" s="28" t="s">
        <v>43</v>
      </c>
      <c r="H254" s="29"/>
      <c r="I254" s="29" t="s">
        <v>44</v>
      </c>
      <c r="J254" s="30">
        <v>10</v>
      </c>
      <c r="K254" s="31">
        <f>1290</f>
        <v>1290</v>
      </c>
      <c r="L254" s="32" t="s">
        <v>1110</v>
      </c>
      <c r="M254" s="31">
        <f>1324.5</f>
        <v>1324.5</v>
      </c>
      <c r="N254" s="32" t="s">
        <v>874</v>
      </c>
      <c r="O254" s="31">
        <f>1265.5</f>
        <v>1265.5</v>
      </c>
      <c r="P254" s="32" t="s">
        <v>1124</v>
      </c>
      <c r="Q254" s="31">
        <f>1311</f>
        <v>1311</v>
      </c>
      <c r="R254" s="32" t="s">
        <v>883</v>
      </c>
      <c r="S254" s="33">
        <f>1301.92</f>
        <v>1301.92</v>
      </c>
      <c r="T254" s="30">
        <f>891780</f>
        <v>891780</v>
      </c>
      <c r="U254" s="30">
        <f>189380</f>
        <v>189380</v>
      </c>
      <c r="V254" s="30">
        <f>1154362581</f>
        <v>1154362581</v>
      </c>
      <c r="W254" s="30">
        <f>243741106</f>
        <v>243741106</v>
      </c>
      <c r="X254" s="34">
        <f>19</f>
        <v>19</v>
      </c>
    </row>
    <row r="255" spans="1:24" x14ac:dyDescent="0.15">
      <c r="A255" s="25" t="s">
        <v>1109</v>
      </c>
      <c r="B255" s="25" t="s">
        <v>557</v>
      </c>
      <c r="C255" s="25" t="s">
        <v>1074</v>
      </c>
      <c r="D255" s="25" t="s">
        <v>1075</v>
      </c>
      <c r="E255" s="26" t="s">
        <v>43</v>
      </c>
      <c r="F255" s="27" t="s">
        <v>43</v>
      </c>
      <c r="G255" s="28" t="s">
        <v>43</v>
      </c>
      <c r="H255" s="29"/>
      <c r="I255" s="29" t="s">
        <v>44</v>
      </c>
      <c r="J255" s="30">
        <v>10</v>
      </c>
      <c r="K255" s="31">
        <f>550</f>
        <v>550</v>
      </c>
      <c r="L255" s="32" t="s">
        <v>1110</v>
      </c>
      <c r="M255" s="31">
        <f>613.7</f>
        <v>613.70000000000005</v>
      </c>
      <c r="N255" s="32" t="s">
        <v>1114</v>
      </c>
      <c r="O255" s="31">
        <f>546</f>
        <v>546</v>
      </c>
      <c r="P255" s="32" t="s">
        <v>1110</v>
      </c>
      <c r="Q255" s="31">
        <f>603.5</f>
        <v>603.5</v>
      </c>
      <c r="R255" s="32" t="s">
        <v>883</v>
      </c>
      <c r="S255" s="33">
        <f>574.86</f>
        <v>574.86</v>
      </c>
      <c r="T255" s="30">
        <f>46388640</f>
        <v>46388640</v>
      </c>
      <c r="U255" s="30">
        <f>1563290</f>
        <v>1563290</v>
      </c>
      <c r="V255" s="30">
        <f>26732542867</f>
        <v>26732542867</v>
      </c>
      <c r="W255" s="30">
        <f>884837937</f>
        <v>884837937</v>
      </c>
      <c r="X255" s="34">
        <f>19</f>
        <v>19</v>
      </c>
    </row>
    <row r="256" spans="1:24" x14ac:dyDescent="0.15">
      <c r="A256" s="25" t="s">
        <v>1109</v>
      </c>
      <c r="B256" s="25" t="s">
        <v>558</v>
      </c>
      <c r="C256" s="25" t="s">
        <v>559</v>
      </c>
      <c r="D256" s="25" t="s">
        <v>560</v>
      </c>
      <c r="E256" s="26" t="s">
        <v>43</v>
      </c>
      <c r="F256" s="27" t="s">
        <v>43</v>
      </c>
      <c r="G256" s="28" t="s">
        <v>43</v>
      </c>
      <c r="H256" s="29"/>
      <c r="I256" s="29" t="s">
        <v>44</v>
      </c>
      <c r="J256" s="30">
        <v>10</v>
      </c>
      <c r="K256" s="31">
        <f>1085</f>
        <v>1085</v>
      </c>
      <c r="L256" s="32" t="s">
        <v>1110</v>
      </c>
      <c r="M256" s="31">
        <f>1094</f>
        <v>1094</v>
      </c>
      <c r="N256" s="32" t="s">
        <v>674</v>
      </c>
      <c r="O256" s="31">
        <f>1009.5</f>
        <v>1009.5</v>
      </c>
      <c r="P256" s="32" t="s">
        <v>874</v>
      </c>
      <c r="Q256" s="31">
        <f>1025</f>
        <v>1025</v>
      </c>
      <c r="R256" s="32" t="s">
        <v>883</v>
      </c>
      <c r="S256" s="33">
        <f>1047.32</f>
        <v>1047.32</v>
      </c>
      <c r="T256" s="30">
        <f>3684330</f>
        <v>3684330</v>
      </c>
      <c r="U256" s="30">
        <f>2867830</f>
        <v>2867830</v>
      </c>
      <c r="V256" s="30">
        <f>3859521560</f>
        <v>3859521560</v>
      </c>
      <c r="W256" s="30">
        <f>2989021905</f>
        <v>2989021905</v>
      </c>
      <c r="X256" s="34">
        <f>19</f>
        <v>19</v>
      </c>
    </row>
    <row r="257" spans="1:24" x14ac:dyDescent="0.15">
      <c r="A257" s="25" t="s">
        <v>1109</v>
      </c>
      <c r="B257" s="25" t="s">
        <v>561</v>
      </c>
      <c r="C257" s="25" t="s">
        <v>562</v>
      </c>
      <c r="D257" s="25" t="s">
        <v>563</v>
      </c>
      <c r="E257" s="26" t="s">
        <v>43</v>
      </c>
      <c r="F257" s="27" t="s">
        <v>43</v>
      </c>
      <c r="G257" s="28" t="s">
        <v>43</v>
      </c>
      <c r="H257" s="29"/>
      <c r="I257" s="29" t="s">
        <v>44</v>
      </c>
      <c r="J257" s="30">
        <v>1</v>
      </c>
      <c r="K257" s="31">
        <f>1404</f>
        <v>1404</v>
      </c>
      <c r="L257" s="32" t="s">
        <v>1110</v>
      </c>
      <c r="M257" s="31">
        <f>1519</f>
        <v>1519</v>
      </c>
      <c r="N257" s="32" t="s">
        <v>1111</v>
      </c>
      <c r="O257" s="31">
        <f>1396</f>
        <v>1396</v>
      </c>
      <c r="P257" s="32" t="s">
        <v>1115</v>
      </c>
      <c r="Q257" s="31">
        <f>1492</f>
        <v>1492</v>
      </c>
      <c r="R257" s="32" t="s">
        <v>883</v>
      </c>
      <c r="S257" s="33">
        <f>1446.63</f>
        <v>1446.63</v>
      </c>
      <c r="T257" s="30">
        <f>7734</f>
        <v>7734</v>
      </c>
      <c r="U257" s="30" t="str">
        <f>"－"</f>
        <v>－</v>
      </c>
      <c r="V257" s="30">
        <f>11192763</f>
        <v>11192763</v>
      </c>
      <c r="W257" s="30" t="str">
        <f>"－"</f>
        <v>－</v>
      </c>
      <c r="X257" s="34">
        <f>19</f>
        <v>19</v>
      </c>
    </row>
    <row r="258" spans="1:24" x14ac:dyDescent="0.15">
      <c r="A258" s="25" t="s">
        <v>1109</v>
      </c>
      <c r="B258" s="25" t="s">
        <v>564</v>
      </c>
      <c r="C258" s="25" t="s">
        <v>565</v>
      </c>
      <c r="D258" s="25" t="s">
        <v>566</v>
      </c>
      <c r="E258" s="26" t="s">
        <v>43</v>
      </c>
      <c r="F258" s="27" t="s">
        <v>43</v>
      </c>
      <c r="G258" s="28" t="s">
        <v>43</v>
      </c>
      <c r="H258" s="29"/>
      <c r="I258" s="29" t="s">
        <v>44</v>
      </c>
      <c r="J258" s="30">
        <v>10</v>
      </c>
      <c r="K258" s="31">
        <f>1011</f>
        <v>1011</v>
      </c>
      <c r="L258" s="32" t="s">
        <v>1110</v>
      </c>
      <c r="M258" s="31">
        <f>1045</f>
        <v>1045</v>
      </c>
      <c r="N258" s="32" t="s">
        <v>883</v>
      </c>
      <c r="O258" s="31">
        <f>1006.5</f>
        <v>1006.5</v>
      </c>
      <c r="P258" s="32" t="s">
        <v>1110</v>
      </c>
      <c r="Q258" s="31">
        <f>1043.5</f>
        <v>1043.5</v>
      </c>
      <c r="R258" s="32" t="s">
        <v>883</v>
      </c>
      <c r="S258" s="33">
        <f>1028.32</f>
        <v>1028.32</v>
      </c>
      <c r="T258" s="30">
        <f>171420</f>
        <v>171420</v>
      </c>
      <c r="U258" s="30">
        <f>77450</f>
        <v>77450</v>
      </c>
      <c r="V258" s="30">
        <f>177254625</f>
        <v>177254625</v>
      </c>
      <c r="W258" s="30">
        <f>80593630</f>
        <v>80593630</v>
      </c>
      <c r="X258" s="34">
        <f>19</f>
        <v>19</v>
      </c>
    </row>
    <row r="259" spans="1:24" x14ac:dyDescent="0.15">
      <c r="A259" s="25" t="s">
        <v>1109</v>
      </c>
      <c r="B259" s="25" t="s">
        <v>567</v>
      </c>
      <c r="C259" s="25" t="s">
        <v>568</v>
      </c>
      <c r="D259" s="25" t="s">
        <v>569</v>
      </c>
      <c r="E259" s="26" t="s">
        <v>43</v>
      </c>
      <c r="F259" s="27" t="s">
        <v>43</v>
      </c>
      <c r="G259" s="28" t="s">
        <v>43</v>
      </c>
      <c r="H259" s="29"/>
      <c r="I259" s="29" t="s">
        <v>44</v>
      </c>
      <c r="J259" s="30">
        <v>10</v>
      </c>
      <c r="K259" s="31">
        <f>1261</f>
        <v>1261</v>
      </c>
      <c r="L259" s="32" t="s">
        <v>1110</v>
      </c>
      <c r="M259" s="31">
        <f>1360</f>
        <v>1360</v>
      </c>
      <c r="N259" s="32" t="s">
        <v>874</v>
      </c>
      <c r="O259" s="31">
        <f>1252</f>
        <v>1252</v>
      </c>
      <c r="P259" s="32" t="s">
        <v>1110</v>
      </c>
      <c r="Q259" s="31">
        <f>1338</f>
        <v>1338</v>
      </c>
      <c r="R259" s="32" t="s">
        <v>883</v>
      </c>
      <c r="S259" s="33">
        <f>1314.97</f>
        <v>1314.97</v>
      </c>
      <c r="T259" s="30">
        <f>70140</f>
        <v>70140</v>
      </c>
      <c r="U259" s="30" t="str">
        <f>"－"</f>
        <v>－</v>
      </c>
      <c r="V259" s="30">
        <f>92624170</f>
        <v>92624170</v>
      </c>
      <c r="W259" s="30" t="str">
        <f>"－"</f>
        <v>－</v>
      </c>
      <c r="X259" s="34">
        <f>19</f>
        <v>19</v>
      </c>
    </row>
    <row r="260" spans="1:24" x14ac:dyDescent="0.15">
      <c r="A260" s="25" t="s">
        <v>1109</v>
      </c>
      <c r="B260" s="25" t="s">
        <v>570</v>
      </c>
      <c r="C260" s="25" t="s">
        <v>571</v>
      </c>
      <c r="D260" s="25" t="s">
        <v>572</v>
      </c>
      <c r="E260" s="26" t="s">
        <v>43</v>
      </c>
      <c r="F260" s="27" t="s">
        <v>43</v>
      </c>
      <c r="G260" s="28" t="s">
        <v>43</v>
      </c>
      <c r="H260" s="29"/>
      <c r="I260" s="29" t="s">
        <v>44</v>
      </c>
      <c r="J260" s="30">
        <v>10</v>
      </c>
      <c r="K260" s="31">
        <f>1529.5</f>
        <v>1529.5</v>
      </c>
      <c r="L260" s="32" t="s">
        <v>1110</v>
      </c>
      <c r="M260" s="31">
        <f>1600</f>
        <v>1600</v>
      </c>
      <c r="N260" s="32" t="s">
        <v>676</v>
      </c>
      <c r="O260" s="31">
        <f>1529</f>
        <v>1529</v>
      </c>
      <c r="P260" s="32" t="s">
        <v>1110</v>
      </c>
      <c r="Q260" s="31">
        <f>1594.5</f>
        <v>1594.5</v>
      </c>
      <c r="R260" s="32" t="s">
        <v>883</v>
      </c>
      <c r="S260" s="33">
        <f>1571.95</f>
        <v>1571.95</v>
      </c>
      <c r="T260" s="30">
        <f>3769120</f>
        <v>3769120</v>
      </c>
      <c r="U260" s="30">
        <f>978840</f>
        <v>978840</v>
      </c>
      <c r="V260" s="30">
        <f>5918432533</f>
        <v>5918432533</v>
      </c>
      <c r="W260" s="30">
        <f>1551164668</f>
        <v>1551164668</v>
      </c>
      <c r="X260" s="34">
        <f>19</f>
        <v>19</v>
      </c>
    </row>
    <row r="261" spans="1:24" x14ac:dyDescent="0.15">
      <c r="A261" s="25" t="s">
        <v>1109</v>
      </c>
      <c r="B261" s="25" t="s">
        <v>573</v>
      </c>
      <c r="C261" s="25" t="s">
        <v>574</v>
      </c>
      <c r="D261" s="25" t="s">
        <v>575</v>
      </c>
      <c r="E261" s="26" t="s">
        <v>43</v>
      </c>
      <c r="F261" s="27" t="s">
        <v>43</v>
      </c>
      <c r="G261" s="28" t="s">
        <v>43</v>
      </c>
      <c r="H261" s="29"/>
      <c r="I261" s="29" t="s">
        <v>44</v>
      </c>
      <c r="J261" s="30">
        <v>1</v>
      </c>
      <c r="K261" s="31">
        <f>5060</f>
        <v>5060</v>
      </c>
      <c r="L261" s="32" t="s">
        <v>1110</v>
      </c>
      <c r="M261" s="31">
        <f>5390</f>
        <v>5390</v>
      </c>
      <c r="N261" s="32" t="s">
        <v>1114</v>
      </c>
      <c r="O261" s="31">
        <f>5020</f>
        <v>5020</v>
      </c>
      <c r="P261" s="32" t="s">
        <v>1110</v>
      </c>
      <c r="Q261" s="31">
        <f>5330</f>
        <v>5330</v>
      </c>
      <c r="R261" s="32" t="s">
        <v>883</v>
      </c>
      <c r="S261" s="33">
        <f>5225.26</f>
        <v>5225.26</v>
      </c>
      <c r="T261" s="30">
        <f>60309</f>
        <v>60309</v>
      </c>
      <c r="U261" s="30" t="str">
        <f>"－"</f>
        <v>－</v>
      </c>
      <c r="V261" s="30">
        <f>314692690</f>
        <v>314692690</v>
      </c>
      <c r="W261" s="30" t="str">
        <f>"－"</f>
        <v>－</v>
      </c>
      <c r="X261" s="34">
        <f>19</f>
        <v>19</v>
      </c>
    </row>
    <row r="262" spans="1:24" x14ac:dyDescent="0.15">
      <c r="A262" s="25" t="s">
        <v>1109</v>
      </c>
      <c r="B262" s="25" t="s">
        <v>576</v>
      </c>
      <c r="C262" s="25" t="s">
        <v>577</v>
      </c>
      <c r="D262" s="25" t="s">
        <v>578</v>
      </c>
      <c r="E262" s="26" t="s">
        <v>43</v>
      </c>
      <c r="F262" s="27" t="s">
        <v>43</v>
      </c>
      <c r="G262" s="28" t="s">
        <v>43</v>
      </c>
      <c r="H262" s="29"/>
      <c r="I262" s="29" t="s">
        <v>44</v>
      </c>
      <c r="J262" s="30">
        <v>10</v>
      </c>
      <c r="K262" s="31">
        <f>2036</f>
        <v>2036</v>
      </c>
      <c r="L262" s="32" t="s">
        <v>1116</v>
      </c>
      <c r="M262" s="31">
        <f>2285</f>
        <v>2285</v>
      </c>
      <c r="N262" s="32" t="s">
        <v>874</v>
      </c>
      <c r="O262" s="31">
        <f>1962</f>
        <v>1962</v>
      </c>
      <c r="P262" s="32" t="s">
        <v>1113</v>
      </c>
      <c r="Q262" s="31">
        <f>2119</f>
        <v>2119</v>
      </c>
      <c r="R262" s="32" t="s">
        <v>883</v>
      </c>
      <c r="S262" s="33">
        <f>2103</f>
        <v>2103</v>
      </c>
      <c r="T262" s="30">
        <f>10710</f>
        <v>10710</v>
      </c>
      <c r="U262" s="30" t="str">
        <f>"－"</f>
        <v>－</v>
      </c>
      <c r="V262" s="30">
        <f>23879690</f>
        <v>23879690</v>
      </c>
      <c r="W262" s="30" t="str">
        <f>"－"</f>
        <v>－</v>
      </c>
      <c r="X262" s="34">
        <f>11</f>
        <v>11</v>
      </c>
    </row>
    <row r="263" spans="1:24" x14ac:dyDescent="0.15">
      <c r="A263" s="25" t="s">
        <v>1109</v>
      </c>
      <c r="B263" s="25" t="s">
        <v>579</v>
      </c>
      <c r="C263" s="25" t="s">
        <v>580</v>
      </c>
      <c r="D263" s="25" t="s">
        <v>581</v>
      </c>
      <c r="E263" s="26" t="s">
        <v>43</v>
      </c>
      <c r="F263" s="27" t="s">
        <v>43</v>
      </c>
      <c r="G263" s="28" t="s">
        <v>43</v>
      </c>
      <c r="H263" s="29"/>
      <c r="I263" s="29" t="s">
        <v>44</v>
      </c>
      <c r="J263" s="30">
        <v>10</v>
      </c>
      <c r="K263" s="31">
        <f>2618.5</f>
        <v>2618.5</v>
      </c>
      <c r="L263" s="32" t="s">
        <v>1110</v>
      </c>
      <c r="M263" s="31">
        <f>3049</f>
        <v>3049</v>
      </c>
      <c r="N263" s="32" t="s">
        <v>875</v>
      </c>
      <c r="O263" s="31">
        <f>2609</f>
        <v>2609</v>
      </c>
      <c r="P263" s="32" t="s">
        <v>1110</v>
      </c>
      <c r="Q263" s="31">
        <f>2736.5</f>
        <v>2736.5</v>
      </c>
      <c r="R263" s="32" t="s">
        <v>883</v>
      </c>
      <c r="S263" s="33">
        <f>2681.69</f>
        <v>2681.69</v>
      </c>
      <c r="T263" s="30">
        <f>2086030</f>
        <v>2086030</v>
      </c>
      <c r="U263" s="30">
        <f>1896050</f>
        <v>1896050</v>
      </c>
      <c r="V263" s="30">
        <f>5657044648</f>
        <v>5657044648</v>
      </c>
      <c r="W263" s="30">
        <f>5145788388</f>
        <v>5145788388</v>
      </c>
      <c r="X263" s="34">
        <f>18</f>
        <v>18</v>
      </c>
    </row>
    <row r="264" spans="1:24" x14ac:dyDescent="0.15">
      <c r="A264" s="25" t="s">
        <v>1109</v>
      </c>
      <c r="B264" s="25" t="s">
        <v>582</v>
      </c>
      <c r="C264" s="25" t="s">
        <v>583</v>
      </c>
      <c r="D264" s="25" t="s">
        <v>584</v>
      </c>
      <c r="E264" s="26" t="s">
        <v>43</v>
      </c>
      <c r="F264" s="27" t="s">
        <v>43</v>
      </c>
      <c r="G264" s="28" t="s">
        <v>43</v>
      </c>
      <c r="H264" s="29"/>
      <c r="I264" s="29" t="s">
        <v>44</v>
      </c>
      <c r="J264" s="30">
        <v>1</v>
      </c>
      <c r="K264" s="31">
        <f>36690</f>
        <v>36690</v>
      </c>
      <c r="L264" s="32" t="s">
        <v>1110</v>
      </c>
      <c r="M264" s="31">
        <f>39860</f>
        <v>39860</v>
      </c>
      <c r="N264" s="32" t="s">
        <v>1111</v>
      </c>
      <c r="O264" s="31">
        <f>36640</f>
        <v>36640</v>
      </c>
      <c r="P264" s="32" t="s">
        <v>1110</v>
      </c>
      <c r="Q264" s="31">
        <f>39590</f>
        <v>39590</v>
      </c>
      <c r="R264" s="32" t="s">
        <v>883</v>
      </c>
      <c r="S264" s="33">
        <f>38317.37</f>
        <v>38317.370000000003</v>
      </c>
      <c r="T264" s="30">
        <f>73677</f>
        <v>73677</v>
      </c>
      <c r="U264" s="30">
        <f>30620</f>
        <v>30620</v>
      </c>
      <c r="V264" s="30">
        <f>2844978976</f>
        <v>2844978976</v>
      </c>
      <c r="W264" s="30">
        <f>1185879746</f>
        <v>1185879746</v>
      </c>
      <c r="X264" s="34">
        <f>19</f>
        <v>19</v>
      </c>
    </row>
    <row r="265" spans="1:24" x14ac:dyDescent="0.15">
      <c r="A265" s="25" t="s">
        <v>1109</v>
      </c>
      <c r="B265" s="25" t="s">
        <v>585</v>
      </c>
      <c r="C265" s="25" t="s">
        <v>586</v>
      </c>
      <c r="D265" s="25" t="s">
        <v>587</v>
      </c>
      <c r="E265" s="26" t="s">
        <v>43</v>
      </c>
      <c r="F265" s="27" t="s">
        <v>43</v>
      </c>
      <c r="G265" s="28" t="s">
        <v>43</v>
      </c>
      <c r="H265" s="29"/>
      <c r="I265" s="29" t="s">
        <v>44</v>
      </c>
      <c r="J265" s="30">
        <v>1</v>
      </c>
      <c r="K265" s="31">
        <f>23500</f>
        <v>23500</v>
      </c>
      <c r="L265" s="32" t="s">
        <v>1110</v>
      </c>
      <c r="M265" s="31">
        <f>24560</f>
        <v>24560</v>
      </c>
      <c r="N265" s="32" t="s">
        <v>1123</v>
      </c>
      <c r="O265" s="31">
        <f>23450</f>
        <v>23450</v>
      </c>
      <c r="P265" s="32" t="s">
        <v>1115</v>
      </c>
      <c r="Q265" s="31">
        <f>24295</f>
        <v>24295</v>
      </c>
      <c r="R265" s="32" t="s">
        <v>883</v>
      </c>
      <c r="S265" s="33">
        <f>23923.57</f>
        <v>23923.57</v>
      </c>
      <c r="T265" s="30">
        <f>43022</f>
        <v>43022</v>
      </c>
      <c r="U265" s="30">
        <f>27000</f>
        <v>27000</v>
      </c>
      <c r="V265" s="30">
        <f>1037981449</f>
        <v>1037981449</v>
      </c>
      <c r="W265" s="30">
        <f>656369274</f>
        <v>656369274</v>
      </c>
      <c r="X265" s="34">
        <f>14</f>
        <v>14</v>
      </c>
    </row>
    <row r="266" spans="1:24" x14ac:dyDescent="0.15">
      <c r="A266" s="25" t="s">
        <v>1109</v>
      </c>
      <c r="B266" s="25" t="s">
        <v>588</v>
      </c>
      <c r="C266" s="25" t="s">
        <v>589</v>
      </c>
      <c r="D266" s="25" t="s">
        <v>590</v>
      </c>
      <c r="E266" s="26" t="s">
        <v>43</v>
      </c>
      <c r="F266" s="27" t="s">
        <v>43</v>
      </c>
      <c r="G266" s="28" t="s">
        <v>43</v>
      </c>
      <c r="H266" s="29"/>
      <c r="I266" s="29" t="s">
        <v>44</v>
      </c>
      <c r="J266" s="30">
        <v>10</v>
      </c>
      <c r="K266" s="31">
        <f>1075.5</f>
        <v>1075.5</v>
      </c>
      <c r="L266" s="32" t="s">
        <v>1110</v>
      </c>
      <c r="M266" s="31">
        <f>1086.5</f>
        <v>1086.5</v>
      </c>
      <c r="N266" s="32" t="s">
        <v>674</v>
      </c>
      <c r="O266" s="31">
        <f>1015.5</f>
        <v>1015.5</v>
      </c>
      <c r="P266" s="32" t="s">
        <v>874</v>
      </c>
      <c r="Q266" s="31">
        <f>1034.5</f>
        <v>1034.5</v>
      </c>
      <c r="R266" s="32" t="s">
        <v>883</v>
      </c>
      <c r="S266" s="33">
        <f>1048.35</f>
        <v>1048.3499999999999</v>
      </c>
      <c r="T266" s="30">
        <f>315370</f>
        <v>315370</v>
      </c>
      <c r="U266" s="30">
        <f>70000</f>
        <v>70000</v>
      </c>
      <c r="V266" s="30">
        <f>331145836</f>
        <v>331145836</v>
      </c>
      <c r="W266" s="30">
        <f>73601871</f>
        <v>73601871</v>
      </c>
      <c r="X266" s="34">
        <f>17</f>
        <v>17</v>
      </c>
    </row>
    <row r="267" spans="1:24" x14ac:dyDescent="0.15">
      <c r="A267" s="25" t="s">
        <v>1109</v>
      </c>
      <c r="B267" s="25" t="s">
        <v>591</v>
      </c>
      <c r="C267" s="25" t="s">
        <v>946</v>
      </c>
      <c r="D267" s="25" t="s">
        <v>947</v>
      </c>
      <c r="E267" s="26" t="s">
        <v>43</v>
      </c>
      <c r="F267" s="27" t="s">
        <v>43</v>
      </c>
      <c r="G267" s="28" t="s">
        <v>43</v>
      </c>
      <c r="H267" s="29"/>
      <c r="I267" s="29" t="s">
        <v>44</v>
      </c>
      <c r="J267" s="30">
        <v>10</v>
      </c>
      <c r="K267" s="31">
        <f>1081</f>
        <v>1081</v>
      </c>
      <c r="L267" s="32" t="s">
        <v>1110</v>
      </c>
      <c r="M267" s="31">
        <f>1090</f>
        <v>1090</v>
      </c>
      <c r="N267" s="32" t="s">
        <v>674</v>
      </c>
      <c r="O267" s="31">
        <f>1019</f>
        <v>1019</v>
      </c>
      <c r="P267" s="32" t="s">
        <v>874</v>
      </c>
      <c r="Q267" s="31">
        <f>1034</f>
        <v>1034</v>
      </c>
      <c r="R267" s="32" t="s">
        <v>883</v>
      </c>
      <c r="S267" s="33">
        <f>1052.74</f>
        <v>1052.74</v>
      </c>
      <c r="T267" s="30">
        <f>404540</f>
        <v>404540</v>
      </c>
      <c r="U267" s="30">
        <f>190250</f>
        <v>190250</v>
      </c>
      <c r="V267" s="30">
        <f>425467888</f>
        <v>425467888</v>
      </c>
      <c r="W267" s="30">
        <f>199818698</f>
        <v>199818698</v>
      </c>
      <c r="X267" s="34">
        <f>19</f>
        <v>19</v>
      </c>
    </row>
    <row r="268" spans="1:24" x14ac:dyDescent="0.15">
      <c r="A268" s="25" t="s">
        <v>1109</v>
      </c>
      <c r="B268" s="25" t="s">
        <v>592</v>
      </c>
      <c r="C268" s="25" t="s">
        <v>593</v>
      </c>
      <c r="D268" s="25" t="s">
        <v>594</v>
      </c>
      <c r="E268" s="26" t="s">
        <v>43</v>
      </c>
      <c r="F268" s="27" t="s">
        <v>43</v>
      </c>
      <c r="G268" s="28" t="s">
        <v>43</v>
      </c>
      <c r="H268" s="29"/>
      <c r="I268" s="29" t="s">
        <v>44</v>
      </c>
      <c r="J268" s="30">
        <v>1</v>
      </c>
      <c r="K268" s="31">
        <f>1630</f>
        <v>1630</v>
      </c>
      <c r="L268" s="32" t="s">
        <v>1110</v>
      </c>
      <c r="M268" s="31">
        <f>1673</f>
        <v>1673</v>
      </c>
      <c r="N268" s="32" t="s">
        <v>676</v>
      </c>
      <c r="O268" s="31">
        <f>1600</f>
        <v>1600</v>
      </c>
      <c r="P268" s="32" t="s">
        <v>1115</v>
      </c>
      <c r="Q268" s="31">
        <f>1651</f>
        <v>1651</v>
      </c>
      <c r="R268" s="32" t="s">
        <v>883</v>
      </c>
      <c r="S268" s="33">
        <f>1634.79</f>
        <v>1634.79</v>
      </c>
      <c r="T268" s="30">
        <f>341006</f>
        <v>341006</v>
      </c>
      <c r="U268" s="30">
        <f>153</f>
        <v>153</v>
      </c>
      <c r="V268" s="30">
        <f>557637112</f>
        <v>557637112</v>
      </c>
      <c r="W268" s="30">
        <f>235926</f>
        <v>235926</v>
      </c>
      <c r="X268" s="34">
        <f>19</f>
        <v>19</v>
      </c>
    </row>
    <row r="269" spans="1:24" x14ac:dyDescent="0.15">
      <c r="A269" s="25" t="s">
        <v>1109</v>
      </c>
      <c r="B269" s="25" t="s">
        <v>595</v>
      </c>
      <c r="C269" s="25" t="s">
        <v>596</v>
      </c>
      <c r="D269" s="25" t="s">
        <v>597</v>
      </c>
      <c r="E269" s="26" t="s">
        <v>43</v>
      </c>
      <c r="F269" s="27" t="s">
        <v>43</v>
      </c>
      <c r="G269" s="28" t="s">
        <v>43</v>
      </c>
      <c r="H269" s="29"/>
      <c r="I269" s="29" t="s">
        <v>44</v>
      </c>
      <c r="J269" s="30">
        <v>1</v>
      </c>
      <c r="K269" s="31">
        <f>12030</f>
        <v>12030</v>
      </c>
      <c r="L269" s="32" t="s">
        <v>1110</v>
      </c>
      <c r="M269" s="31">
        <f>13200</f>
        <v>13200</v>
      </c>
      <c r="N269" s="32" t="s">
        <v>676</v>
      </c>
      <c r="O269" s="31">
        <f>11980</f>
        <v>11980</v>
      </c>
      <c r="P269" s="32" t="s">
        <v>876</v>
      </c>
      <c r="Q269" s="31">
        <f>12910</f>
        <v>12910</v>
      </c>
      <c r="R269" s="32" t="s">
        <v>883</v>
      </c>
      <c r="S269" s="33">
        <f>12538.68</f>
        <v>12538.68</v>
      </c>
      <c r="T269" s="30">
        <f>3381</f>
        <v>3381</v>
      </c>
      <c r="U269" s="30" t="str">
        <f>"－"</f>
        <v>－</v>
      </c>
      <c r="V269" s="30">
        <f>41878805</f>
        <v>41878805</v>
      </c>
      <c r="W269" s="30" t="str">
        <f>"－"</f>
        <v>－</v>
      </c>
      <c r="X269" s="34">
        <f>19</f>
        <v>19</v>
      </c>
    </row>
    <row r="270" spans="1:24" x14ac:dyDescent="0.15">
      <c r="A270" s="25" t="s">
        <v>1109</v>
      </c>
      <c r="B270" s="25" t="s">
        <v>598</v>
      </c>
      <c r="C270" s="25" t="s">
        <v>599</v>
      </c>
      <c r="D270" s="25" t="s">
        <v>600</v>
      </c>
      <c r="E270" s="26" t="s">
        <v>43</v>
      </c>
      <c r="F270" s="27" t="s">
        <v>43</v>
      </c>
      <c r="G270" s="28" t="s">
        <v>43</v>
      </c>
      <c r="H270" s="29"/>
      <c r="I270" s="29" t="s">
        <v>44</v>
      </c>
      <c r="J270" s="30">
        <v>1</v>
      </c>
      <c r="K270" s="31">
        <f>1940</f>
        <v>1940</v>
      </c>
      <c r="L270" s="32" t="s">
        <v>1110</v>
      </c>
      <c r="M270" s="31">
        <f>1953</f>
        <v>1953</v>
      </c>
      <c r="N270" s="32" t="s">
        <v>674</v>
      </c>
      <c r="O270" s="31">
        <f>1804</f>
        <v>1804</v>
      </c>
      <c r="P270" s="32" t="s">
        <v>874</v>
      </c>
      <c r="Q270" s="31">
        <f>1836</f>
        <v>1836</v>
      </c>
      <c r="R270" s="32" t="s">
        <v>883</v>
      </c>
      <c r="S270" s="33">
        <f>1871.84</f>
        <v>1871.84</v>
      </c>
      <c r="T270" s="30">
        <f>91945</f>
        <v>91945</v>
      </c>
      <c r="U270" s="30" t="str">
        <f>"－"</f>
        <v>－</v>
      </c>
      <c r="V270" s="30">
        <f>171034358</f>
        <v>171034358</v>
      </c>
      <c r="W270" s="30" t="str">
        <f>"－"</f>
        <v>－</v>
      </c>
      <c r="X270" s="34">
        <f>19</f>
        <v>19</v>
      </c>
    </row>
    <row r="271" spans="1:24" x14ac:dyDescent="0.15">
      <c r="A271" s="25" t="s">
        <v>1109</v>
      </c>
      <c r="B271" s="25" t="s">
        <v>601</v>
      </c>
      <c r="C271" s="25" t="s">
        <v>602</v>
      </c>
      <c r="D271" s="25" t="s">
        <v>603</v>
      </c>
      <c r="E271" s="26" t="s">
        <v>43</v>
      </c>
      <c r="F271" s="27" t="s">
        <v>43</v>
      </c>
      <c r="G271" s="28" t="s">
        <v>43</v>
      </c>
      <c r="H271" s="29"/>
      <c r="I271" s="29" t="s">
        <v>44</v>
      </c>
      <c r="J271" s="30">
        <v>10</v>
      </c>
      <c r="K271" s="31">
        <f>1354.5</f>
        <v>1354.5</v>
      </c>
      <c r="L271" s="32" t="s">
        <v>1110</v>
      </c>
      <c r="M271" s="31">
        <f>1568</f>
        <v>1568</v>
      </c>
      <c r="N271" s="32" t="s">
        <v>1124</v>
      </c>
      <c r="O271" s="31">
        <f>1318</f>
        <v>1318</v>
      </c>
      <c r="P271" s="32" t="s">
        <v>1124</v>
      </c>
      <c r="Q271" s="31">
        <f>1483.5</f>
        <v>1483.5</v>
      </c>
      <c r="R271" s="32" t="s">
        <v>883</v>
      </c>
      <c r="S271" s="33">
        <f>1425.42</f>
        <v>1425.42</v>
      </c>
      <c r="T271" s="30">
        <f>5070</f>
        <v>5070</v>
      </c>
      <c r="U271" s="30" t="str">
        <f>"－"</f>
        <v>－</v>
      </c>
      <c r="V271" s="30">
        <f>7356735</f>
        <v>7356735</v>
      </c>
      <c r="W271" s="30" t="str">
        <f>"－"</f>
        <v>－</v>
      </c>
      <c r="X271" s="34">
        <f>18</f>
        <v>18</v>
      </c>
    </row>
    <row r="272" spans="1:24" x14ac:dyDescent="0.15">
      <c r="A272" s="25" t="s">
        <v>1109</v>
      </c>
      <c r="B272" s="25" t="s">
        <v>604</v>
      </c>
      <c r="C272" s="25" t="s">
        <v>685</v>
      </c>
      <c r="D272" s="25" t="s">
        <v>686</v>
      </c>
      <c r="E272" s="26" t="s">
        <v>43</v>
      </c>
      <c r="F272" s="27" t="s">
        <v>43</v>
      </c>
      <c r="G272" s="28" t="s">
        <v>43</v>
      </c>
      <c r="H272" s="29"/>
      <c r="I272" s="29" t="s">
        <v>44</v>
      </c>
      <c r="J272" s="30">
        <v>10</v>
      </c>
      <c r="K272" s="31">
        <f>823.7</f>
        <v>823.7</v>
      </c>
      <c r="L272" s="32" t="s">
        <v>1110</v>
      </c>
      <c r="M272" s="31">
        <f>826.5</f>
        <v>826.5</v>
      </c>
      <c r="N272" s="32" t="s">
        <v>1116</v>
      </c>
      <c r="O272" s="31">
        <f>809.2</f>
        <v>809.2</v>
      </c>
      <c r="P272" s="32" t="s">
        <v>1117</v>
      </c>
      <c r="Q272" s="31">
        <f>811</f>
        <v>811</v>
      </c>
      <c r="R272" s="32" t="s">
        <v>883</v>
      </c>
      <c r="S272" s="33">
        <f>814.98</f>
        <v>814.98</v>
      </c>
      <c r="T272" s="30">
        <f>1046850</f>
        <v>1046850</v>
      </c>
      <c r="U272" s="30">
        <f>621190</f>
        <v>621190</v>
      </c>
      <c r="V272" s="30">
        <f>853120865</f>
        <v>853120865</v>
      </c>
      <c r="W272" s="30">
        <f>506165186</f>
        <v>506165186</v>
      </c>
      <c r="X272" s="34">
        <f>19</f>
        <v>19</v>
      </c>
    </row>
    <row r="273" spans="1:24" x14ac:dyDescent="0.15">
      <c r="A273" s="25" t="s">
        <v>1109</v>
      </c>
      <c r="B273" s="25" t="s">
        <v>605</v>
      </c>
      <c r="C273" s="25" t="s">
        <v>606</v>
      </c>
      <c r="D273" s="25" t="s">
        <v>607</v>
      </c>
      <c r="E273" s="26" t="s">
        <v>43</v>
      </c>
      <c r="F273" s="27" t="s">
        <v>43</v>
      </c>
      <c r="G273" s="28" t="s">
        <v>43</v>
      </c>
      <c r="H273" s="29"/>
      <c r="I273" s="29" t="s">
        <v>44</v>
      </c>
      <c r="J273" s="30">
        <v>10</v>
      </c>
      <c r="K273" s="31">
        <f>1863.5</f>
        <v>1863.5</v>
      </c>
      <c r="L273" s="32" t="s">
        <v>1110</v>
      </c>
      <c r="M273" s="31">
        <f>1864.5</f>
        <v>1864.5</v>
      </c>
      <c r="N273" s="32" t="s">
        <v>1124</v>
      </c>
      <c r="O273" s="31">
        <f>1728</f>
        <v>1728</v>
      </c>
      <c r="P273" s="32" t="s">
        <v>874</v>
      </c>
      <c r="Q273" s="31">
        <f>1755</f>
        <v>1755</v>
      </c>
      <c r="R273" s="32" t="s">
        <v>883</v>
      </c>
      <c r="S273" s="33">
        <f>1786.79</f>
        <v>1786.79</v>
      </c>
      <c r="T273" s="30">
        <f>531510</f>
        <v>531510</v>
      </c>
      <c r="U273" s="30">
        <f>369060</f>
        <v>369060</v>
      </c>
      <c r="V273" s="30">
        <f>946627440</f>
        <v>946627440</v>
      </c>
      <c r="W273" s="30">
        <f>658409040</f>
        <v>658409040</v>
      </c>
      <c r="X273" s="34">
        <f>19</f>
        <v>19</v>
      </c>
    </row>
    <row r="274" spans="1:24" x14ac:dyDescent="0.15">
      <c r="A274" s="25" t="s">
        <v>1109</v>
      </c>
      <c r="B274" s="25" t="s">
        <v>608</v>
      </c>
      <c r="C274" s="25" t="s">
        <v>609</v>
      </c>
      <c r="D274" s="25" t="s">
        <v>610</v>
      </c>
      <c r="E274" s="26" t="s">
        <v>43</v>
      </c>
      <c r="F274" s="27" t="s">
        <v>43</v>
      </c>
      <c r="G274" s="28" t="s">
        <v>43</v>
      </c>
      <c r="H274" s="29"/>
      <c r="I274" s="29" t="s">
        <v>44</v>
      </c>
      <c r="J274" s="30">
        <v>10</v>
      </c>
      <c r="K274" s="31">
        <f>1843</f>
        <v>1843</v>
      </c>
      <c r="L274" s="32" t="s">
        <v>1110</v>
      </c>
      <c r="M274" s="31">
        <f>1851.5</f>
        <v>1851.5</v>
      </c>
      <c r="N274" s="32" t="s">
        <v>674</v>
      </c>
      <c r="O274" s="31">
        <f>1723.5</f>
        <v>1723.5</v>
      </c>
      <c r="P274" s="32" t="s">
        <v>874</v>
      </c>
      <c r="Q274" s="31">
        <f>1755.5</f>
        <v>1755.5</v>
      </c>
      <c r="R274" s="32" t="s">
        <v>883</v>
      </c>
      <c r="S274" s="33">
        <f>1788.39</f>
        <v>1788.39</v>
      </c>
      <c r="T274" s="30">
        <f>3098100</f>
        <v>3098100</v>
      </c>
      <c r="U274" s="30">
        <f>1619770</f>
        <v>1619770</v>
      </c>
      <c r="V274" s="30">
        <f>5545660478</f>
        <v>5545660478</v>
      </c>
      <c r="W274" s="30">
        <f>2911666618</f>
        <v>2911666618</v>
      </c>
      <c r="X274" s="34">
        <f>19</f>
        <v>19</v>
      </c>
    </row>
    <row r="275" spans="1:24" x14ac:dyDescent="0.15">
      <c r="A275" s="25" t="s">
        <v>1109</v>
      </c>
      <c r="B275" s="25" t="s">
        <v>611</v>
      </c>
      <c r="C275" s="25" t="s">
        <v>612</v>
      </c>
      <c r="D275" s="25" t="s">
        <v>613</v>
      </c>
      <c r="E275" s="26" t="s">
        <v>43</v>
      </c>
      <c r="F275" s="27" t="s">
        <v>43</v>
      </c>
      <c r="G275" s="28" t="s">
        <v>43</v>
      </c>
      <c r="H275" s="29"/>
      <c r="I275" s="29" t="s">
        <v>44</v>
      </c>
      <c r="J275" s="30">
        <v>10</v>
      </c>
      <c r="K275" s="31">
        <f>2562</f>
        <v>2562</v>
      </c>
      <c r="L275" s="32" t="s">
        <v>1110</v>
      </c>
      <c r="M275" s="31">
        <f>2712</f>
        <v>2712</v>
      </c>
      <c r="N275" s="32" t="s">
        <v>676</v>
      </c>
      <c r="O275" s="31">
        <f>2554.5</f>
        <v>2554.5</v>
      </c>
      <c r="P275" s="32" t="s">
        <v>1110</v>
      </c>
      <c r="Q275" s="31">
        <f>2701.5</f>
        <v>2701.5</v>
      </c>
      <c r="R275" s="32" t="s">
        <v>883</v>
      </c>
      <c r="S275" s="33">
        <f>2632.37</f>
        <v>2632.37</v>
      </c>
      <c r="T275" s="30">
        <f>2231180</f>
        <v>2231180</v>
      </c>
      <c r="U275" s="30">
        <f>74000</f>
        <v>74000</v>
      </c>
      <c r="V275" s="30">
        <f>5873133795</f>
        <v>5873133795</v>
      </c>
      <c r="W275" s="30">
        <f>198471700</f>
        <v>198471700</v>
      </c>
      <c r="X275" s="34">
        <f>19</f>
        <v>19</v>
      </c>
    </row>
    <row r="276" spans="1:24" x14ac:dyDescent="0.15">
      <c r="A276" s="25" t="s">
        <v>1109</v>
      </c>
      <c r="B276" s="25" t="s">
        <v>614</v>
      </c>
      <c r="C276" s="25" t="s">
        <v>615</v>
      </c>
      <c r="D276" s="25" t="s">
        <v>616</v>
      </c>
      <c r="E276" s="26" t="s">
        <v>43</v>
      </c>
      <c r="F276" s="27" t="s">
        <v>43</v>
      </c>
      <c r="G276" s="28" t="s">
        <v>43</v>
      </c>
      <c r="H276" s="29"/>
      <c r="I276" s="29" t="s">
        <v>44</v>
      </c>
      <c r="J276" s="30">
        <v>1</v>
      </c>
      <c r="K276" s="31">
        <f>20500</f>
        <v>20500</v>
      </c>
      <c r="L276" s="32" t="s">
        <v>1110</v>
      </c>
      <c r="M276" s="31">
        <f>22010</f>
        <v>22010</v>
      </c>
      <c r="N276" s="32" t="s">
        <v>676</v>
      </c>
      <c r="O276" s="31">
        <f>20455</f>
        <v>20455</v>
      </c>
      <c r="P276" s="32" t="s">
        <v>1110</v>
      </c>
      <c r="Q276" s="31">
        <f>21875</f>
        <v>21875</v>
      </c>
      <c r="R276" s="32" t="s">
        <v>883</v>
      </c>
      <c r="S276" s="33">
        <f>21455.53</f>
        <v>21455.53</v>
      </c>
      <c r="T276" s="30">
        <f>759356</f>
        <v>759356</v>
      </c>
      <c r="U276" s="30">
        <f>142375</f>
        <v>142375</v>
      </c>
      <c r="V276" s="30">
        <f>16301780885</f>
        <v>16301780885</v>
      </c>
      <c r="W276" s="30">
        <f>3072612095</f>
        <v>3072612095</v>
      </c>
      <c r="X276" s="34">
        <f>19</f>
        <v>19</v>
      </c>
    </row>
    <row r="277" spans="1:24" x14ac:dyDescent="0.15">
      <c r="A277" s="25" t="s">
        <v>1109</v>
      </c>
      <c r="B277" s="25" t="s">
        <v>617</v>
      </c>
      <c r="C277" s="25" t="s">
        <v>618</v>
      </c>
      <c r="D277" s="25" t="s">
        <v>619</v>
      </c>
      <c r="E277" s="26" t="s">
        <v>43</v>
      </c>
      <c r="F277" s="27" t="s">
        <v>43</v>
      </c>
      <c r="G277" s="28" t="s">
        <v>43</v>
      </c>
      <c r="H277" s="29"/>
      <c r="I277" s="29" t="s">
        <v>44</v>
      </c>
      <c r="J277" s="30">
        <v>1</v>
      </c>
      <c r="K277" s="31">
        <f>17700</f>
        <v>17700</v>
      </c>
      <c r="L277" s="32" t="s">
        <v>1110</v>
      </c>
      <c r="M277" s="31">
        <f>18835</f>
        <v>18835</v>
      </c>
      <c r="N277" s="32" t="s">
        <v>676</v>
      </c>
      <c r="O277" s="31">
        <f>17600</f>
        <v>17600</v>
      </c>
      <c r="P277" s="32" t="s">
        <v>1110</v>
      </c>
      <c r="Q277" s="31">
        <f>18715</f>
        <v>18715</v>
      </c>
      <c r="R277" s="32" t="s">
        <v>883</v>
      </c>
      <c r="S277" s="33">
        <f>18363.42</f>
        <v>18363.419999999998</v>
      </c>
      <c r="T277" s="30">
        <f>437051</f>
        <v>437051</v>
      </c>
      <c r="U277" s="30">
        <f>2074</f>
        <v>2074</v>
      </c>
      <c r="V277" s="30">
        <f>8023989346</f>
        <v>8023989346</v>
      </c>
      <c r="W277" s="30">
        <f>38441521</f>
        <v>38441521</v>
      </c>
      <c r="X277" s="34">
        <f>19</f>
        <v>19</v>
      </c>
    </row>
    <row r="278" spans="1:24" x14ac:dyDescent="0.15">
      <c r="A278" s="25" t="s">
        <v>1109</v>
      </c>
      <c r="B278" s="25" t="s">
        <v>620</v>
      </c>
      <c r="C278" s="25" t="s">
        <v>621</v>
      </c>
      <c r="D278" s="25" t="s">
        <v>622</v>
      </c>
      <c r="E278" s="26" t="s">
        <v>43</v>
      </c>
      <c r="F278" s="27" t="s">
        <v>43</v>
      </c>
      <c r="G278" s="28" t="s">
        <v>43</v>
      </c>
      <c r="H278" s="29"/>
      <c r="I278" s="29" t="s">
        <v>44</v>
      </c>
      <c r="J278" s="30">
        <v>1</v>
      </c>
      <c r="K278" s="31">
        <f>33710</f>
        <v>33710</v>
      </c>
      <c r="L278" s="32" t="s">
        <v>1110</v>
      </c>
      <c r="M278" s="31">
        <f>36760</f>
        <v>36760</v>
      </c>
      <c r="N278" s="32" t="s">
        <v>1117</v>
      </c>
      <c r="O278" s="31">
        <f>33710</f>
        <v>33710</v>
      </c>
      <c r="P278" s="32" t="s">
        <v>1110</v>
      </c>
      <c r="Q278" s="31">
        <f>35690</f>
        <v>35690</v>
      </c>
      <c r="R278" s="32" t="s">
        <v>883</v>
      </c>
      <c r="S278" s="33">
        <f>34993.33</f>
        <v>34993.33</v>
      </c>
      <c r="T278" s="30">
        <f>13</f>
        <v>13</v>
      </c>
      <c r="U278" s="30" t="str">
        <f>"－"</f>
        <v>－</v>
      </c>
      <c r="V278" s="30">
        <f>456130</f>
        <v>456130</v>
      </c>
      <c r="W278" s="30" t="str">
        <f>"－"</f>
        <v>－</v>
      </c>
      <c r="X278" s="34">
        <f>9</f>
        <v>9</v>
      </c>
    </row>
    <row r="279" spans="1:24" x14ac:dyDescent="0.15">
      <c r="A279" s="25" t="s">
        <v>1109</v>
      </c>
      <c r="B279" s="25" t="s">
        <v>623</v>
      </c>
      <c r="C279" s="25" t="s">
        <v>624</v>
      </c>
      <c r="D279" s="25" t="s">
        <v>625</v>
      </c>
      <c r="E279" s="26" t="s">
        <v>43</v>
      </c>
      <c r="F279" s="27" t="s">
        <v>43</v>
      </c>
      <c r="G279" s="28" t="s">
        <v>43</v>
      </c>
      <c r="H279" s="29"/>
      <c r="I279" s="29" t="s">
        <v>44</v>
      </c>
      <c r="J279" s="30">
        <v>1</v>
      </c>
      <c r="K279" s="31">
        <f>2428</f>
        <v>2428</v>
      </c>
      <c r="L279" s="32" t="s">
        <v>1110</v>
      </c>
      <c r="M279" s="31">
        <f>2461</f>
        <v>2461</v>
      </c>
      <c r="N279" s="32" t="s">
        <v>1111</v>
      </c>
      <c r="O279" s="31">
        <f>2426</f>
        <v>2426</v>
      </c>
      <c r="P279" s="32" t="s">
        <v>1110</v>
      </c>
      <c r="Q279" s="31">
        <f>2445</f>
        <v>2445</v>
      </c>
      <c r="R279" s="32" t="s">
        <v>883</v>
      </c>
      <c r="S279" s="33">
        <f>2444.11</f>
        <v>2444.11</v>
      </c>
      <c r="T279" s="30">
        <f>926020</f>
        <v>926020</v>
      </c>
      <c r="U279" s="30">
        <f>515752</f>
        <v>515752</v>
      </c>
      <c r="V279" s="30">
        <f>2262469668</f>
        <v>2262469668</v>
      </c>
      <c r="W279" s="30">
        <f>1262563039</f>
        <v>1262563039</v>
      </c>
      <c r="X279" s="34">
        <f>19</f>
        <v>19</v>
      </c>
    </row>
    <row r="280" spans="1:24" x14ac:dyDescent="0.15">
      <c r="A280" s="25" t="s">
        <v>1109</v>
      </c>
      <c r="B280" s="25" t="s">
        <v>626</v>
      </c>
      <c r="C280" s="25" t="s">
        <v>627</v>
      </c>
      <c r="D280" s="25" t="s">
        <v>628</v>
      </c>
      <c r="E280" s="26" t="s">
        <v>43</v>
      </c>
      <c r="F280" s="27" t="s">
        <v>43</v>
      </c>
      <c r="G280" s="28" t="s">
        <v>43</v>
      </c>
      <c r="H280" s="29"/>
      <c r="I280" s="29" t="s">
        <v>44</v>
      </c>
      <c r="J280" s="30">
        <v>10</v>
      </c>
      <c r="K280" s="31">
        <f>2988.5</f>
        <v>2988.5</v>
      </c>
      <c r="L280" s="32" t="s">
        <v>1110</v>
      </c>
      <c r="M280" s="31">
        <f>3056</f>
        <v>3056</v>
      </c>
      <c r="N280" s="32" t="s">
        <v>676</v>
      </c>
      <c r="O280" s="31">
        <f>2987.5</f>
        <v>2987.5</v>
      </c>
      <c r="P280" s="32" t="s">
        <v>1117</v>
      </c>
      <c r="Q280" s="31">
        <f>3044</f>
        <v>3044</v>
      </c>
      <c r="R280" s="32" t="s">
        <v>883</v>
      </c>
      <c r="S280" s="33">
        <f>3021.82</f>
        <v>3021.82</v>
      </c>
      <c r="T280" s="30">
        <f>452720</f>
        <v>452720</v>
      </c>
      <c r="U280" s="30">
        <f>33400</f>
        <v>33400</v>
      </c>
      <c r="V280" s="30">
        <f>1363576310</f>
        <v>1363576310</v>
      </c>
      <c r="W280" s="30">
        <f>100215030</f>
        <v>100215030</v>
      </c>
      <c r="X280" s="34">
        <f>19</f>
        <v>19</v>
      </c>
    </row>
    <row r="281" spans="1:24" x14ac:dyDescent="0.15">
      <c r="A281" s="25" t="s">
        <v>1109</v>
      </c>
      <c r="B281" s="25" t="s">
        <v>629</v>
      </c>
      <c r="C281" s="25" t="s">
        <v>630</v>
      </c>
      <c r="D281" s="25" t="s">
        <v>631</v>
      </c>
      <c r="E281" s="26" t="s">
        <v>43</v>
      </c>
      <c r="F281" s="27" t="s">
        <v>43</v>
      </c>
      <c r="G281" s="28" t="s">
        <v>43</v>
      </c>
      <c r="H281" s="29"/>
      <c r="I281" s="29" t="s">
        <v>44</v>
      </c>
      <c r="J281" s="30">
        <v>10</v>
      </c>
      <c r="K281" s="31">
        <f>287.8</f>
        <v>287.8</v>
      </c>
      <c r="L281" s="32" t="s">
        <v>1110</v>
      </c>
      <c r="M281" s="31">
        <f>299.2</f>
        <v>299.2</v>
      </c>
      <c r="N281" s="32" t="s">
        <v>676</v>
      </c>
      <c r="O281" s="31">
        <f>287.7</f>
        <v>287.7</v>
      </c>
      <c r="P281" s="32" t="s">
        <v>1110</v>
      </c>
      <c r="Q281" s="31">
        <f>298.1</f>
        <v>298.10000000000002</v>
      </c>
      <c r="R281" s="32" t="s">
        <v>883</v>
      </c>
      <c r="S281" s="33">
        <f>294.41</f>
        <v>294.41000000000003</v>
      </c>
      <c r="T281" s="30">
        <f>43525810</f>
        <v>43525810</v>
      </c>
      <c r="U281" s="30">
        <f>13131530</f>
        <v>13131530</v>
      </c>
      <c r="V281" s="30">
        <f>12821458527</f>
        <v>12821458527</v>
      </c>
      <c r="W281" s="30">
        <f>3873579877</f>
        <v>3873579877</v>
      </c>
      <c r="X281" s="34">
        <f>19</f>
        <v>19</v>
      </c>
    </row>
    <row r="282" spans="1:24" x14ac:dyDescent="0.15">
      <c r="A282" s="25" t="s">
        <v>1109</v>
      </c>
      <c r="B282" s="25" t="s">
        <v>632</v>
      </c>
      <c r="C282" s="25" t="s">
        <v>633</v>
      </c>
      <c r="D282" s="25" t="s">
        <v>634</v>
      </c>
      <c r="E282" s="26" t="s">
        <v>43</v>
      </c>
      <c r="F282" s="27" t="s">
        <v>43</v>
      </c>
      <c r="G282" s="28" t="s">
        <v>43</v>
      </c>
      <c r="H282" s="29"/>
      <c r="I282" s="29" t="s">
        <v>44</v>
      </c>
      <c r="J282" s="30">
        <v>1</v>
      </c>
      <c r="K282" s="31">
        <f>2820</f>
        <v>2820</v>
      </c>
      <c r="L282" s="32" t="s">
        <v>1110</v>
      </c>
      <c r="M282" s="31">
        <f>2851</f>
        <v>2851</v>
      </c>
      <c r="N282" s="32" t="s">
        <v>1113</v>
      </c>
      <c r="O282" s="31">
        <f>2748</f>
        <v>2748</v>
      </c>
      <c r="P282" s="32" t="s">
        <v>875</v>
      </c>
      <c r="Q282" s="31">
        <f>2825</f>
        <v>2825</v>
      </c>
      <c r="R282" s="32" t="s">
        <v>883</v>
      </c>
      <c r="S282" s="33">
        <f>2804</f>
        <v>2804</v>
      </c>
      <c r="T282" s="30">
        <f>979402</f>
        <v>979402</v>
      </c>
      <c r="U282" s="30">
        <f>191066</f>
        <v>191066</v>
      </c>
      <c r="V282" s="30">
        <f>2741913452</f>
        <v>2741913452</v>
      </c>
      <c r="W282" s="30">
        <f>532133341</f>
        <v>532133341</v>
      </c>
      <c r="X282" s="34">
        <f>19</f>
        <v>19</v>
      </c>
    </row>
    <row r="283" spans="1:24" x14ac:dyDescent="0.15">
      <c r="A283" s="25" t="s">
        <v>1109</v>
      </c>
      <c r="B283" s="25" t="s">
        <v>635</v>
      </c>
      <c r="C283" s="25" t="s">
        <v>636</v>
      </c>
      <c r="D283" s="25" t="s">
        <v>637</v>
      </c>
      <c r="E283" s="26" t="s">
        <v>43</v>
      </c>
      <c r="F283" s="27" t="s">
        <v>43</v>
      </c>
      <c r="G283" s="28" t="s">
        <v>43</v>
      </c>
      <c r="H283" s="29"/>
      <c r="I283" s="29" t="s">
        <v>44</v>
      </c>
      <c r="J283" s="30">
        <v>1</v>
      </c>
      <c r="K283" s="31">
        <f>903</f>
        <v>903</v>
      </c>
      <c r="L283" s="32" t="s">
        <v>1110</v>
      </c>
      <c r="M283" s="31">
        <f>914</f>
        <v>914</v>
      </c>
      <c r="N283" s="32" t="s">
        <v>674</v>
      </c>
      <c r="O283" s="31">
        <f>833</f>
        <v>833</v>
      </c>
      <c r="P283" s="32" t="s">
        <v>874</v>
      </c>
      <c r="Q283" s="31">
        <f>855</f>
        <v>855</v>
      </c>
      <c r="R283" s="32" t="s">
        <v>883</v>
      </c>
      <c r="S283" s="33">
        <f>876.21</f>
        <v>876.21</v>
      </c>
      <c r="T283" s="30">
        <f>1109445</f>
        <v>1109445</v>
      </c>
      <c r="U283" s="30">
        <f>282004</f>
        <v>282004</v>
      </c>
      <c r="V283" s="30">
        <f>961161043</f>
        <v>961161043</v>
      </c>
      <c r="W283" s="30">
        <f>239364883</f>
        <v>239364883</v>
      </c>
      <c r="X283" s="34">
        <f>19</f>
        <v>19</v>
      </c>
    </row>
    <row r="284" spans="1:24" x14ac:dyDescent="0.15">
      <c r="A284" s="25" t="s">
        <v>1109</v>
      </c>
      <c r="B284" s="25" t="s">
        <v>638</v>
      </c>
      <c r="C284" s="25" t="s">
        <v>639</v>
      </c>
      <c r="D284" s="25" t="s">
        <v>640</v>
      </c>
      <c r="E284" s="26" t="s">
        <v>43</v>
      </c>
      <c r="F284" s="27" t="s">
        <v>43</v>
      </c>
      <c r="G284" s="28" t="s">
        <v>43</v>
      </c>
      <c r="H284" s="29"/>
      <c r="I284" s="29" t="s">
        <v>44</v>
      </c>
      <c r="J284" s="30">
        <v>10</v>
      </c>
      <c r="K284" s="31">
        <f>1019</f>
        <v>1019</v>
      </c>
      <c r="L284" s="32" t="s">
        <v>1110</v>
      </c>
      <c r="M284" s="31">
        <f>1022</f>
        <v>1022</v>
      </c>
      <c r="N284" s="32" t="s">
        <v>1124</v>
      </c>
      <c r="O284" s="31">
        <f>948.8</f>
        <v>948.8</v>
      </c>
      <c r="P284" s="32" t="s">
        <v>874</v>
      </c>
      <c r="Q284" s="31">
        <f>965.4</f>
        <v>965.4</v>
      </c>
      <c r="R284" s="32" t="s">
        <v>883</v>
      </c>
      <c r="S284" s="33">
        <f>981.13</f>
        <v>981.13</v>
      </c>
      <c r="T284" s="30">
        <f>3454840</f>
        <v>3454840</v>
      </c>
      <c r="U284" s="30">
        <f>3302000</f>
        <v>3302000</v>
      </c>
      <c r="V284" s="30">
        <f>3376719172</f>
        <v>3376719172</v>
      </c>
      <c r="W284" s="30">
        <f>3226902100</f>
        <v>3226902100</v>
      </c>
      <c r="X284" s="34">
        <f>19</f>
        <v>19</v>
      </c>
    </row>
    <row r="285" spans="1:24" x14ac:dyDescent="0.15">
      <c r="A285" s="25" t="s">
        <v>1109</v>
      </c>
      <c r="B285" s="25" t="s">
        <v>641</v>
      </c>
      <c r="C285" s="25" t="s">
        <v>642</v>
      </c>
      <c r="D285" s="25" t="s">
        <v>643</v>
      </c>
      <c r="E285" s="26" t="s">
        <v>43</v>
      </c>
      <c r="F285" s="27" t="s">
        <v>43</v>
      </c>
      <c r="G285" s="28" t="s">
        <v>43</v>
      </c>
      <c r="H285" s="29"/>
      <c r="I285" s="29" t="s">
        <v>44</v>
      </c>
      <c r="J285" s="30">
        <v>10</v>
      </c>
      <c r="K285" s="31">
        <f>345.9</f>
        <v>345.9</v>
      </c>
      <c r="L285" s="32" t="s">
        <v>1110</v>
      </c>
      <c r="M285" s="31">
        <f>355.6</f>
        <v>355.6</v>
      </c>
      <c r="N285" s="32" t="s">
        <v>876</v>
      </c>
      <c r="O285" s="31">
        <f>332.8</f>
        <v>332.8</v>
      </c>
      <c r="P285" s="32" t="s">
        <v>1123</v>
      </c>
      <c r="Q285" s="31">
        <f>352.7</f>
        <v>352.7</v>
      </c>
      <c r="R285" s="32" t="s">
        <v>883</v>
      </c>
      <c r="S285" s="33">
        <f>346.56</f>
        <v>346.56</v>
      </c>
      <c r="T285" s="30">
        <f>40220</f>
        <v>40220</v>
      </c>
      <c r="U285" s="30" t="str">
        <f>"－"</f>
        <v>－</v>
      </c>
      <c r="V285" s="30">
        <f>13936366</f>
        <v>13936366</v>
      </c>
      <c r="W285" s="30" t="str">
        <f>"－"</f>
        <v>－</v>
      </c>
      <c r="X285" s="34">
        <f>19</f>
        <v>19</v>
      </c>
    </row>
    <row r="286" spans="1:24" x14ac:dyDescent="0.15">
      <c r="A286" s="25" t="s">
        <v>1109</v>
      </c>
      <c r="B286" s="25" t="s">
        <v>644</v>
      </c>
      <c r="C286" s="25" t="s">
        <v>645</v>
      </c>
      <c r="D286" s="25" t="s">
        <v>646</v>
      </c>
      <c r="E286" s="26" t="s">
        <v>43</v>
      </c>
      <c r="F286" s="27" t="s">
        <v>43</v>
      </c>
      <c r="G286" s="28" t="s">
        <v>43</v>
      </c>
      <c r="H286" s="29"/>
      <c r="I286" s="29" t="s">
        <v>44</v>
      </c>
      <c r="J286" s="30">
        <v>10</v>
      </c>
      <c r="K286" s="31">
        <f>4341</f>
        <v>4341</v>
      </c>
      <c r="L286" s="32" t="s">
        <v>1110</v>
      </c>
      <c r="M286" s="31">
        <f>4703</f>
        <v>4703</v>
      </c>
      <c r="N286" s="32" t="s">
        <v>874</v>
      </c>
      <c r="O286" s="31">
        <f>4334</f>
        <v>4334</v>
      </c>
      <c r="P286" s="32" t="s">
        <v>1110</v>
      </c>
      <c r="Q286" s="31">
        <f>4609</f>
        <v>4609</v>
      </c>
      <c r="R286" s="32" t="s">
        <v>883</v>
      </c>
      <c r="S286" s="33">
        <f>4547.05</f>
        <v>4547.05</v>
      </c>
      <c r="T286" s="30">
        <f>1366760</f>
        <v>1366760</v>
      </c>
      <c r="U286" s="30">
        <f>27100</f>
        <v>27100</v>
      </c>
      <c r="V286" s="30">
        <f>6218189660</f>
        <v>6218189660</v>
      </c>
      <c r="W286" s="30">
        <f>123612600</f>
        <v>123612600</v>
      </c>
      <c r="X286" s="34">
        <f>19</f>
        <v>19</v>
      </c>
    </row>
    <row r="287" spans="1:24" x14ac:dyDescent="0.15">
      <c r="A287" s="25" t="s">
        <v>1109</v>
      </c>
      <c r="B287" s="25" t="s">
        <v>647</v>
      </c>
      <c r="C287" s="25" t="s">
        <v>648</v>
      </c>
      <c r="D287" s="25" t="s">
        <v>649</v>
      </c>
      <c r="E287" s="26" t="s">
        <v>43</v>
      </c>
      <c r="F287" s="27" t="s">
        <v>43</v>
      </c>
      <c r="G287" s="28" t="s">
        <v>43</v>
      </c>
      <c r="H287" s="29"/>
      <c r="I287" s="29" t="s">
        <v>44</v>
      </c>
      <c r="J287" s="30">
        <v>10</v>
      </c>
      <c r="K287" s="31">
        <f>2787</f>
        <v>2787</v>
      </c>
      <c r="L287" s="32" t="s">
        <v>1110</v>
      </c>
      <c r="M287" s="31">
        <f>2905.5</f>
        <v>2905.5</v>
      </c>
      <c r="N287" s="32" t="s">
        <v>1114</v>
      </c>
      <c r="O287" s="31">
        <f>2784.5</f>
        <v>2784.5</v>
      </c>
      <c r="P287" s="32" t="s">
        <v>1110</v>
      </c>
      <c r="Q287" s="31">
        <f>2892</f>
        <v>2892</v>
      </c>
      <c r="R287" s="32" t="s">
        <v>883</v>
      </c>
      <c r="S287" s="33">
        <f>2869.47</f>
        <v>2869.47</v>
      </c>
      <c r="T287" s="30">
        <f>3836270</f>
        <v>3836270</v>
      </c>
      <c r="U287" s="30">
        <f>1579600</f>
        <v>1579600</v>
      </c>
      <c r="V287" s="30">
        <f>10971697136</f>
        <v>10971697136</v>
      </c>
      <c r="W287" s="30">
        <f>4518007016</f>
        <v>4518007016</v>
      </c>
      <c r="X287" s="34">
        <f>19</f>
        <v>19</v>
      </c>
    </row>
    <row r="288" spans="1:24" x14ac:dyDescent="0.15">
      <c r="A288" s="25" t="s">
        <v>1109</v>
      </c>
      <c r="B288" s="25" t="s">
        <v>650</v>
      </c>
      <c r="C288" s="25" t="s">
        <v>651</v>
      </c>
      <c r="D288" s="25" t="s">
        <v>652</v>
      </c>
      <c r="E288" s="26" t="s">
        <v>43</v>
      </c>
      <c r="F288" s="27" t="s">
        <v>43</v>
      </c>
      <c r="G288" s="28" t="s">
        <v>43</v>
      </c>
      <c r="H288" s="29"/>
      <c r="I288" s="29" t="s">
        <v>44</v>
      </c>
      <c r="J288" s="30">
        <v>10</v>
      </c>
      <c r="K288" s="31">
        <f>332.7</f>
        <v>332.7</v>
      </c>
      <c r="L288" s="32" t="s">
        <v>1110</v>
      </c>
      <c r="M288" s="31">
        <f>339.2</f>
        <v>339.2</v>
      </c>
      <c r="N288" s="32" t="s">
        <v>883</v>
      </c>
      <c r="O288" s="31">
        <f>330.9</f>
        <v>330.9</v>
      </c>
      <c r="P288" s="32" t="s">
        <v>1116</v>
      </c>
      <c r="Q288" s="31">
        <f>337.5</f>
        <v>337.5</v>
      </c>
      <c r="R288" s="32" t="s">
        <v>883</v>
      </c>
      <c r="S288" s="33">
        <f>336.49</f>
        <v>336.49</v>
      </c>
      <c r="T288" s="30">
        <f>49850900</f>
        <v>49850900</v>
      </c>
      <c r="U288" s="30">
        <f>39078630</f>
        <v>39078630</v>
      </c>
      <c r="V288" s="30">
        <f>16784497580</f>
        <v>16784497580</v>
      </c>
      <c r="W288" s="30">
        <f>13166547197</f>
        <v>13166547197</v>
      </c>
      <c r="X288" s="34">
        <f>19</f>
        <v>19</v>
      </c>
    </row>
    <row r="289" spans="1:24" x14ac:dyDescent="0.15">
      <c r="A289" s="25" t="s">
        <v>1109</v>
      </c>
      <c r="B289" s="25" t="s">
        <v>653</v>
      </c>
      <c r="C289" s="25" t="s">
        <v>654</v>
      </c>
      <c r="D289" s="25" t="s">
        <v>655</v>
      </c>
      <c r="E289" s="26" t="s">
        <v>43</v>
      </c>
      <c r="F289" s="27" t="s">
        <v>43</v>
      </c>
      <c r="G289" s="28" t="s">
        <v>43</v>
      </c>
      <c r="H289" s="29"/>
      <c r="I289" s="29" t="s">
        <v>44</v>
      </c>
      <c r="J289" s="30">
        <v>1</v>
      </c>
      <c r="K289" s="31">
        <f>1316</f>
        <v>1316</v>
      </c>
      <c r="L289" s="32" t="s">
        <v>1110</v>
      </c>
      <c r="M289" s="31">
        <f>1331</f>
        <v>1331</v>
      </c>
      <c r="N289" s="32" t="s">
        <v>1116</v>
      </c>
      <c r="O289" s="31">
        <f>1247</f>
        <v>1247</v>
      </c>
      <c r="P289" s="32" t="s">
        <v>874</v>
      </c>
      <c r="Q289" s="31">
        <f>1263</f>
        <v>1263</v>
      </c>
      <c r="R289" s="32" t="s">
        <v>883</v>
      </c>
      <c r="S289" s="33">
        <f>1275.47</f>
        <v>1275.47</v>
      </c>
      <c r="T289" s="30">
        <f>29924335</f>
        <v>29924335</v>
      </c>
      <c r="U289" s="30">
        <f>5348</f>
        <v>5348</v>
      </c>
      <c r="V289" s="30">
        <f>38153393276</f>
        <v>38153393276</v>
      </c>
      <c r="W289" s="30">
        <f>6833416</f>
        <v>6833416</v>
      </c>
      <c r="X289" s="34">
        <f>19</f>
        <v>19</v>
      </c>
    </row>
    <row r="290" spans="1:24" x14ac:dyDescent="0.15">
      <c r="A290" s="25" t="s">
        <v>1109</v>
      </c>
      <c r="B290" s="25" t="s">
        <v>656</v>
      </c>
      <c r="C290" s="25" t="s">
        <v>657</v>
      </c>
      <c r="D290" s="25" t="s">
        <v>658</v>
      </c>
      <c r="E290" s="26" t="s">
        <v>43</v>
      </c>
      <c r="F290" s="27" t="s">
        <v>43</v>
      </c>
      <c r="G290" s="28" t="s">
        <v>43</v>
      </c>
      <c r="H290" s="29"/>
      <c r="I290" s="29" t="s">
        <v>44</v>
      </c>
      <c r="J290" s="30">
        <v>1</v>
      </c>
      <c r="K290" s="31">
        <f>1774</f>
        <v>1774</v>
      </c>
      <c r="L290" s="32" t="s">
        <v>1110</v>
      </c>
      <c r="M290" s="31">
        <f>1783</f>
        <v>1783</v>
      </c>
      <c r="N290" s="32" t="s">
        <v>1116</v>
      </c>
      <c r="O290" s="31">
        <f>1742</f>
        <v>1742</v>
      </c>
      <c r="P290" s="32" t="s">
        <v>1117</v>
      </c>
      <c r="Q290" s="31">
        <f>1768</f>
        <v>1768</v>
      </c>
      <c r="R290" s="32" t="s">
        <v>883</v>
      </c>
      <c r="S290" s="33">
        <f>1764.05</f>
        <v>1764.05</v>
      </c>
      <c r="T290" s="30">
        <f>89028</f>
        <v>89028</v>
      </c>
      <c r="U290" s="30">
        <f>45580</f>
        <v>45580</v>
      </c>
      <c r="V290" s="30">
        <f>156794820</f>
        <v>156794820</v>
      </c>
      <c r="W290" s="30">
        <f>80184655</f>
        <v>80184655</v>
      </c>
      <c r="X290" s="34">
        <f>19</f>
        <v>19</v>
      </c>
    </row>
    <row r="291" spans="1:24" x14ac:dyDescent="0.15">
      <c r="A291" s="25" t="s">
        <v>1109</v>
      </c>
      <c r="B291" s="25" t="s">
        <v>659</v>
      </c>
      <c r="C291" s="25" t="s">
        <v>660</v>
      </c>
      <c r="D291" s="25" t="s">
        <v>661</v>
      </c>
      <c r="E291" s="26" t="s">
        <v>43</v>
      </c>
      <c r="F291" s="27" t="s">
        <v>43</v>
      </c>
      <c r="G291" s="28" t="s">
        <v>43</v>
      </c>
      <c r="H291" s="29"/>
      <c r="I291" s="29" t="s">
        <v>44</v>
      </c>
      <c r="J291" s="30">
        <v>1</v>
      </c>
      <c r="K291" s="31">
        <f>2133</f>
        <v>2133</v>
      </c>
      <c r="L291" s="32" t="s">
        <v>1110</v>
      </c>
      <c r="M291" s="31">
        <f>2136</f>
        <v>2136</v>
      </c>
      <c r="N291" s="32" t="s">
        <v>1116</v>
      </c>
      <c r="O291" s="31">
        <f>2101</f>
        <v>2101</v>
      </c>
      <c r="P291" s="32" t="s">
        <v>1114</v>
      </c>
      <c r="Q291" s="31">
        <f>2103</f>
        <v>2103</v>
      </c>
      <c r="R291" s="32" t="s">
        <v>883</v>
      </c>
      <c r="S291" s="33">
        <f>2114.42</f>
        <v>2114.42</v>
      </c>
      <c r="T291" s="30">
        <f>474951</f>
        <v>474951</v>
      </c>
      <c r="U291" s="30">
        <f>471000</f>
        <v>471000</v>
      </c>
      <c r="V291" s="30">
        <f>1008937427</f>
        <v>1008937427</v>
      </c>
      <c r="W291" s="30">
        <f>1000545300</f>
        <v>1000545300</v>
      </c>
      <c r="X291" s="34">
        <f>19</f>
        <v>19</v>
      </c>
    </row>
    <row r="292" spans="1:24" x14ac:dyDescent="0.15">
      <c r="A292" s="25" t="s">
        <v>1109</v>
      </c>
      <c r="B292" s="25" t="s">
        <v>662</v>
      </c>
      <c r="C292" s="25" t="s">
        <v>663</v>
      </c>
      <c r="D292" s="25" t="s">
        <v>948</v>
      </c>
      <c r="E292" s="26" t="s">
        <v>43</v>
      </c>
      <c r="F292" s="27" t="s">
        <v>43</v>
      </c>
      <c r="G292" s="28" t="s">
        <v>43</v>
      </c>
      <c r="H292" s="29"/>
      <c r="I292" s="29" t="s">
        <v>44</v>
      </c>
      <c r="J292" s="30">
        <v>1</v>
      </c>
      <c r="K292" s="31">
        <f>3605</f>
        <v>3605</v>
      </c>
      <c r="L292" s="32" t="s">
        <v>1110</v>
      </c>
      <c r="M292" s="31">
        <f>3955</f>
        <v>3955</v>
      </c>
      <c r="N292" s="32" t="s">
        <v>676</v>
      </c>
      <c r="O292" s="31">
        <f>3600</f>
        <v>3600</v>
      </c>
      <c r="P292" s="32" t="s">
        <v>1115</v>
      </c>
      <c r="Q292" s="31">
        <f>3935</f>
        <v>3935</v>
      </c>
      <c r="R292" s="32" t="s">
        <v>883</v>
      </c>
      <c r="S292" s="33">
        <f>3793.68</f>
        <v>3793.68</v>
      </c>
      <c r="T292" s="30">
        <f>1369844</f>
        <v>1369844</v>
      </c>
      <c r="U292" s="30">
        <f>200004</f>
        <v>200004</v>
      </c>
      <c r="V292" s="30">
        <f>5148074446</f>
        <v>5148074446</v>
      </c>
      <c r="W292" s="30">
        <f>730885181</f>
        <v>730885181</v>
      </c>
      <c r="X292" s="34">
        <f>19</f>
        <v>19</v>
      </c>
    </row>
    <row r="293" spans="1:24" x14ac:dyDescent="0.15">
      <c r="A293" s="25" t="s">
        <v>1109</v>
      </c>
      <c r="B293" s="25" t="s">
        <v>664</v>
      </c>
      <c r="C293" s="25" t="s">
        <v>665</v>
      </c>
      <c r="D293" s="25" t="s">
        <v>949</v>
      </c>
      <c r="E293" s="26" t="s">
        <v>43</v>
      </c>
      <c r="F293" s="27" t="s">
        <v>43</v>
      </c>
      <c r="G293" s="28" t="s">
        <v>43</v>
      </c>
      <c r="H293" s="29"/>
      <c r="I293" s="29" t="s">
        <v>44</v>
      </c>
      <c r="J293" s="30">
        <v>1</v>
      </c>
      <c r="K293" s="31">
        <f>2536</f>
        <v>2536</v>
      </c>
      <c r="L293" s="32" t="s">
        <v>1110</v>
      </c>
      <c r="M293" s="31">
        <f>2696</f>
        <v>2696</v>
      </c>
      <c r="N293" s="32" t="s">
        <v>1111</v>
      </c>
      <c r="O293" s="31">
        <f>2530</f>
        <v>2530</v>
      </c>
      <c r="P293" s="32" t="s">
        <v>1110</v>
      </c>
      <c r="Q293" s="31">
        <f>2683</f>
        <v>2683</v>
      </c>
      <c r="R293" s="32" t="s">
        <v>883</v>
      </c>
      <c r="S293" s="33">
        <f>2610.84</f>
        <v>2610.84</v>
      </c>
      <c r="T293" s="30">
        <f>915098</f>
        <v>915098</v>
      </c>
      <c r="U293" s="30">
        <f>147000</f>
        <v>147000</v>
      </c>
      <c r="V293" s="30">
        <f>2397105675</f>
        <v>2397105675</v>
      </c>
      <c r="W293" s="30">
        <f>386491100</f>
        <v>386491100</v>
      </c>
      <c r="X293" s="34">
        <f>19</f>
        <v>19</v>
      </c>
    </row>
    <row r="294" spans="1:24" x14ac:dyDescent="0.15">
      <c r="A294" s="25" t="s">
        <v>1109</v>
      </c>
      <c r="B294" s="25" t="s">
        <v>666</v>
      </c>
      <c r="C294" s="25" t="s">
        <v>667</v>
      </c>
      <c r="D294" s="25" t="s">
        <v>668</v>
      </c>
      <c r="E294" s="26" t="s">
        <v>43</v>
      </c>
      <c r="F294" s="27" t="s">
        <v>43</v>
      </c>
      <c r="G294" s="28" t="s">
        <v>43</v>
      </c>
      <c r="H294" s="29"/>
      <c r="I294" s="29" t="s">
        <v>44</v>
      </c>
      <c r="J294" s="30">
        <v>1</v>
      </c>
      <c r="K294" s="31">
        <f>2150</f>
        <v>2150</v>
      </c>
      <c r="L294" s="32" t="s">
        <v>1110</v>
      </c>
      <c r="M294" s="31">
        <f>2222</f>
        <v>2222</v>
      </c>
      <c r="N294" s="32" t="s">
        <v>874</v>
      </c>
      <c r="O294" s="31">
        <f>2138</f>
        <v>2138</v>
      </c>
      <c r="P294" s="32" t="s">
        <v>1110</v>
      </c>
      <c r="Q294" s="31">
        <f>2213</f>
        <v>2213</v>
      </c>
      <c r="R294" s="32" t="s">
        <v>883</v>
      </c>
      <c r="S294" s="33">
        <f>2192.68</f>
        <v>2192.6799999999998</v>
      </c>
      <c r="T294" s="30">
        <f>56160</f>
        <v>56160</v>
      </c>
      <c r="U294" s="30">
        <f>1</f>
        <v>1</v>
      </c>
      <c r="V294" s="30">
        <f>123153337</f>
        <v>123153337</v>
      </c>
      <c r="W294" s="30">
        <f>2199</f>
        <v>2199</v>
      </c>
      <c r="X294" s="34">
        <f>19</f>
        <v>19</v>
      </c>
    </row>
    <row r="295" spans="1:24" x14ac:dyDescent="0.15">
      <c r="A295" s="25" t="s">
        <v>1109</v>
      </c>
      <c r="B295" s="25" t="s">
        <v>669</v>
      </c>
      <c r="C295" s="25" t="s">
        <v>670</v>
      </c>
      <c r="D295" s="25" t="s">
        <v>671</v>
      </c>
      <c r="E295" s="26" t="s">
        <v>43</v>
      </c>
      <c r="F295" s="27" t="s">
        <v>43</v>
      </c>
      <c r="G295" s="28" t="s">
        <v>43</v>
      </c>
      <c r="H295" s="29"/>
      <c r="I295" s="29" t="s">
        <v>44</v>
      </c>
      <c r="J295" s="30">
        <v>1</v>
      </c>
      <c r="K295" s="31">
        <f>1255</f>
        <v>1255</v>
      </c>
      <c r="L295" s="32" t="s">
        <v>1110</v>
      </c>
      <c r="M295" s="31">
        <f>1299</f>
        <v>1299</v>
      </c>
      <c r="N295" s="32" t="s">
        <v>1114</v>
      </c>
      <c r="O295" s="31">
        <f>1220</f>
        <v>1220</v>
      </c>
      <c r="P295" s="32" t="s">
        <v>1117</v>
      </c>
      <c r="Q295" s="31">
        <f>1291</f>
        <v>1291</v>
      </c>
      <c r="R295" s="32" t="s">
        <v>883</v>
      </c>
      <c r="S295" s="33">
        <f>1269.95</f>
        <v>1269.95</v>
      </c>
      <c r="T295" s="30">
        <f>59849</f>
        <v>59849</v>
      </c>
      <c r="U295" s="30" t="str">
        <f>"－"</f>
        <v>－</v>
      </c>
      <c r="V295" s="30">
        <f>76029739</f>
        <v>76029739</v>
      </c>
      <c r="W295" s="30" t="str">
        <f>"－"</f>
        <v>－</v>
      </c>
      <c r="X295" s="34">
        <f>19</f>
        <v>19</v>
      </c>
    </row>
    <row r="296" spans="1:24" x14ac:dyDescent="0.15">
      <c r="A296" s="25" t="s">
        <v>1109</v>
      </c>
      <c r="B296" s="25" t="s">
        <v>687</v>
      </c>
      <c r="C296" s="25" t="s">
        <v>688</v>
      </c>
      <c r="D296" s="25" t="s">
        <v>689</v>
      </c>
      <c r="E296" s="26" t="s">
        <v>43</v>
      </c>
      <c r="F296" s="27" t="s">
        <v>43</v>
      </c>
      <c r="G296" s="28" t="s">
        <v>43</v>
      </c>
      <c r="H296" s="29"/>
      <c r="I296" s="29" t="s">
        <v>44</v>
      </c>
      <c r="J296" s="30">
        <v>1</v>
      </c>
      <c r="K296" s="31">
        <f>1449</f>
        <v>1449</v>
      </c>
      <c r="L296" s="32" t="s">
        <v>1110</v>
      </c>
      <c r="M296" s="31">
        <f>1744</f>
        <v>1744</v>
      </c>
      <c r="N296" s="32" t="s">
        <v>1115</v>
      </c>
      <c r="O296" s="31">
        <f>1410</f>
        <v>1410</v>
      </c>
      <c r="P296" s="32" t="s">
        <v>674</v>
      </c>
      <c r="Q296" s="31">
        <f>1692</f>
        <v>1692</v>
      </c>
      <c r="R296" s="32" t="s">
        <v>883</v>
      </c>
      <c r="S296" s="33">
        <f>1591.89</f>
        <v>1591.89</v>
      </c>
      <c r="T296" s="30">
        <f>93432</f>
        <v>93432</v>
      </c>
      <c r="U296" s="30" t="str">
        <f>"－"</f>
        <v>－</v>
      </c>
      <c r="V296" s="30">
        <f>148586188</f>
        <v>148586188</v>
      </c>
      <c r="W296" s="30" t="str">
        <f>"－"</f>
        <v>－</v>
      </c>
      <c r="X296" s="34">
        <f>19</f>
        <v>19</v>
      </c>
    </row>
    <row r="297" spans="1:24" x14ac:dyDescent="0.15">
      <c r="A297" s="25" t="s">
        <v>1109</v>
      </c>
      <c r="B297" s="25" t="s">
        <v>690</v>
      </c>
      <c r="C297" s="25" t="s">
        <v>691</v>
      </c>
      <c r="D297" s="25" t="s">
        <v>692</v>
      </c>
      <c r="E297" s="26" t="s">
        <v>43</v>
      </c>
      <c r="F297" s="27" t="s">
        <v>43</v>
      </c>
      <c r="G297" s="28" t="s">
        <v>43</v>
      </c>
      <c r="H297" s="29"/>
      <c r="I297" s="29" t="s">
        <v>44</v>
      </c>
      <c r="J297" s="30">
        <v>1</v>
      </c>
      <c r="K297" s="31">
        <f>2133</f>
        <v>2133</v>
      </c>
      <c r="L297" s="32" t="s">
        <v>1110</v>
      </c>
      <c r="M297" s="31">
        <f>2326</f>
        <v>2326</v>
      </c>
      <c r="N297" s="32" t="s">
        <v>676</v>
      </c>
      <c r="O297" s="31">
        <f>2025</f>
        <v>2025</v>
      </c>
      <c r="P297" s="32" t="s">
        <v>674</v>
      </c>
      <c r="Q297" s="31">
        <f>2271</f>
        <v>2271</v>
      </c>
      <c r="R297" s="32" t="s">
        <v>883</v>
      </c>
      <c r="S297" s="33">
        <f>2210.21</f>
        <v>2210.21</v>
      </c>
      <c r="T297" s="30">
        <f>7718</f>
        <v>7718</v>
      </c>
      <c r="U297" s="30" t="str">
        <f>"－"</f>
        <v>－</v>
      </c>
      <c r="V297" s="30">
        <f>16759929</f>
        <v>16759929</v>
      </c>
      <c r="W297" s="30" t="str">
        <f>"－"</f>
        <v>－</v>
      </c>
      <c r="X297" s="34">
        <f>19</f>
        <v>19</v>
      </c>
    </row>
    <row r="298" spans="1:24" x14ac:dyDescent="0.15">
      <c r="A298" s="25" t="s">
        <v>1109</v>
      </c>
      <c r="B298" s="25" t="s">
        <v>693</v>
      </c>
      <c r="C298" s="25" t="s">
        <v>694</v>
      </c>
      <c r="D298" s="25" t="s">
        <v>695</v>
      </c>
      <c r="E298" s="26" t="s">
        <v>43</v>
      </c>
      <c r="F298" s="27" t="s">
        <v>43</v>
      </c>
      <c r="G298" s="28" t="s">
        <v>43</v>
      </c>
      <c r="H298" s="29"/>
      <c r="I298" s="29" t="s">
        <v>44</v>
      </c>
      <c r="J298" s="30">
        <v>1</v>
      </c>
      <c r="K298" s="31">
        <f>11350</f>
        <v>11350</v>
      </c>
      <c r="L298" s="32" t="s">
        <v>1110</v>
      </c>
      <c r="M298" s="31">
        <f>11875</f>
        <v>11875</v>
      </c>
      <c r="N298" s="32" t="s">
        <v>676</v>
      </c>
      <c r="O298" s="31">
        <f>11350</f>
        <v>11350</v>
      </c>
      <c r="P298" s="32" t="s">
        <v>1110</v>
      </c>
      <c r="Q298" s="31">
        <f>11840</f>
        <v>11840</v>
      </c>
      <c r="R298" s="32" t="s">
        <v>883</v>
      </c>
      <c r="S298" s="33">
        <f>11667.11</f>
        <v>11667.11</v>
      </c>
      <c r="T298" s="30">
        <f>421642</f>
        <v>421642</v>
      </c>
      <c r="U298" s="30">
        <f>165497</f>
        <v>165497</v>
      </c>
      <c r="V298" s="30">
        <f>4930279810</f>
        <v>4930279810</v>
      </c>
      <c r="W298" s="30">
        <f>1947412675</f>
        <v>1947412675</v>
      </c>
      <c r="X298" s="34">
        <f>19</f>
        <v>19</v>
      </c>
    </row>
    <row r="299" spans="1:24" x14ac:dyDescent="0.15">
      <c r="A299" s="25" t="s">
        <v>1109</v>
      </c>
      <c r="B299" s="25" t="s">
        <v>696</v>
      </c>
      <c r="C299" s="25" t="s">
        <v>697</v>
      </c>
      <c r="D299" s="25" t="s">
        <v>698</v>
      </c>
      <c r="E299" s="26" t="s">
        <v>43</v>
      </c>
      <c r="F299" s="27" t="s">
        <v>43</v>
      </c>
      <c r="G299" s="28" t="s">
        <v>43</v>
      </c>
      <c r="H299" s="29"/>
      <c r="I299" s="29" t="s">
        <v>44</v>
      </c>
      <c r="J299" s="30">
        <v>1</v>
      </c>
      <c r="K299" s="31">
        <f>18140</f>
        <v>18140</v>
      </c>
      <c r="L299" s="32" t="s">
        <v>1110</v>
      </c>
      <c r="M299" s="31">
        <f>19430</f>
        <v>19430</v>
      </c>
      <c r="N299" s="32" t="s">
        <v>1114</v>
      </c>
      <c r="O299" s="31">
        <f>18105</f>
        <v>18105</v>
      </c>
      <c r="P299" s="32" t="s">
        <v>1110</v>
      </c>
      <c r="Q299" s="31">
        <f>19250</f>
        <v>19250</v>
      </c>
      <c r="R299" s="32" t="s">
        <v>883</v>
      </c>
      <c r="S299" s="33">
        <f>18998.68</f>
        <v>18998.68</v>
      </c>
      <c r="T299" s="30">
        <f>489492</f>
        <v>489492</v>
      </c>
      <c r="U299" s="30">
        <f>6392</f>
        <v>6392</v>
      </c>
      <c r="V299" s="30">
        <f>9299105960</f>
        <v>9299105960</v>
      </c>
      <c r="W299" s="30">
        <f>116129070</f>
        <v>116129070</v>
      </c>
      <c r="X299" s="34">
        <f>19</f>
        <v>19</v>
      </c>
    </row>
    <row r="300" spans="1:24" x14ac:dyDescent="0.15">
      <c r="A300" s="25" t="s">
        <v>1109</v>
      </c>
      <c r="B300" s="25" t="s">
        <v>699</v>
      </c>
      <c r="C300" s="25" t="s">
        <v>700</v>
      </c>
      <c r="D300" s="25" t="s">
        <v>701</v>
      </c>
      <c r="E300" s="26" t="s">
        <v>43</v>
      </c>
      <c r="F300" s="27" t="s">
        <v>43</v>
      </c>
      <c r="G300" s="28" t="s">
        <v>43</v>
      </c>
      <c r="H300" s="29"/>
      <c r="I300" s="29" t="s">
        <v>44</v>
      </c>
      <c r="J300" s="30">
        <v>1</v>
      </c>
      <c r="K300" s="31">
        <f>11675</f>
        <v>11675</v>
      </c>
      <c r="L300" s="32" t="s">
        <v>1110</v>
      </c>
      <c r="M300" s="31">
        <f>12170</f>
        <v>12170</v>
      </c>
      <c r="N300" s="32" t="s">
        <v>1114</v>
      </c>
      <c r="O300" s="31">
        <f>11670</f>
        <v>11670</v>
      </c>
      <c r="P300" s="32" t="s">
        <v>1110</v>
      </c>
      <c r="Q300" s="31">
        <f>12115</f>
        <v>12115</v>
      </c>
      <c r="R300" s="32" t="s">
        <v>883</v>
      </c>
      <c r="S300" s="33">
        <f>12011.05</f>
        <v>12011.05</v>
      </c>
      <c r="T300" s="30">
        <f>379528</f>
        <v>379528</v>
      </c>
      <c r="U300" s="30">
        <f>105613</f>
        <v>105613</v>
      </c>
      <c r="V300" s="30">
        <f>4555018955</f>
        <v>4555018955</v>
      </c>
      <c r="W300" s="30">
        <f>1278126200</f>
        <v>1278126200</v>
      </c>
      <c r="X300" s="34">
        <f>19</f>
        <v>19</v>
      </c>
    </row>
    <row r="301" spans="1:24" x14ac:dyDescent="0.15">
      <c r="A301" s="25" t="s">
        <v>1109</v>
      </c>
      <c r="B301" s="25" t="s">
        <v>702</v>
      </c>
      <c r="C301" s="25" t="s">
        <v>703</v>
      </c>
      <c r="D301" s="25" t="s">
        <v>704</v>
      </c>
      <c r="E301" s="26" t="s">
        <v>43</v>
      </c>
      <c r="F301" s="27" t="s">
        <v>43</v>
      </c>
      <c r="G301" s="28" t="s">
        <v>43</v>
      </c>
      <c r="H301" s="29"/>
      <c r="I301" s="29" t="s">
        <v>44</v>
      </c>
      <c r="J301" s="30">
        <v>10</v>
      </c>
      <c r="K301" s="31">
        <f>329.9</f>
        <v>329.9</v>
      </c>
      <c r="L301" s="32" t="s">
        <v>1110</v>
      </c>
      <c r="M301" s="31">
        <f>354.1</f>
        <v>354.1</v>
      </c>
      <c r="N301" s="32" t="s">
        <v>676</v>
      </c>
      <c r="O301" s="31">
        <f>329.1</f>
        <v>329.1</v>
      </c>
      <c r="P301" s="32" t="s">
        <v>1110</v>
      </c>
      <c r="Q301" s="31">
        <f>351.9</f>
        <v>351.9</v>
      </c>
      <c r="R301" s="32" t="s">
        <v>883</v>
      </c>
      <c r="S301" s="33">
        <f>345.17</f>
        <v>345.17</v>
      </c>
      <c r="T301" s="30">
        <f>14972350</f>
        <v>14972350</v>
      </c>
      <c r="U301" s="30">
        <f>2604530</f>
        <v>2604530</v>
      </c>
      <c r="V301" s="30">
        <f>5178056530</f>
        <v>5178056530</v>
      </c>
      <c r="W301" s="30">
        <f>895976482</f>
        <v>895976482</v>
      </c>
      <c r="X301" s="34">
        <f>19</f>
        <v>19</v>
      </c>
    </row>
    <row r="302" spans="1:24" x14ac:dyDescent="0.15">
      <c r="A302" s="25" t="s">
        <v>1109</v>
      </c>
      <c r="B302" s="25" t="s">
        <v>705</v>
      </c>
      <c r="C302" s="25" t="s">
        <v>706</v>
      </c>
      <c r="D302" s="25" t="s">
        <v>707</v>
      </c>
      <c r="E302" s="26" t="s">
        <v>43</v>
      </c>
      <c r="F302" s="27" t="s">
        <v>43</v>
      </c>
      <c r="G302" s="28" t="s">
        <v>43</v>
      </c>
      <c r="H302" s="29"/>
      <c r="I302" s="29" t="s">
        <v>44</v>
      </c>
      <c r="J302" s="30">
        <v>10</v>
      </c>
      <c r="K302" s="31">
        <f>2235.5</f>
        <v>2235.5</v>
      </c>
      <c r="L302" s="32" t="s">
        <v>1110</v>
      </c>
      <c r="M302" s="31">
        <f>2340.5</f>
        <v>2340.5</v>
      </c>
      <c r="N302" s="32" t="s">
        <v>676</v>
      </c>
      <c r="O302" s="31">
        <f>2235.5</f>
        <v>2235.5</v>
      </c>
      <c r="P302" s="32" t="s">
        <v>1110</v>
      </c>
      <c r="Q302" s="31">
        <f>2332</f>
        <v>2332</v>
      </c>
      <c r="R302" s="32" t="s">
        <v>883</v>
      </c>
      <c r="S302" s="33">
        <f>2299.39</f>
        <v>2299.39</v>
      </c>
      <c r="T302" s="30">
        <f>2098850</f>
        <v>2098850</v>
      </c>
      <c r="U302" s="30">
        <f>897020</f>
        <v>897020</v>
      </c>
      <c r="V302" s="30">
        <f>4846706518</f>
        <v>4846706518</v>
      </c>
      <c r="W302" s="30">
        <f>2080115123</f>
        <v>2080115123</v>
      </c>
      <c r="X302" s="34">
        <f>19</f>
        <v>19</v>
      </c>
    </row>
    <row r="303" spans="1:24" x14ac:dyDescent="0.15">
      <c r="A303" s="25" t="s">
        <v>1109</v>
      </c>
      <c r="B303" s="25" t="s">
        <v>708</v>
      </c>
      <c r="C303" s="25" t="s">
        <v>709</v>
      </c>
      <c r="D303" s="25" t="s">
        <v>710</v>
      </c>
      <c r="E303" s="26" t="s">
        <v>43</v>
      </c>
      <c r="F303" s="27" t="s">
        <v>43</v>
      </c>
      <c r="G303" s="28" t="s">
        <v>43</v>
      </c>
      <c r="H303" s="29"/>
      <c r="I303" s="29" t="s">
        <v>44</v>
      </c>
      <c r="J303" s="30">
        <v>10</v>
      </c>
      <c r="K303" s="31">
        <f>3447</f>
        <v>3447</v>
      </c>
      <c r="L303" s="32" t="s">
        <v>1110</v>
      </c>
      <c r="M303" s="31">
        <f>3670</f>
        <v>3670</v>
      </c>
      <c r="N303" s="32" t="s">
        <v>676</v>
      </c>
      <c r="O303" s="31">
        <f>3390</f>
        <v>3390</v>
      </c>
      <c r="P303" s="32" t="s">
        <v>1116</v>
      </c>
      <c r="Q303" s="31">
        <f>3641</f>
        <v>3641</v>
      </c>
      <c r="R303" s="32" t="s">
        <v>883</v>
      </c>
      <c r="S303" s="33">
        <f>3576.16</f>
        <v>3576.16</v>
      </c>
      <c r="T303" s="30">
        <f>23470</f>
        <v>23470</v>
      </c>
      <c r="U303" s="30">
        <f>30</f>
        <v>30</v>
      </c>
      <c r="V303" s="30">
        <f>83253850</f>
        <v>83253850</v>
      </c>
      <c r="W303" s="30">
        <f>104880</f>
        <v>104880</v>
      </c>
      <c r="X303" s="34">
        <f>19</f>
        <v>19</v>
      </c>
    </row>
    <row r="304" spans="1:24" x14ac:dyDescent="0.15">
      <c r="A304" s="25" t="s">
        <v>1109</v>
      </c>
      <c r="B304" s="25" t="s">
        <v>711</v>
      </c>
      <c r="C304" s="25" t="s">
        <v>712</v>
      </c>
      <c r="D304" s="25" t="s">
        <v>713</v>
      </c>
      <c r="E304" s="26" t="s">
        <v>43</v>
      </c>
      <c r="F304" s="27" t="s">
        <v>43</v>
      </c>
      <c r="G304" s="28" t="s">
        <v>43</v>
      </c>
      <c r="H304" s="29"/>
      <c r="I304" s="29" t="s">
        <v>44</v>
      </c>
      <c r="J304" s="30">
        <v>1</v>
      </c>
      <c r="K304" s="31">
        <f>3100</f>
        <v>3100</v>
      </c>
      <c r="L304" s="32" t="s">
        <v>1110</v>
      </c>
      <c r="M304" s="31">
        <f>3300</f>
        <v>3300</v>
      </c>
      <c r="N304" s="32" t="s">
        <v>1111</v>
      </c>
      <c r="O304" s="31">
        <f>3080</f>
        <v>3080</v>
      </c>
      <c r="P304" s="32" t="s">
        <v>1115</v>
      </c>
      <c r="Q304" s="31">
        <f>3280</f>
        <v>3280</v>
      </c>
      <c r="R304" s="32" t="s">
        <v>883</v>
      </c>
      <c r="S304" s="33">
        <f>3198.16</f>
        <v>3198.16</v>
      </c>
      <c r="T304" s="30">
        <f>331110</f>
        <v>331110</v>
      </c>
      <c r="U304" s="30">
        <f>323000</f>
        <v>323000</v>
      </c>
      <c r="V304" s="30">
        <f>1022256885</f>
        <v>1022256885</v>
      </c>
      <c r="W304" s="30">
        <f>996519600</f>
        <v>996519600</v>
      </c>
      <c r="X304" s="34">
        <f>19</f>
        <v>19</v>
      </c>
    </row>
    <row r="305" spans="1:24" x14ac:dyDescent="0.15">
      <c r="A305" s="25" t="s">
        <v>1109</v>
      </c>
      <c r="B305" s="25" t="s">
        <v>714</v>
      </c>
      <c r="C305" s="25" t="s">
        <v>1035</v>
      </c>
      <c r="D305" s="25" t="s">
        <v>1034</v>
      </c>
      <c r="E305" s="26" t="s">
        <v>43</v>
      </c>
      <c r="F305" s="27" t="s">
        <v>43</v>
      </c>
      <c r="G305" s="28" t="s">
        <v>43</v>
      </c>
      <c r="H305" s="29"/>
      <c r="I305" s="29" t="s">
        <v>44</v>
      </c>
      <c r="J305" s="30">
        <v>1</v>
      </c>
      <c r="K305" s="31">
        <f>1571</f>
        <v>1571</v>
      </c>
      <c r="L305" s="32" t="s">
        <v>1110</v>
      </c>
      <c r="M305" s="31">
        <f>1664</f>
        <v>1664</v>
      </c>
      <c r="N305" s="32" t="s">
        <v>1114</v>
      </c>
      <c r="O305" s="31">
        <f>1551</f>
        <v>1551</v>
      </c>
      <c r="P305" s="32" t="s">
        <v>1115</v>
      </c>
      <c r="Q305" s="31">
        <f>1659</f>
        <v>1659</v>
      </c>
      <c r="R305" s="32" t="s">
        <v>883</v>
      </c>
      <c r="S305" s="33">
        <f>1603.47</f>
        <v>1603.47</v>
      </c>
      <c r="T305" s="30">
        <f>30542</f>
        <v>30542</v>
      </c>
      <c r="U305" s="30">
        <f>2</f>
        <v>2</v>
      </c>
      <c r="V305" s="30">
        <f>48684491</f>
        <v>48684491</v>
      </c>
      <c r="W305" s="30">
        <f>3166</f>
        <v>3166</v>
      </c>
      <c r="X305" s="34">
        <f>19</f>
        <v>19</v>
      </c>
    </row>
    <row r="306" spans="1:24" x14ac:dyDescent="0.15">
      <c r="A306" s="25" t="s">
        <v>1109</v>
      </c>
      <c r="B306" s="25" t="s">
        <v>715</v>
      </c>
      <c r="C306" s="25" t="s">
        <v>716</v>
      </c>
      <c r="D306" s="25" t="s">
        <v>717</v>
      </c>
      <c r="E306" s="26" t="s">
        <v>43</v>
      </c>
      <c r="F306" s="27" t="s">
        <v>43</v>
      </c>
      <c r="G306" s="28" t="s">
        <v>43</v>
      </c>
      <c r="H306" s="29"/>
      <c r="I306" s="29" t="s">
        <v>44</v>
      </c>
      <c r="J306" s="30">
        <v>1</v>
      </c>
      <c r="K306" s="31">
        <f>2028</f>
        <v>2028</v>
      </c>
      <c r="L306" s="32" t="s">
        <v>1110</v>
      </c>
      <c r="M306" s="31">
        <f>2185</f>
        <v>2185</v>
      </c>
      <c r="N306" s="32" t="s">
        <v>1114</v>
      </c>
      <c r="O306" s="31">
        <f>1982</f>
        <v>1982</v>
      </c>
      <c r="P306" s="32" t="s">
        <v>1115</v>
      </c>
      <c r="Q306" s="31">
        <f>2143</f>
        <v>2143</v>
      </c>
      <c r="R306" s="32" t="s">
        <v>883</v>
      </c>
      <c r="S306" s="33">
        <f>2069</f>
        <v>2069</v>
      </c>
      <c r="T306" s="30">
        <f>229679</f>
        <v>229679</v>
      </c>
      <c r="U306" s="30">
        <f>3</f>
        <v>3</v>
      </c>
      <c r="V306" s="30">
        <f>476457380</f>
        <v>476457380</v>
      </c>
      <c r="W306" s="30">
        <f>6519</f>
        <v>6519</v>
      </c>
      <c r="X306" s="34">
        <f>19</f>
        <v>19</v>
      </c>
    </row>
    <row r="307" spans="1:24" x14ac:dyDescent="0.15">
      <c r="A307" s="25" t="s">
        <v>1109</v>
      </c>
      <c r="B307" s="25" t="s">
        <v>718</v>
      </c>
      <c r="C307" s="25" t="s">
        <v>719</v>
      </c>
      <c r="D307" s="25" t="s">
        <v>720</v>
      </c>
      <c r="E307" s="26" t="s">
        <v>43</v>
      </c>
      <c r="F307" s="27" t="s">
        <v>43</v>
      </c>
      <c r="G307" s="28" t="s">
        <v>43</v>
      </c>
      <c r="H307" s="29"/>
      <c r="I307" s="29" t="s">
        <v>44</v>
      </c>
      <c r="J307" s="30">
        <v>1</v>
      </c>
      <c r="K307" s="31">
        <f>1612</f>
        <v>1612</v>
      </c>
      <c r="L307" s="32" t="s">
        <v>1110</v>
      </c>
      <c r="M307" s="31">
        <f>1682</f>
        <v>1682</v>
      </c>
      <c r="N307" s="32" t="s">
        <v>1114</v>
      </c>
      <c r="O307" s="31">
        <f>1573</f>
        <v>1573</v>
      </c>
      <c r="P307" s="32" t="s">
        <v>1115</v>
      </c>
      <c r="Q307" s="31">
        <f>1679</f>
        <v>1679</v>
      </c>
      <c r="R307" s="32" t="s">
        <v>883</v>
      </c>
      <c r="S307" s="33">
        <f>1632.79</f>
        <v>1632.79</v>
      </c>
      <c r="T307" s="30">
        <f>58193</f>
        <v>58193</v>
      </c>
      <c r="U307" s="30" t="str">
        <f>"－"</f>
        <v>－</v>
      </c>
      <c r="V307" s="30">
        <f>94251522</f>
        <v>94251522</v>
      </c>
      <c r="W307" s="30" t="str">
        <f>"－"</f>
        <v>－</v>
      </c>
      <c r="X307" s="34">
        <f>19</f>
        <v>19</v>
      </c>
    </row>
    <row r="308" spans="1:24" x14ac:dyDescent="0.15">
      <c r="A308" s="25" t="s">
        <v>1109</v>
      </c>
      <c r="B308" s="25" t="s">
        <v>721</v>
      </c>
      <c r="C308" s="25" t="s">
        <v>722</v>
      </c>
      <c r="D308" s="25" t="s">
        <v>723</v>
      </c>
      <c r="E308" s="26" t="s">
        <v>43</v>
      </c>
      <c r="F308" s="27" t="s">
        <v>43</v>
      </c>
      <c r="G308" s="28" t="s">
        <v>43</v>
      </c>
      <c r="H308" s="29"/>
      <c r="I308" s="29" t="s">
        <v>44</v>
      </c>
      <c r="J308" s="30">
        <v>1</v>
      </c>
      <c r="K308" s="31">
        <f>2963</f>
        <v>2963</v>
      </c>
      <c r="L308" s="32" t="s">
        <v>1110</v>
      </c>
      <c r="M308" s="31">
        <f>3145</f>
        <v>3145</v>
      </c>
      <c r="N308" s="32" t="s">
        <v>1124</v>
      </c>
      <c r="O308" s="31">
        <f>2941</f>
        <v>2941</v>
      </c>
      <c r="P308" s="32" t="s">
        <v>1110</v>
      </c>
      <c r="Q308" s="31">
        <f>2983</f>
        <v>2983</v>
      </c>
      <c r="R308" s="32" t="s">
        <v>883</v>
      </c>
      <c r="S308" s="33">
        <f>3023.74</f>
        <v>3023.74</v>
      </c>
      <c r="T308" s="30">
        <f>74427</f>
        <v>74427</v>
      </c>
      <c r="U308" s="30">
        <f>30</f>
        <v>30</v>
      </c>
      <c r="V308" s="30">
        <f>225898655</f>
        <v>225898655</v>
      </c>
      <c r="W308" s="30">
        <f>90900</f>
        <v>90900</v>
      </c>
      <c r="X308" s="34">
        <f>19</f>
        <v>19</v>
      </c>
    </row>
    <row r="309" spans="1:24" x14ac:dyDescent="0.15">
      <c r="A309" s="25" t="s">
        <v>1109</v>
      </c>
      <c r="B309" s="25" t="s">
        <v>724</v>
      </c>
      <c r="C309" s="25" t="s">
        <v>1033</v>
      </c>
      <c r="D309" s="25" t="s">
        <v>1032</v>
      </c>
      <c r="E309" s="26" t="s">
        <v>43</v>
      </c>
      <c r="F309" s="27" t="s">
        <v>43</v>
      </c>
      <c r="G309" s="28" t="s">
        <v>43</v>
      </c>
      <c r="H309" s="29"/>
      <c r="I309" s="29" t="s">
        <v>44</v>
      </c>
      <c r="J309" s="30">
        <v>1</v>
      </c>
      <c r="K309" s="31">
        <f>2785</f>
        <v>2785</v>
      </c>
      <c r="L309" s="32" t="s">
        <v>1110</v>
      </c>
      <c r="M309" s="31">
        <f>3055</f>
        <v>3055</v>
      </c>
      <c r="N309" s="32" t="s">
        <v>1123</v>
      </c>
      <c r="O309" s="31">
        <f>2752</f>
        <v>2752</v>
      </c>
      <c r="P309" s="32" t="s">
        <v>1124</v>
      </c>
      <c r="Q309" s="31">
        <f>2973</f>
        <v>2973</v>
      </c>
      <c r="R309" s="32" t="s">
        <v>883</v>
      </c>
      <c r="S309" s="33">
        <f>2892.42</f>
        <v>2892.42</v>
      </c>
      <c r="T309" s="30">
        <f>741584</f>
        <v>741584</v>
      </c>
      <c r="U309" s="30" t="str">
        <f>"－"</f>
        <v>－</v>
      </c>
      <c r="V309" s="30">
        <f>2165389936</f>
        <v>2165389936</v>
      </c>
      <c r="W309" s="30" t="str">
        <f>"－"</f>
        <v>－</v>
      </c>
      <c r="X309" s="34">
        <f>19</f>
        <v>19</v>
      </c>
    </row>
    <row r="310" spans="1:24" x14ac:dyDescent="0.15">
      <c r="A310" s="25" t="s">
        <v>1109</v>
      </c>
      <c r="B310" s="25" t="s">
        <v>725</v>
      </c>
      <c r="C310" s="25" t="s">
        <v>726</v>
      </c>
      <c r="D310" s="25" t="s">
        <v>727</v>
      </c>
      <c r="E310" s="26" t="s">
        <v>43</v>
      </c>
      <c r="F310" s="27" t="s">
        <v>43</v>
      </c>
      <c r="G310" s="28" t="s">
        <v>43</v>
      </c>
      <c r="H310" s="29"/>
      <c r="I310" s="29" t="s">
        <v>44</v>
      </c>
      <c r="J310" s="30">
        <v>1</v>
      </c>
      <c r="K310" s="31">
        <f>33630</f>
        <v>33630</v>
      </c>
      <c r="L310" s="32" t="s">
        <v>1116</v>
      </c>
      <c r="M310" s="31">
        <f>35490</f>
        <v>35490</v>
      </c>
      <c r="N310" s="32" t="s">
        <v>676</v>
      </c>
      <c r="O310" s="31">
        <f>33400</f>
        <v>33400</v>
      </c>
      <c r="P310" s="32" t="s">
        <v>1124</v>
      </c>
      <c r="Q310" s="31">
        <f>35210</f>
        <v>35210</v>
      </c>
      <c r="R310" s="32" t="s">
        <v>883</v>
      </c>
      <c r="S310" s="33">
        <f>34456.25</f>
        <v>34456.25</v>
      </c>
      <c r="T310" s="30">
        <f>93</f>
        <v>93</v>
      </c>
      <c r="U310" s="30" t="str">
        <f>"－"</f>
        <v>－</v>
      </c>
      <c r="V310" s="30">
        <f>3220330</f>
        <v>3220330</v>
      </c>
      <c r="W310" s="30" t="str">
        <f>"－"</f>
        <v>－</v>
      </c>
      <c r="X310" s="34">
        <f>16</f>
        <v>16</v>
      </c>
    </row>
    <row r="311" spans="1:24" x14ac:dyDescent="0.15">
      <c r="A311" s="25" t="s">
        <v>1109</v>
      </c>
      <c r="B311" s="25" t="s">
        <v>728</v>
      </c>
      <c r="C311" s="25" t="s">
        <v>729</v>
      </c>
      <c r="D311" s="25" t="s">
        <v>730</v>
      </c>
      <c r="E311" s="26" t="s">
        <v>43</v>
      </c>
      <c r="F311" s="27" t="s">
        <v>43</v>
      </c>
      <c r="G311" s="28" t="s">
        <v>43</v>
      </c>
      <c r="H311" s="29"/>
      <c r="I311" s="29" t="s">
        <v>44</v>
      </c>
      <c r="J311" s="30">
        <v>1</v>
      </c>
      <c r="K311" s="31">
        <f>2685</f>
        <v>2685</v>
      </c>
      <c r="L311" s="32" t="s">
        <v>1110</v>
      </c>
      <c r="M311" s="31">
        <f>2794</f>
        <v>2794</v>
      </c>
      <c r="N311" s="32" t="s">
        <v>760</v>
      </c>
      <c r="O311" s="31">
        <f>2608</f>
        <v>2608</v>
      </c>
      <c r="P311" s="32" t="s">
        <v>1124</v>
      </c>
      <c r="Q311" s="31">
        <f>2769</f>
        <v>2769</v>
      </c>
      <c r="R311" s="32" t="s">
        <v>883</v>
      </c>
      <c r="S311" s="33">
        <f>2693.63</f>
        <v>2693.63</v>
      </c>
      <c r="T311" s="30">
        <f>4612</f>
        <v>4612</v>
      </c>
      <c r="U311" s="30" t="str">
        <f>"－"</f>
        <v>－</v>
      </c>
      <c r="V311" s="30">
        <f>12389700</f>
        <v>12389700</v>
      </c>
      <c r="W311" s="30" t="str">
        <f>"－"</f>
        <v>－</v>
      </c>
      <c r="X311" s="34">
        <f>19</f>
        <v>19</v>
      </c>
    </row>
    <row r="312" spans="1:24" x14ac:dyDescent="0.15">
      <c r="A312" s="25" t="s">
        <v>1109</v>
      </c>
      <c r="B312" s="25" t="s">
        <v>731</v>
      </c>
      <c r="C312" s="25" t="s">
        <v>732</v>
      </c>
      <c r="D312" s="25" t="s">
        <v>733</v>
      </c>
      <c r="E312" s="26" t="s">
        <v>43</v>
      </c>
      <c r="F312" s="27" t="s">
        <v>43</v>
      </c>
      <c r="G312" s="28" t="s">
        <v>43</v>
      </c>
      <c r="H312" s="29"/>
      <c r="I312" s="29" t="s">
        <v>44</v>
      </c>
      <c r="J312" s="30">
        <v>1</v>
      </c>
      <c r="K312" s="31">
        <f>4185</f>
        <v>4185</v>
      </c>
      <c r="L312" s="32" t="s">
        <v>1110</v>
      </c>
      <c r="M312" s="31">
        <f>4965</f>
        <v>4965</v>
      </c>
      <c r="N312" s="32" t="s">
        <v>760</v>
      </c>
      <c r="O312" s="31">
        <f>4170</f>
        <v>4170</v>
      </c>
      <c r="P312" s="32" t="s">
        <v>1110</v>
      </c>
      <c r="Q312" s="31">
        <f>4805</f>
        <v>4805</v>
      </c>
      <c r="R312" s="32" t="s">
        <v>883</v>
      </c>
      <c r="S312" s="33">
        <f>4607.63</f>
        <v>4607.63</v>
      </c>
      <c r="T312" s="30">
        <f>20183943</f>
        <v>20183943</v>
      </c>
      <c r="U312" s="30">
        <f>878485</f>
        <v>878485</v>
      </c>
      <c r="V312" s="30">
        <f>94504773851</f>
        <v>94504773851</v>
      </c>
      <c r="W312" s="30">
        <f>4089765136</f>
        <v>4089765136</v>
      </c>
      <c r="X312" s="34">
        <f>19</f>
        <v>19</v>
      </c>
    </row>
    <row r="313" spans="1:24" x14ac:dyDescent="0.15">
      <c r="A313" s="25" t="s">
        <v>1109</v>
      </c>
      <c r="B313" s="25" t="s">
        <v>734</v>
      </c>
      <c r="C313" s="25" t="s">
        <v>735</v>
      </c>
      <c r="D313" s="25" t="s">
        <v>736</v>
      </c>
      <c r="E313" s="26" t="s">
        <v>43</v>
      </c>
      <c r="F313" s="27" t="s">
        <v>43</v>
      </c>
      <c r="G313" s="28" t="s">
        <v>43</v>
      </c>
      <c r="H313" s="29"/>
      <c r="I313" s="29" t="s">
        <v>44</v>
      </c>
      <c r="J313" s="30">
        <v>1</v>
      </c>
      <c r="K313" s="31">
        <f>2019</f>
        <v>2019</v>
      </c>
      <c r="L313" s="32" t="s">
        <v>1110</v>
      </c>
      <c r="M313" s="31">
        <f>2115</f>
        <v>2115</v>
      </c>
      <c r="N313" s="32" t="s">
        <v>676</v>
      </c>
      <c r="O313" s="31">
        <f>1985</f>
        <v>1985</v>
      </c>
      <c r="P313" s="32" t="s">
        <v>876</v>
      </c>
      <c r="Q313" s="31">
        <f>2100</f>
        <v>2100</v>
      </c>
      <c r="R313" s="32" t="s">
        <v>883</v>
      </c>
      <c r="S313" s="33">
        <f>2051.16</f>
        <v>2051.16</v>
      </c>
      <c r="T313" s="30">
        <f>10950</f>
        <v>10950</v>
      </c>
      <c r="U313" s="30" t="str">
        <f>"－"</f>
        <v>－</v>
      </c>
      <c r="V313" s="30">
        <f>22473295</f>
        <v>22473295</v>
      </c>
      <c r="W313" s="30" t="str">
        <f>"－"</f>
        <v>－</v>
      </c>
      <c r="X313" s="34">
        <f>19</f>
        <v>19</v>
      </c>
    </row>
    <row r="314" spans="1:24" x14ac:dyDescent="0.15">
      <c r="A314" s="25" t="s">
        <v>1109</v>
      </c>
      <c r="B314" s="25" t="s">
        <v>737</v>
      </c>
      <c r="C314" s="25" t="s">
        <v>738</v>
      </c>
      <c r="D314" s="25" t="s">
        <v>739</v>
      </c>
      <c r="E314" s="26" t="s">
        <v>43</v>
      </c>
      <c r="F314" s="27" t="s">
        <v>43</v>
      </c>
      <c r="G314" s="28" t="s">
        <v>43</v>
      </c>
      <c r="H314" s="29"/>
      <c r="I314" s="29" t="s">
        <v>44</v>
      </c>
      <c r="J314" s="30">
        <v>1</v>
      </c>
      <c r="K314" s="31">
        <f>1801</f>
        <v>1801</v>
      </c>
      <c r="L314" s="32" t="s">
        <v>1110</v>
      </c>
      <c r="M314" s="31">
        <f>1851</f>
        <v>1851</v>
      </c>
      <c r="N314" s="32" t="s">
        <v>1111</v>
      </c>
      <c r="O314" s="31">
        <f>1775</f>
        <v>1775</v>
      </c>
      <c r="P314" s="32" t="s">
        <v>1117</v>
      </c>
      <c r="Q314" s="31">
        <f>1824</f>
        <v>1824</v>
      </c>
      <c r="R314" s="32" t="s">
        <v>883</v>
      </c>
      <c r="S314" s="33">
        <f>1815.95</f>
        <v>1815.95</v>
      </c>
      <c r="T314" s="30">
        <f>7251</f>
        <v>7251</v>
      </c>
      <c r="U314" s="30" t="str">
        <f>"－"</f>
        <v>－</v>
      </c>
      <c r="V314" s="30">
        <f>13163998</f>
        <v>13163998</v>
      </c>
      <c r="W314" s="30" t="str">
        <f>"－"</f>
        <v>－</v>
      </c>
      <c r="X314" s="34">
        <f>19</f>
        <v>19</v>
      </c>
    </row>
    <row r="315" spans="1:24" x14ac:dyDescent="0.15">
      <c r="A315" s="25" t="s">
        <v>1109</v>
      </c>
      <c r="B315" s="25" t="s">
        <v>740</v>
      </c>
      <c r="C315" s="25" t="s">
        <v>741</v>
      </c>
      <c r="D315" s="25" t="s">
        <v>742</v>
      </c>
      <c r="E315" s="26" t="s">
        <v>43</v>
      </c>
      <c r="F315" s="27" t="s">
        <v>43</v>
      </c>
      <c r="G315" s="28" t="s">
        <v>43</v>
      </c>
      <c r="H315" s="29"/>
      <c r="I315" s="29" t="s">
        <v>44</v>
      </c>
      <c r="J315" s="30">
        <v>10</v>
      </c>
      <c r="K315" s="31">
        <f>5574</f>
        <v>5574</v>
      </c>
      <c r="L315" s="32" t="s">
        <v>1110</v>
      </c>
      <c r="M315" s="31">
        <f>5574</f>
        <v>5574</v>
      </c>
      <c r="N315" s="32" t="s">
        <v>1110</v>
      </c>
      <c r="O315" s="31">
        <f>5510</f>
        <v>5510</v>
      </c>
      <c r="P315" s="32" t="s">
        <v>1112</v>
      </c>
      <c r="Q315" s="31">
        <f>5535</f>
        <v>5535</v>
      </c>
      <c r="R315" s="32" t="s">
        <v>883</v>
      </c>
      <c r="S315" s="33">
        <f>5542.89</f>
        <v>5542.89</v>
      </c>
      <c r="T315" s="30">
        <f>141580</f>
        <v>141580</v>
      </c>
      <c r="U315" s="30">
        <f>40700</f>
        <v>40700</v>
      </c>
      <c r="V315" s="30">
        <f>785893590</f>
        <v>785893590</v>
      </c>
      <c r="W315" s="30">
        <f>225862860</f>
        <v>225862860</v>
      </c>
      <c r="X315" s="34">
        <f>19</f>
        <v>19</v>
      </c>
    </row>
    <row r="316" spans="1:24" x14ac:dyDescent="0.15">
      <c r="A316" s="25" t="s">
        <v>1109</v>
      </c>
      <c r="B316" s="25" t="s">
        <v>743</v>
      </c>
      <c r="C316" s="25" t="s">
        <v>744</v>
      </c>
      <c r="D316" s="25" t="s">
        <v>745</v>
      </c>
      <c r="E316" s="26" t="s">
        <v>43</v>
      </c>
      <c r="F316" s="27" t="s">
        <v>43</v>
      </c>
      <c r="G316" s="28" t="s">
        <v>43</v>
      </c>
      <c r="H316" s="29"/>
      <c r="I316" s="29" t="s">
        <v>44</v>
      </c>
      <c r="J316" s="30">
        <v>10</v>
      </c>
      <c r="K316" s="31">
        <f>3878</f>
        <v>3878</v>
      </c>
      <c r="L316" s="32" t="s">
        <v>1110</v>
      </c>
      <c r="M316" s="31">
        <f>3899</f>
        <v>3899</v>
      </c>
      <c r="N316" s="32" t="s">
        <v>1116</v>
      </c>
      <c r="O316" s="31">
        <f>3758</f>
        <v>3758</v>
      </c>
      <c r="P316" s="32" t="s">
        <v>874</v>
      </c>
      <c r="Q316" s="31">
        <f>3772</f>
        <v>3772</v>
      </c>
      <c r="R316" s="32" t="s">
        <v>883</v>
      </c>
      <c r="S316" s="33">
        <f>3801.42</f>
        <v>3801.42</v>
      </c>
      <c r="T316" s="30">
        <f>2063350</f>
        <v>2063350</v>
      </c>
      <c r="U316" s="30">
        <f>1643560</f>
        <v>1643560</v>
      </c>
      <c r="V316" s="30">
        <f>7809766256</f>
        <v>7809766256</v>
      </c>
      <c r="W316" s="30">
        <f>6220953036</f>
        <v>6220953036</v>
      </c>
      <c r="X316" s="34">
        <f>19</f>
        <v>19</v>
      </c>
    </row>
    <row r="317" spans="1:24" x14ac:dyDescent="0.15">
      <c r="A317" s="25" t="s">
        <v>1109</v>
      </c>
      <c r="B317" s="25" t="s">
        <v>746</v>
      </c>
      <c r="C317" s="25" t="s">
        <v>747</v>
      </c>
      <c r="D317" s="25" t="s">
        <v>748</v>
      </c>
      <c r="E317" s="26" t="s">
        <v>43</v>
      </c>
      <c r="F317" s="27" t="s">
        <v>43</v>
      </c>
      <c r="G317" s="28" t="s">
        <v>43</v>
      </c>
      <c r="H317" s="29"/>
      <c r="I317" s="29" t="s">
        <v>44</v>
      </c>
      <c r="J317" s="30">
        <v>10</v>
      </c>
      <c r="K317" s="31">
        <f>651.2</f>
        <v>651.20000000000005</v>
      </c>
      <c r="L317" s="32" t="s">
        <v>1110</v>
      </c>
      <c r="M317" s="31">
        <f>651.3</f>
        <v>651.29999999999995</v>
      </c>
      <c r="N317" s="32" t="s">
        <v>1116</v>
      </c>
      <c r="O317" s="31">
        <f>633</f>
        <v>633</v>
      </c>
      <c r="P317" s="32" t="s">
        <v>1117</v>
      </c>
      <c r="Q317" s="31">
        <f>633.9</f>
        <v>633.9</v>
      </c>
      <c r="R317" s="32" t="s">
        <v>883</v>
      </c>
      <c r="S317" s="33">
        <f>639.4</f>
        <v>639.4</v>
      </c>
      <c r="T317" s="30">
        <f>52770</f>
        <v>52770</v>
      </c>
      <c r="U317" s="30" t="str">
        <f>"－"</f>
        <v>－</v>
      </c>
      <c r="V317" s="30">
        <f>33688203</f>
        <v>33688203</v>
      </c>
      <c r="W317" s="30" t="str">
        <f>"－"</f>
        <v>－</v>
      </c>
      <c r="X317" s="34">
        <f>19</f>
        <v>19</v>
      </c>
    </row>
    <row r="318" spans="1:24" x14ac:dyDescent="0.15">
      <c r="A318" s="25" t="s">
        <v>1109</v>
      </c>
      <c r="B318" s="25" t="s">
        <v>749</v>
      </c>
      <c r="C318" s="25" t="s">
        <v>750</v>
      </c>
      <c r="D318" s="25" t="s">
        <v>751</v>
      </c>
      <c r="E318" s="26" t="s">
        <v>43</v>
      </c>
      <c r="F318" s="27" t="s">
        <v>43</v>
      </c>
      <c r="G318" s="28" t="s">
        <v>43</v>
      </c>
      <c r="H318" s="29"/>
      <c r="I318" s="29" t="s">
        <v>44</v>
      </c>
      <c r="J318" s="30">
        <v>1</v>
      </c>
      <c r="K318" s="31">
        <f>2347</f>
        <v>2347</v>
      </c>
      <c r="L318" s="32" t="s">
        <v>1110</v>
      </c>
      <c r="M318" s="31">
        <f>2604</f>
        <v>2604</v>
      </c>
      <c r="N318" s="32" t="s">
        <v>883</v>
      </c>
      <c r="O318" s="31">
        <f>2306</f>
        <v>2306</v>
      </c>
      <c r="P318" s="32" t="s">
        <v>1115</v>
      </c>
      <c r="Q318" s="31">
        <f>2604</f>
        <v>2604</v>
      </c>
      <c r="R318" s="32" t="s">
        <v>883</v>
      </c>
      <c r="S318" s="33">
        <f>2414.79</f>
        <v>2414.79</v>
      </c>
      <c r="T318" s="30">
        <f>4872</f>
        <v>4872</v>
      </c>
      <c r="U318" s="30" t="str">
        <f>"－"</f>
        <v>－</v>
      </c>
      <c r="V318" s="30">
        <f>11969994</f>
        <v>11969994</v>
      </c>
      <c r="W318" s="30" t="str">
        <f>"－"</f>
        <v>－</v>
      </c>
      <c r="X318" s="34">
        <f>19</f>
        <v>19</v>
      </c>
    </row>
    <row r="319" spans="1:24" x14ac:dyDescent="0.15">
      <c r="A319" s="25" t="s">
        <v>1109</v>
      </c>
      <c r="B319" s="25" t="s">
        <v>752</v>
      </c>
      <c r="C319" s="25" t="s">
        <v>1031</v>
      </c>
      <c r="D319" s="25" t="s">
        <v>1030</v>
      </c>
      <c r="E319" s="26" t="s">
        <v>43</v>
      </c>
      <c r="F319" s="27" t="s">
        <v>43</v>
      </c>
      <c r="G319" s="28" t="s">
        <v>43</v>
      </c>
      <c r="H319" s="29"/>
      <c r="I319" s="29" t="s">
        <v>44</v>
      </c>
      <c r="J319" s="30">
        <v>1</v>
      </c>
      <c r="K319" s="31">
        <f>2171</f>
        <v>2171</v>
      </c>
      <c r="L319" s="32" t="s">
        <v>1110</v>
      </c>
      <c r="M319" s="31">
        <f>2283</f>
        <v>2283</v>
      </c>
      <c r="N319" s="32" t="s">
        <v>1111</v>
      </c>
      <c r="O319" s="31">
        <f>2145</f>
        <v>2145</v>
      </c>
      <c r="P319" s="32" t="s">
        <v>876</v>
      </c>
      <c r="Q319" s="31">
        <f>2237</f>
        <v>2237</v>
      </c>
      <c r="R319" s="32" t="s">
        <v>883</v>
      </c>
      <c r="S319" s="33">
        <f>2204.79</f>
        <v>2204.79</v>
      </c>
      <c r="T319" s="30">
        <f>18517</f>
        <v>18517</v>
      </c>
      <c r="U319" s="30" t="str">
        <f>"－"</f>
        <v>－</v>
      </c>
      <c r="V319" s="30">
        <f>41202833</f>
        <v>41202833</v>
      </c>
      <c r="W319" s="30" t="str">
        <f>"－"</f>
        <v>－</v>
      </c>
      <c r="X319" s="34">
        <f>19</f>
        <v>19</v>
      </c>
    </row>
    <row r="320" spans="1:24" x14ac:dyDescent="0.15">
      <c r="A320" s="25" t="s">
        <v>1109</v>
      </c>
      <c r="B320" s="25" t="s">
        <v>753</v>
      </c>
      <c r="C320" s="25" t="s">
        <v>754</v>
      </c>
      <c r="D320" s="25" t="s">
        <v>755</v>
      </c>
      <c r="E320" s="26" t="s">
        <v>43</v>
      </c>
      <c r="F320" s="27" t="s">
        <v>43</v>
      </c>
      <c r="G320" s="28" t="s">
        <v>43</v>
      </c>
      <c r="H320" s="29"/>
      <c r="I320" s="29" t="s">
        <v>44</v>
      </c>
      <c r="J320" s="30">
        <v>1</v>
      </c>
      <c r="K320" s="31">
        <f>8328</f>
        <v>8328</v>
      </c>
      <c r="L320" s="32" t="s">
        <v>1110</v>
      </c>
      <c r="M320" s="31">
        <f>8337</f>
        <v>8337</v>
      </c>
      <c r="N320" s="32" t="s">
        <v>1115</v>
      </c>
      <c r="O320" s="31">
        <f>8189</f>
        <v>8189</v>
      </c>
      <c r="P320" s="32" t="s">
        <v>1113</v>
      </c>
      <c r="Q320" s="31">
        <f>8231</f>
        <v>8231</v>
      </c>
      <c r="R320" s="32" t="s">
        <v>883</v>
      </c>
      <c r="S320" s="33">
        <f>8252.16</f>
        <v>8252.16</v>
      </c>
      <c r="T320" s="30">
        <f>40708</f>
        <v>40708</v>
      </c>
      <c r="U320" s="30" t="str">
        <f>"－"</f>
        <v>－</v>
      </c>
      <c r="V320" s="30">
        <f>336192088</f>
        <v>336192088</v>
      </c>
      <c r="W320" s="30" t="str">
        <f>"－"</f>
        <v>－</v>
      </c>
      <c r="X320" s="34">
        <f>19</f>
        <v>19</v>
      </c>
    </row>
    <row r="321" spans="1:24" x14ac:dyDescent="0.15">
      <c r="A321" s="25" t="s">
        <v>1109</v>
      </c>
      <c r="B321" s="25" t="s">
        <v>756</v>
      </c>
      <c r="C321" s="25" t="s">
        <v>757</v>
      </c>
      <c r="D321" s="25" t="s">
        <v>758</v>
      </c>
      <c r="E321" s="26" t="s">
        <v>43</v>
      </c>
      <c r="F321" s="27" t="s">
        <v>43</v>
      </c>
      <c r="G321" s="28" t="s">
        <v>43</v>
      </c>
      <c r="H321" s="29"/>
      <c r="I321" s="29" t="s">
        <v>44</v>
      </c>
      <c r="J321" s="30">
        <v>1</v>
      </c>
      <c r="K321" s="31">
        <f>5774</f>
        <v>5774</v>
      </c>
      <c r="L321" s="32" t="s">
        <v>1110</v>
      </c>
      <c r="M321" s="31">
        <f>5825</f>
        <v>5825</v>
      </c>
      <c r="N321" s="32" t="s">
        <v>674</v>
      </c>
      <c r="O321" s="31">
        <f>5576</f>
        <v>5576</v>
      </c>
      <c r="P321" s="32" t="s">
        <v>1117</v>
      </c>
      <c r="Q321" s="31">
        <f>5607</f>
        <v>5607</v>
      </c>
      <c r="R321" s="32" t="s">
        <v>883</v>
      </c>
      <c r="S321" s="33">
        <f>5650.37</f>
        <v>5650.37</v>
      </c>
      <c r="T321" s="30">
        <f>91235</f>
        <v>91235</v>
      </c>
      <c r="U321" s="30">
        <f>37001</f>
        <v>37001</v>
      </c>
      <c r="V321" s="30">
        <f>512550693</f>
        <v>512550693</v>
      </c>
      <c r="W321" s="30">
        <f>206695020</f>
        <v>206695020</v>
      </c>
      <c r="X321" s="34">
        <f>19</f>
        <v>19</v>
      </c>
    </row>
    <row r="322" spans="1:24" x14ac:dyDescent="0.15">
      <c r="A322" s="25" t="s">
        <v>1109</v>
      </c>
      <c r="B322" s="25" t="s">
        <v>762</v>
      </c>
      <c r="C322" s="25" t="s">
        <v>763</v>
      </c>
      <c r="D322" s="25" t="s">
        <v>764</v>
      </c>
      <c r="E322" s="26" t="s">
        <v>43</v>
      </c>
      <c r="F322" s="27" t="s">
        <v>43</v>
      </c>
      <c r="G322" s="28" t="s">
        <v>43</v>
      </c>
      <c r="H322" s="29"/>
      <c r="I322" s="29" t="s">
        <v>44</v>
      </c>
      <c r="J322" s="30">
        <v>1</v>
      </c>
      <c r="K322" s="31">
        <f>23460</f>
        <v>23460</v>
      </c>
      <c r="L322" s="32" t="s">
        <v>1110</v>
      </c>
      <c r="M322" s="31">
        <f>25115</f>
        <v>25115</v>
      </c>
      <c r="N322" s="32" t="s">
        <v>1114</v>
      </c>
      <c r="O322" s="31">
        <f>23415</f>
        <v>23415</v>
      </c>
      <c r="P322" s="32" t="s">
        <v>1110</v>
      </c>
      <c r="Q322" s="31">
        <f>24905</f>
        <v>24905</v>
      </c>
      <c r="R322" s="32" t="s">
        <v>883</v>
      </c>
      <c r="S322" s="33">
        <f>24559.74</f>
        <v>24559.74</v>
      </c>
      <c r="T322" s="30">
        <f>193176</f>
        <v>193176</v>
      </c>
      <c r="U322" s="30">
        <f>30176</f>
        <v>30176</v>
      </c>
      <c r="V322" s="30">
        <f>4726999008</f>
        <v>4726999008</v>
      </c>
      <c r="W322" s="30">
        <f>748101618</f>
        <v>748101618</v>
      </c>
      <c r="X322" s="34">
        <f>19</f>
        <v>19</v>
      </c>
    </row>
    <row r="323" spans="1:24" x14ac:dyDescent="0.15">
      <c r="A323" s="25" t="s">
        <v>1109</v>
      </c>
      <c r="B323" s="25" t="s">
        <v>765</v>
      </c>
      <c r="C323" s="25" t="s">
        <v>766</v>
      </c>
      <c r="D323" s="25" t="s">
        <v>767</v>
      </c>
      <c r="E323" s="26" t="s">
        <v>43</v>
      </c>
      <c r="F323" s="27" t="s">
        <v>43</v>
      </c>
      <c r="G323" s="28" t="s">
        <v>43</v>
      </c>
      <c r="H323" s="29"/>
      <c r="I323" s="29" t="s">
        <v>44</v>
      </c>
      <c r="J323" s="30">
        <v>1</v>
      </c>
      <c r="K323" s="31">
        <f>11010</f>
        <v>11010</v>
      </c>
      <c r="L323" s="32" t="s">
        <v>1110</v>
      </c>
      <c r="M323" s="31">
        <f>11470</f>
        <v>11470</v>
      </c>
      <c r="N323" s="32" t="s">
        <v>1114</v>
      </c>
      <c r="O323" s="31">
        <f>10995</f>
        <v>10995</v>
      </c>
      <c r="P323" s="32" t="s">
        <v>1110</v>
      </c>
      <c r="Q323" s="31">
        <f>11410</f>
        <v>11410</v>
      </c>
      <c r="R323" s="32" t="s">
        <v>883</v>
      </c>
      <c r="S323" s="33">
        <f>11314.21</f>
        <v>11314.21</v>
      </c>
      <c r="T323" s="30">
        <f>986865</f>
        <v>986865</v>
      </c>
      <c r="U323" s="30">
        <f>282414</f>
        <v>282414</v>
      </c>
      <c r="V323" s="30">
        <f>11156281618</f>
        <v>11156281618</v>
      </c>
      <c r="W323" s="30">
        <f>3200488008</f>
        <v>3200488008</v>
      </c>
      <c r="X323" s="34">
        <f>19</f>
        <v>19</v>
      </c>
    </row>
    <row r="324" spans="1:24" x14ac:dyDescent="0.15">
      <c r="A324" s="25" t="s">
        <v>1109</v>
      </c>
      <c r="B324" s="25" t="s">
        <v>768</v>
      </c>
      <c r="C324" s="25" t="s">
        <v>769</v>
      </c>
      <c r="D324" s="25" t="s">
        <v>770</v>
      </c>
      <c r="E324" s="26" t="s">
        <v>43</v>
      </c>
      <c r="F324" s="27" t="s">
        <v>43</v>
      </c>
      <c r="G324" s="28" t="s">
        <v>43</v>
      </c>
      <c r="H324" s="29"/>
      <c r="I324" s="29" t="s">
        <v>44</v>
      </c>
      <c r="J324" s="30">
        <v>1</v>
      </c>
      <c r="K324" s="31">
        <f>21410</f>
        <v>21410</v>
      </c>
      <c r="L324" s="32" t="s">
        <v>1110</v>
      </c>
      <c r="M324" s="31">
        <f>21410</f>
        <v>21410</v>
      </c>
      <c r="N324" s="32" t="s">
        <v>1110</v>
      </c>
      <c r="O324" s="31">
        <f>20475</f>
        <v>20475</v>
      </c>
      <c r="P324" s="32" t="s">
        <v>1114</v>
      </c>
      <c r="Q324" s="31">
        <f>20580</f>
        <v>20580</v>
      </c>
      <c r="R324" s="32" t="s">
        <v>883</v>
      </c>
      <c r="S324" s="33">
        <f>20784.47</f>
        <v>20784.47</v>
      </c>
      <c r="T324" s="30">
        <f>114530</f>
        <v>114530</v>
      </c>
      <c r="U324" s="30">
        <f>47583</f>
        <v>47583</v>
      </c>
      <c r="V324" s="30">
        <f>2397667087</f>
        <v>2397667087</v>
      </c>
      <c r="W324" s="30">
        <f>1000809952</f>
        <v>1000809952</v>
      </c>
      <c r="X324" s="34">
        <f>19</f>
        <v>19</v>
      </c>
    </row>
    <row r="325" spans="1:24" x14ac:dyDescent="0.15">
      <c r="A325" s="25" t="s">
        <v>1109</v>
      </c>
      <c r="B325" s="25" t="s">
        <v>771</v>
      </c>
      <c r="C325" s="25" t="s">
        <v>772</v>
      </c>
      <c r="D325" s="25" t="s">
        <v>773</v>
      </c>
      <c r="E325" s="26" t="s">
        <v>43</v>
      </c>
      <c r="F325" s="27" t="s">
        <v>43</v>
      </c>
      <c r="G325" s="28" t="s">
        <v>43</v>
      </c>
      <c r="H325" s="29"/>
      <c r="I325" s="29" t="s">
        <v>44</v>
      </c>
      <c r="J325" s="30">
        <v>10</v>
      </c>
      <c r="K325" s="31">
        <f>4194</f>
        <v>4194</v>
      </c>
      <c r="L325" s="32" t="s">
        <v>674</v>
      </c>
      <c r="M325" s="31">
        <f>4212</f>
        <v>4212</v>
      </c>
      <c r="N325" s="32" t="s">
        <v>1124</v>
      </c>
      <c r="O325" s="31">
        <f>4112</f>
        <v>4112</v>
      </c>
      <c r="P325" s="32" t="s">
        <v>1117</v>
      </c>
      <c r="Q325" s="31">
        <f>4150</f>
        <v>4150</v>
      </c>
      <c r="R325" s="32" t="s">
        <v>1114</v>
      </c>
      <c r="S325" s="33">
        <f>4167.15</f>
        <v>4167.1499999999996</v>
      </c>
      <c r="T325" s="30">
        <f>795240</f>
        <v>795240</v>
      </c>
      <c r="U325" s="30">
        <f>746000</f>
        <v>746000</v>
      </c>
      <c r="V325" s="30">
        <f>3310501250</f>
        <v>3310501250</v>
      </c>
      <c r="W325" s="30">
        <f>3104044100</f>
        <v>3104044100</v>
      </c>
      <c r="X325" s="34">
        <f>13</f>
        <v>13</v>
      </c>
    </row>
    <row r="326" spans="1:24" x14ac:dyDescent="0.15">
      <c r="A326" s="25" t="s">
        <v>1109</v>
      </c>
      <c r="B326" s="25" t="s">
        <v>774</v>
      </c>
      <c r="C326" s="25" t="s">
        <v>775</v>
      </c>
      <c r="D326" s="25" t="s">
        <v>776</v>
      </c>
      <c r="E326" s="26" t="s">
        <v>43</v>
      </c>
      <c r="F326" s="27" t="s">
        <v>43</v>
      </c>
      <c r="G326" s="28" t="s">
        <v>43</v>
      </c>
      <c r="H326" s="29"/>
      <c r="I326" s="29" t="s">
        <v>44</v>
      </c>
      <c r="J326" s="30">
        <v>10</v>
      </c>
      <c r="K326" s="31">
        <f>5177</f>
        <v>5177</v>
      </c>
      <c r="L326" s="32" t="s">
        <v>1110</v>
      </c>
      <c r="M326" s="31">
        <f>5208</f>
        <v>5208</v>
      </c>
      <c r="N326" s="32" t="s">
        <v>676</v>
      </c>
      <c r="O326" s="31">
        <f>5036</f>
        <v>5036</v>
      </c>
      <c r="P326" s="32" t="s">
        <v>1117</v>
      </c>
      <c r="Q326" s="31">
        <f>5136</f>
        <v>5136</v>
      </c>
      <c r="R326" s="32" t="s">
        <v>883</v>
      </c>
      <c r="S326" s="33">
        <f>5135.5</f>
        <v>5135.5</v>
      </c>
      <c r="T326" s="30">
        <f>862240</f>
        <v>862240</v>
      </c>
      <c r="U326" s="30">
        <f>828900</f>
        <v>828900</v>
      </c>
      <c r="V326" s="30">
        <f>4403731912</f>
        <v>4403731912</v>
      </c>
      <c r="W326" s="30">
        <f>4232691052</f>
        <v>4232691052</v>
      </c>
      <c r="X326" s="34">
        <f>18</f>
        <v>18</v>
      </c>
    </row>
    <row r="327" spans="1:24" x14ac:dyDescent="0.15">
      <c r="A327" s="25" t="s">
        <v>1109</v>
      </c>
      <c r="B327" s="25" t="s">
        <v>786</v>
      </c>
      <c r="C327" s="25" t="s">
        <v>787</v>
      </c>
      <c r="D327" s="25" t="s">
        <v>788</v>
      </c>
      <c r="E327" s="26" t="s">
        <v>43</v>
      </c>
      <c r="F327" s="27" t="s">
        <v>43</v>
      </c>
      <c r="G327" s="28" t="s">
        <v>43</v>
      </c>
      <c r="H327" s="29"/>
      <c r="I327" s="29" t="s">
        <v>44</v>
      </c>
      <c r="J327" s="30">
        <v>10</v>
      </c>
      <c r="K327" s="31">
        <f>2299</f>
        <v>2299</v>
      </c>
      <c r="L327" s="32" t="s">
        <v>1110</v>
      </c>
      <c r="M327" s="31">
        <f>2391.5</f>
        <v>2391.5</v>
      </c>
      <c r="N327" s="32" t="s">
        <v>1113</v>
      </c>
      <c r="O327" s="31">
        <f>2299</f>
        <v>2299</v>
      </c>
      <c r="P327" s="32" t="s">
        <v>1110</v>
      </c>
      <c r="Q327" s="31">
        <f>2381.5</f>
        <v>2381.5</v>
      </c>
      <c r="R327" s="32" t="s">
        <v>883</v>
      </c>
      <c r="S327" s="33">
        <f>2364.11</f>
        <v>2364.11</v>
      </c>
      <c r="T327" s="30">
        <f>2728870</f>
        <v>2728870</v>
      </c>
      <c r="U327" s="30">
        <f>1015710</f>
        <v>1015710</v>
      </c>
      <c r="V327" s="30">
        <f>6442095382</f>
        <v>6442095382</v>
      </c>
      <c r="W327" s="30">
        <f>2405465382</f>
        <v>2405465382</v>
      </c>
      <c r="X327" s="34">
        <f>19</f>
        <v>19</v>
      </c>
    </row>
    <row r="328" spans="1:24" x14ac:dyDescent="0.15">
      <c r="A328" s="25" t="s">
        <v>1109</v>
      </c>
      <c r="B328" s="25" t="s">
        <v>789</v>
      </c>
      <c r="C328" s="25" t="s">
        <v>790</v>
      </c>
      <c r="D328" s="25" t="s">
        <v>791</v>
      </c>
      <c r="E328" s="26" t="s">
        <v>43</v>
      </c>
      <c r="F328" s="27" t="s">
        <v>43</v>
      </c>
      <c r="G328" s="28" t="s">
        <v>43</v>
      </c>
      <c r="H328" s="29"/>
      <c r="I328" s="29" t="s">
        <v>44</v>
      </c>
      <c r="J328" s="30">
        <v>10</v>
      </c>
      <c r="K328" s="31">
        <f>2073.5</f>
        <v>2073.5</v>
      </c>
      <c r="L328" s="32" t="s">
        <v>1110</v>
      </c>
      <c r="M328" s="31">
        <f>2101.5</f>
        <v>2101.5</v>
      </c>
      <c r="N328" s="32" t="s">
        <v>676</v>
      </c>
      <c r="O328" s="31">
        <f>2055.5</f>
        <v>2055.5</v>
      </c>
      <c r="P328" s="32" t="s">
        <v>1117</v>
      </c>
      <c r="Q328" s="31">
        <f>2093.5</f>
        <v>2093.5</v>
      </c>
      <c r="R328" s="32" t="s">
        <v>883</v>
      </c>
      <c r="S328" s="33">
        <f>2082.74</f>
        <v>2082.7399999999998</v>
      </c>
      <c r="T328" s="30">
        <f>474830</f>
        <v>474830</v>
      </c>
      <c r="U328" s="30">
        <f>336010</f>
        <v>336010</v>
      </c>
      <c r="V328" s="30">
        <f>989699528</f>
        <v>989699528</v>
      </c>
      <c r="W328" s="30">
        <f>700509503</f>
        <v>700509503</v>
      </c>
      <c r="X328" s="34">
        <f>19</f>
        <v>19</v>
      </c>
    </row>
    <row r="329" spans="1:24" x14ac:dyDescent="0.15">
      <c r="A329" s="25" t="s">
        <v>1109</v>
      </c>
      <c r="B329" s="25" t="s">
        <v>792</v>
      </c>
      <c r="C329" s="25" t="s">
        <v>793</v>
      </c>
      <c r="D329" s="25" t="s">
        <v>794</v>
      </c>
      <c r="E329" s="26" t="s">
        <v>43</v>
      </c>
      <c r="F329" s="27" t="s">
        <v>43</v>
      </c>
      <c r="G329" s="28" t="s">
        <v>43</v>
      </c>
      <c r="H329" s="29"/>
      <c r="I329" s="29" t="s">
        <v>44</v>
      </c>
      <c r="J329" s="30">
        <v>1</v>
      </c>
      <c r="K329" s="31">
        <f>1870</f>
        <v>1870</v>
      </c>
      <c r="L329" s="32" t="s">
        <v>1110</v>
      </c>
      <c r="M329" s="31">
        <f>1932</f>
        <v>1932</v>
      </c>
      <c r="N329" s="32" t="s">
        <v>1124</v>
      </c>
      <c r="O329" s="31">
        <f>1860</f>
        <v>1860</v>
      </c>
      <c r="P329" s="32" t="s">
        <v>1113</v>
      </c>
      <c r="Q329" s="31">
        <f>1904</f>
        <v>1904</v>
      </c>
      <c r="R329" s="32" t="s">
        <v>883</v>
      </c>
      <c r="S329" s="33">
        <f>1886.58</f>
        <v>1886.58</v>
      </c>
      <c r="T329" s="30">
        <f>3335</f>
        <v>3335</v>
      </c>
      <c r="U329" s="30" t="str">
        <f>"－"</f>
        <v>－</v>
      </c>
      <c r="V329" s="30">
        <f>6288986</f>
        <v>6288986</v>
      </c>
      <c r="W329" s="30" t="str">
        <f>"－"</f>
        <v>－</v>
      </c>
      <c r="X329" s="34">
        <f>19</f>
        <v>19</v>
      </c>
    </row>
    <row r="330" spans="1:24" x14ac:dyDescent="0.15">
      <c r="A330" s="25" t="s">
        <v>1109</v>
      </c>
      <c r="B330" s="25" t="s">
        <v>795</v>
      </c>
      <c r="C330" s="25" t="s">
        <v>796</v>
      </c>
      <c r="D330" s="25" t="s">
        <v>797</v>
      </c>
      <c r="E330" s="26" t="s">
        <v>43</v>
      </c>
      <c r="F330" s="27" t="s">
        <v>43</v>
      </c>
      <c r="G330" s="28" t="s">
        <v>43</v>
      </c>
      <c r="H330" s="29"/>
      <c r="I330" s="29" t="s">
        <v>44</v>
      </c>
      <c r="J330" s="30">
        <v>1</v>
      </c>
      <c r="K330" s="31">
        <f>1947</f>
        <v>1947</v>
      </c>
      <c r="L330" s="32" t="s">
        <v>1116</v>
      </c>
      <c r="M330" s="31">
        <f>2047</f>
        <v>2047</v>
      </c>
      <c r="N330" s="32" t="s">
        <v>676</v>
      </c>
      <c r="O330" s="31">
        <f>1907</f>
        <v>1907</v>
      </c>
      <c r="P330" s="32" t="s">
        <v>1124</v>
      </c>
      <c r="Q330" s="31">
        <f>2040</f>
        <v>2040</v>
      </c>
      <c r="R330" s="32" t="s">
        <v>883</v>
      </c>
      <c r="S330" s="33">
        <f>1993.64</f>
        <v>1993.64</v>
      </c>
      <c r="T330" s="30">
        <f>6555</f>
        <v>6555</v>
      </c>
      <c r="U330" s="30" t="str">
        <f>"－"</f>
        <v>－</v>
      </c>
      <c r="V330" s="30">
        <f>12996278</f>
        <v>12996278</v>
      </c>
      <c r="W330" s="30" t="str">
        <f>"－"</f>
        <v>－</v>
      </c>
      <c r="X330" s="34">
        <f>14</f>
        <v>14</v>
      </c>
    </row>
    <row r="331" spans="1:24" x14ac:dyDescent="0.15">
      <c r="A331" s="25" t="s">
        <v>1109</v>
      </c>
      <c r="B331" s="25" t="s">
        <v>798</v>
      </c>
      <c r="C331" s="25" t="s">
        <v>799</v>
      </c>
      <c r="D331" s="25" t="s">
        <v>800</v>
      </c>
      <c r="E331" s="26" t="s">
        <v>43</v>
      </c>
      <c r="F331" s="27" t="s">
        <v>43</v>
      </c>
      <c r="G331" s="28" t="s">
        <v>43</v>
      </c>
      <c r="H331" s="29"/>
      <c r="I331" s="29" t="s">
        <v>44</v>
      </c>
      <c r="J331" s="30">
        <v>1</v>
      </c>
      <c r="K331" s="31">
        <f>4115</f>
        <v>4115</v>
      </c>
      <c r="L331" s="32" t="s">
        <v>1110</v>
      </c>
      <c r="M331" s="31">
        <f>4335</f>
        <v>4335</v>
      </c>
      <c r="N331" s="32" t="s">
        <v>676</v>
      </c>
      <c r="O331" s="31">
        <f>4080</f>
        <v>4080</v>
      </c>
      <c r="P331" s="32" t="s">
        <v>1115</v>
      </c>
      <c r="Q331" s="31">
        <f>4310</f>
        <v>4310</v>
      </c>
      <c r="R331" s="32" t="s">
        <v>883</v>
      </c>
      <c r="S331" s="33">
        <f>4232.89</f>
        <v>4232.8900000000003</v>
      </c>
      <c r="T331" s="30">
        <f>12231</f>
        <v>12231</v>
      </c>
      <c r="U331" s="30">
        <f>3</f>
        <v>3</v>
      </c>
      <c r="V331" s="30">
        <f>51880080</f>
        <v>51880080</v>
      </c>
      <c r="W331" s="30">
        <f>12600</f>
        <v>12600</v>
      </c>
      <c r="X331" s="34">
        <f>19</f>
        <v>19</v>
      </c>
    </row>
    <row r="332" spans="1:24" x14ac:dyDescent="0.15">
      <c r="A332" s="25" t="s">
        <v>1109</v>
      </c>
      <c r="B332" s="25" t="s">
        <v>801</v>
      </c>
      <c r="C332" s="25" t="s">
        <v>802</v>
      </c>
      <c r="D332" s="25" t="s">
        <v>803</v>
      </c>
      <c r="E332" s="26" t="s">
        <v>43</v>
      </c>
      <c r="F332" s="27" t="s">
        <v>43</v>
      </c>
      <c r="G332" s="28" t="s">
        <v>43</v>
      </c>
      <c r="H332" s="29"/>
      <c r="I332" s="29" t="s">
        <v>44</v>
      </c>
      <c r="J332" s="30">
        <v>10</v>
      </c>
      <c r="K332" s="31">
        <f>2535.5</f>
        <v>2535.5</v>
      </c>
      <c r="L332" s="32" t="s">
        <v>1124</v>
      </c>
      <c r="M332" s="31">
        <f>2741</f>
        <v>2741</v>
      </c>
      <c r="N332" s="32" t="s">
        <v>1111</v>
      </c>
      <c r="O332" s="31">
        <f>2523.5</f>
        <v>2523.5</v>
      </c>
      <c r="P332" s="32" t="s">
        <v>1124</v>
      </c>
      <c r="Q332" s="31">
        <f>2703.5</f>
        <v>2703.5</v>
      </c>
      <c r="R332" s="32" t="s">
        <v>883</v>
      </c>
      <c r="S332" s="33">
        <f>2649.4</f>
        <v>2649.4</v>
      </c>
      <c r="T332" s="30">
        <f>2690</f>
        <v>2690</v>
      </c>
      <c r="U332" s="30" t="str">
        <f>"－"</f>
        <v>－</v>
      </c>
      <c r="V332" s="30">
        <f>6898535</f>
        <v>6898535</v>
      </c>
      <c r="W332" s="30" t="str">
        <f>"－"</f>
        <v>－</v>
      </c>
      <c r="X332" s="34">
        <f>10</f>
        <v>10</v>
      </c>
    </row>
    <row r="333" spans="1:24" x14ac:dyDescent="0.15">
      <c r="A333" s="25" t="s">
        <v>1109</v>
      </c>
      <c r="B333" s="25" t="s">
        <v>812</v>
      </c>
      <c r="C333" s="25" t="s">
        <v>813</v>
      </c>
      <c r="D333" s="25" t="s">
        <v>814</v>
      </c>
      <c r="E333" s="26" t="s">
        <v>43</v>
      </c>
      <c r="F333" s="27" t="s">
        <v>43</v>
      </c>
      <c r="G333" s="28" t="s">
        <v>43</v>
      </c>
      <c r="H333" s="29"/>
      <c r="I333" s="29" t="s">
        <v>44</v>
      </c>
      <c r="J333" s="30">
        <v>10</v>
      </c>
      <c r="K333" s="31">
        <f>242.8</f>
        <v>242.8</v>
      </c>
      <c r="L333" s="32" t="s">
        <v>1110</v>
      </c>
      <c r="M333" s="31">
        <f>267.2</f>
        <v>267.2</v>
      </c>
      <c r="N333" s="32" t="s">
        <v>1114</v>
      </c>
      <c r="O333" s="31">
        <f>242.8</f>
        <v>242.8</v>
      </c>
      <c r="P333" s="32" t="s">
        <v>1110</v>
      </c>
      <c r="Q333" s="31">
        <f>260.2</f>
        <v>260.2</v>
      </c>
      <c r="R333" s="32" t="s">
        <v>883</v>
      </c>
      <c r="S333" s="33">
        <f>255.82</f>
        <v>255.82</v>
      </c>
      <c r="T333" s="30">
        <f>15470</f>
        <v>15470</v>
      </c>
      <c r="U333" s="30" t="str">
        <f>"－"</f>
        <v>－</v>
      </c>
      <c r="V333" s="30">
        <f>3962481</f>
        <v>3962481</v>
      </c>
      <c r="W333" s="30" t="str">
        <f>"－"</f>
        <v>－</v>
      </c>
      <c r="X333" s="34">
        <f>19</f>
        <v>19</v>
      </c>
    </row>
    <row r="334" spans="1:24" x14ac:dyDescent="0.15">
      <c r="A334" s="25" t="s">
        <v>1109</v>
      </c>
      <c r="B334" s="25" t="s">
        <v>804</v>
      </c>
      <c r="C334" s="25" t="s">
        <v>805</v>
      </c>
      <c r="D334" s="25" t="s">
        <v>806</v>
      </c>
      <c r="E334" s="26" t="s">
        <v>43</v>
      </c>
      <c r="F334" s="27" t="s">
        <v>43</v>
      </c>
      <c r="G334" s="28" t="s">
        <v>43</v>
      </c>
      <c r="H334" s="29"/>
      <c r="I334" s="29" t="s">
        <v>44</v>
      </c>
      <c r="J334" s="30">
        <v>10</v>
      </c>
      <c r="K334" s="31">
        <f>179</f>
        <v>179</v>
      </c>
      <c r="L334" s="32" t="s">
        <v>1110</v>
      </c>
      <c r="M334" s="31">
        <f>180</f>
        <v>180</v>
      </c>
      <c r="N334" s="32" t="s">
        <v>1124</v>
      </c>
      <c r="O334" s="31">
        <f>164.4</f>
        <v>164.4</v>
      </c>
      <c r="P334" s="32" t="s">
        <v>874</v>
      </c>
      <c r="Q334" s="31">
        <f>168</f>
        <v>168</v>
      </c>
      <c r="R334" s="32" t="s">
        <v>883</v>
      </c>
      <c r="S334" s="33">
        <f>171.47</f>
        <v>171.47</v>
      </c>
      <c r="T334" s="30">
        <f>122370</f>
        <v>122370</v>
      </c>
      <c r="U334" s="30">
        <f>55000</f>
        <v>55000</v>
      </c>
      <c r="V334" s="30">
        <f>21079358</f>
        <v>21079358</v>
      </c>
      <c r="W334" s="30">
        <f>9636550</f>
        <v>9636550</v>
      </c>
      <c r="X334" s="34">
        <f>19</f>
        <v>19</v>
      </c>
    </row>
    <row r="335" spans="1:24" x14ac:dyDescent="0.15">
      <c r="A335" s="25" t="s">
        <v>1109</v>
      </c>
      <c r="B335" s="25" t="s">
        <v>807</v>
      </c>
      <c r="C335" s="25" t="s">
        <v>808</v>
      </c>
      <c r="D335" s="25" t="s">
        <v>809</v>
      </c>
      <c r="E335" s="26" t="s">
        <v>43</v>
      </c>
      <c r="F335" s="27" t="s">
        <v>43</v>
      </c>
      <c r="G335" s="28" t="s">
        <v>43</v>
      </c>
      <c r="H335" s="29"/>
      <c r="I335" s="29" t="s">
        <v>44</v>
      </c>
      <c r="J335" s="30">
        <v>10</v>
      </c>
      <c r="K335" s="31">
        <f>689.8</f>
        <v>689.8</v>
      </c>
      <c r="L335" s="32" t="s">
        <v>1116</v>
      </c>
      <c r="M335" s="31">
        <f>692.4</f>
        <v>692.4</v>
      </c>
      <c r="N335" s="32" t="s">
        <v>1116</v>
      </c>
      <c r="O335" s="31">
        <f>676.2</f>
        <v>676.2</v>
      </c>
      <c r="P335" s="32" t="s">
        <v>676</v>
      </c>
      <c r="Q335" s="31">
        <f>676.3</f>
        <v>676.3</v>
      </c>
      <c r="R335" s="32" t="s">
        <v>1114</v>
      </c>
      <c r="S335" s="33">
        <f>682.67</f>
        <v>682.67</v>
      </c>
      <c r="T335" s="30">
        <f>32700</f>
        <v>32700</v>
      </c>
      <c r="U335" s="30">
        <f>9650</f>
        <v>9650</v>
      </c>
      <c r="V335" s="30">
        <f>22307273</f>
        <v>22307273</v>
      </c>
      <c r="W335" s="30">
        <f>6580335</f>
        <v>6580335</v>
      </c>
      <c r="X335" s="34">
        <f>11</f>
        <v>11</v>
      </c>
    </row>
    <row r="336" spans="1:24" x14ac:dyDescent="0.15">
      <c r="A336" s="25" t="s">
        <v>1109</v>
      </c>
      <c r="B336" s="25" t="s">
        <v>815</v>
      </c>
      <c r="C336" s="25" t="s">
        <v>816</v>
      </c>
      <c r="D336" s="25" t="s">
        <v>817</v>
      </c>
      <c r="E336" s="26" t="s">
        <v>43</v>
      </c>
      <c r="F336" s="27" t="s">
        <v>43</v>
      </c>
      <c r="G336" s="28" t="s">
        <v>43</v>
      </c>
      <c r="H336" s="29"/>
      <c r="I336" s="29" t="s">
        <v>44</v>
      </c>
      <c r="J336" s="30">
        <v>1</v>
      </c>
      <c r="K336" s="31">
        <f>1356</f>
        <v>1356</v>
      </c>
      <c r="L336" s="32" t="s">
        <v>1110</v>
      </c>
      <c r="M336" s="31">
        <f>1488</f>
        <v>1488</v>
      </c>
      <c r="N336" s="32" t="s">
        <v>875</v>
      </c>
      <c r="O336" s="31">
        <f>1354</f>
        <v>1354</v>
      </c>
      <c r="P336" s="32" t="s">
        <v>1110</v>
      </c>
      <c r="Q336" s="31">
        <f>1455</f>
        <v>1455</v>
      </c>
      <c r="R336" s="32" t="s">
        <v>883</v>
      </c>
      <c r="S336" s="33">
        <f>1412.37</f>
        <v>1412.37</v>
      </c>
      <c r="T336" s="30">
        <f>540907</f>
        <v>540907</v>
      </c>
      <c r="U336" s="30">
        <f>5</f>
        <v>5</v>
      </c>
      <c r="V336" s="30">
        <f>772913200</f>
        <v>772913200</v>
      </c>
      <c r="W336" s="30">
        <f>6836</f>
        <v>6836</v>
      </c>
      <c r="X336" s="34">
        <f>19</f>
        <v>19</v>
      </c>
    </row>
    <row r="337" spans="1:24" x14ac:dyDescent="0.15">
      <c r="A337" s="25" t="s">
        <v>1109</v>
      </c>
      <c r="B337" s="25" t="s">
        <v>818</v>
      </c>
      <c r="C337" s="25" t="s">
        <v>819</v>
      </c>
      <c r="D337" s="25" t="s">
        <v>820</v>
      </c>
      <c r="E337" s="26" t="s">
        <v>43</v>
      </c>
      <c r="F337" s="27" t="s">
        <v>43</v>
      </c>
      <c r="G337" s="28" t="s">
        <v>43</v>
      </c>
      <c r="H337" s="29"/>
      <c r="I337" s="29" t="s">
        <v>44</v>
      </c>
      <c r="J337" s="30">
        <v>1</v>
      </c>
      <c r="K337" s="31">
        <f>925</f>
        <v>925</v>
      </c>
      <c r="L337" s="32" t="s">
        <v>1110</v>
      </c>
      <c r="M337" s="31">
        <f>941</f>
        <v>941</v>
      </c>
      <c r="N337" s="32" t="s">
        <v>1124</v>
      </c>
      <c r="O337" s="31">
        <f>863</f>
        <v>863</v>
      </c>
      <c r="P337" s="32" t="s">
        <v>874</v>
      </c>
      <c r="Q337" s="31">
        <f>880</f>
        <v>880</v>
      </c>
      <c r="R337" s="32" t="s">
        <v>883</v>
      </c>
      <c r="S337" s="33">
        <f>898.53</f>
        <v>898.53</v>
      </c>
      <c r="T337" s="30">
        <f>20315</f>
        <v>20315</v>
      </c>
      <c r="U337" s="30" t="str">
        <f>"－"</f>
        <v>－</v>
      </c>
      <c r="V337" s="30">
        <f>18332695</f>
        <v>18332695</v>
      </c>
      <c r="W337" s="30" t="str">
        <f>"－"</f>
        <v>－</v>
      </c>
      <c r="X337" s="34">
        <f>19</f>
        <v>19</v>
      </c>
    </row>
    <row r="338" spans="1:24" x14ac:dyDescent="0.15">
      <c r="A338" s="25" t="s">
        <v>1109</v>
      </c>
      <c r="B338" s="25" t="s">
        <v>821</v>
      </c>
      <c r="C338" s="25" t="s">
        <v>822</v>
      </c>
      <c r="D338" s="25" t="s">
        <v>823</v>
      </c>
      <c r="E338" s="26" t="s">
        <v>43</v>
      </c>
      <c r="F338" s="27" t="s">
        <v>43</v>
      </c>
      <c r="G338" s="28" t="s">
        <v>43</v>
      </c>
      <c r="H338" s="29"/>
      <c r="I338" s="29" t="s">
        <v>44</v>
      </c>
      <c r="J338" s="30">
        <v>10</v>
      </c>
      <c r="K338" s="31">
        <f>724.8</f>
        <v>724.8</v>
      </c>
      <c r="L338" s="32" t="s">
        <v>1110</v>
      </c>
      <c r="M338" s="31">
        <f>725.6</f>
        <v>725.6</v>
      </c>
      <c r="N338" s="32" t="s">
        <v>1116</v>
      </c>
      <c r="O338" s="31">
        <f>707.7</f>
        <v>707.7</v>
      </c>
      <c r="P338" s="32" t="s">
        <v>1117</v>
      </c>
      <c r="Q338" s="31">
        <f>709.5</f>
        <v>709.5</v>
      </c>
      <c r="R338" s="32" t="s">
        <v>883</v>
      </c>
      <c r="S338" s="33">
        <f>713.53</f>
        <v>713.53</v>
      </c>
      <c r="T338" s="30">
        <f>2637720</f>
        <v>2637720</v>
      </c>
      <c r="U338" s="30">
        <f>61750</f>
        <v>61750</v>
      </c>
      <c r="V338" s="30">
        <f>1894254109</f>
        <v>1894254109</v>
      </c>
      <c r="W338" s="30">
        <f>44053005</f>
        <v>44053005</v>
      </c>
      <c r="X338" s="34">
        <f>19</f>
        <v>19</v>
      </c>
    </row>
    <row r="339" spans="1:24" x14ac:dyDescent="0.15">
      <c r="A339" s="25" t="s">
        <v>1109</v>
      </c>
      <c r="B339" s="25" t="s">
        <v>824</v>
      </c>
      <c r="C339" s="25" t="s">
        <v>825</v>
      </c>
      <c r="D339" s="25" t="s">
        <v>826</v>
      </c>
      <c r="E339" s="26" t="s">
        <v>43</v>
      </c>
      <c r="F339" s="27" t="s">
        <v>43</v>
      </c>
      <c r="G339" s="28" t="s">
        <v>43</v>
      </c>
      <c r="H339" s="29"/>
      <c r="I339" s="29" t="s">
        <v>44</v>
      </c>
      <c r="J339" s="30">
        <v>10</v>
      </c>
      <c r="K339" s="31">
        <f>709.4</f>
        <v>709.4</v>
      </c>
      <c r="L339" s="32" t="s">
        <v>1110</v>
      </c>
      <c r="M339" s="31">
        <f>710.9</f>
        <v>710.9</v>
      </c>
      <c r="N339" s="32" t="s">
        <v>1116</v>
      </c>
      <c r="O339" s="31">
        <f>690.3</f>
        <v>690.3</v>
      </c>
      <c r="P339" s="32" t="s">
        <v>1114</v>
      </c>
      <c r="Q339" s="31">
        <f>691</f>
        <v>691</v>
      </c>
      <c r="R339" s="32" t="s">
        <v>883</v>
      </c>
      <c r="S339" s="33">
        <f>696.95</f>
        <v>696.95</v>
      </c>
      <c r="T339" s="30">
        <f>5200370</f>
        <v>5200370</v>
      </c>
      <c r="U339" s="30">
        <f>4871330</f>
        <v>4871330</v>
      </c>
      <c r="V339" s="30">
        <f>3636749646</f>
        <v>3636749646</v>
      </c>
      <c r="W339" s="30">
        <f>3406184205</f>
        <v>3406184205</v>
      </c>
      <c r="X339" s="34">
        <f>19</f>
        <v>19</v>
      </c>
    </row>
    <row r="340" spans="1:24" x14ac:dyDescent="0.15">
      <c r="A340" s="25" t="s">
        <v>1109</v>
      </c>
      <c r="B340" s="25" t="s">
        <v>827</v>
      </c>
      <c r="C340" s="25" t="s">
        <v>828</v>
      </c>
      <c r="D340" s="25" t="s">
        <v>829</v>
      </c>
      <c r="E340" s="26" t="s">
        <v>43</v>
      </c>
      <c r="F340" s="27" t="s">
        <v>43</v>
      </c>
      <c r="G340" s="28" t="s">
        <v>43</v>
      </c>
      <c r="H340" s="29"/>
      <c r="I340" s="29" t="s">
        <v>44</v>
      </c>
      <c r="J340" s="30">
        <v>1</v>
      </c>
      <c r="K340" s="31">
        <f>1211</f>
        <v>1211</v>
      </c>
      <c r="L340" s="32" t="s">
        <v>1110</v>
      </c>
      <c r="M340" s="31">
        <f>1240</f>
        <v>1240</v>
      </c>
      <c r="N340" s="32" t="s">
        <v>676</v>
      </c>
      <c r="O340" s="31">
        <f>1208</f>
        <v>1208</v>
      </c>
      <c r="P340" s="32" t="s">
        <v>1117</v>
      </c>
      <c r="Q340" s="31">
        <f>1226</f>
        <v>1226</v>
      </c>
      <c r="R340" s="32" t="s">
        <v>883</v>
      </c>
      <c r="S340" s="33">
        <f>1221.11</f>
        <v>1221.1099999999999</v>
      </c>
      <c r="T340" s="30">
        <f>10194</f>
        <v>10194</v>
      </c>
      <c r="U340" s="30">
        <f>29</f>
        <v>29</v>
      </c>
      <c r="V340" s="30">
        <f>12442065</f>
        <v>12442065</v>
      </c>
      <c r="W340" s="30">
        <f>37742</f>
        <v>37742</v>
      </c>
      <c r="X340" s="34">
        <f>19</f>
        <v>19</v>
      </c>
    </row>
    <row r="341" spans="1:24" x14ac:dyDescent="0.15">
      <c r="A341" s="25" t="s">
        <v>1109</v>
      </c>
      <c r="B341" s="25" t="s">
        <v>836</v>
      </c>
      <c r="C341" s="25" t="s">
        <v>837</v>
      </c>
      <c r="D341" s="25" t="s">
        <v>838</v>
      </c>
      <c r="E341" s="26" t="s">
        <v>43</v>
      </c>
      <c r="F341" s="27" t="s">
        <v>43</v>
      </c>
      <c r="G341" s="28" t="s">
        <v>43</v>
      </c>
      <c r="H341" s="29"/>
      <c r="I341" s="29" t="s">
        <v>44</v>
      </c>
      <c r="J341" s="30">
        <v>10</v>
      </c>
      <c r="K341" s="31">
        <f>2487</f>
        <v>2487</v>
      </c>
      <c r="L341" s="32" t="s">
        <v>1110</v>
      </c>
      <c r="M341" s="31">
        <f>2615.5</f>
        <v>2615.5</v>
      </c>
      <c r="N341" s="32" t="s">
        <v>676</v>
      </c>
      <c r="O341" s="31">
        <f>2480.5</f>
        <v>2480.5</v>
      </c>
      <c r="P341" s="32" t="s">
        <v>1110</v>
      </c>
      <c r="Q341" s="31">
        <f>2606.5</f>
        <v>2606.5</v>
      </c>
      <c r="R341" s="32" t="s">
        <v>883</v>
      </c>
      <c r="S341" s="33">
        <f>2535.05</f>
        <v>2535.0500000000002</v>
      </c>
      <c r="T341" s="30">
        <f>99060</f>
        <v>99060</v>
      </c>
      <c r="U341" s="30">
        <f>41990</f>
        <v>41990</v>
      </c>
      <c r="V341" s="30">
        <f>248834427</f>
        <v>248834427</v>
      </c>
      <c r="W341" s="30">
        <f>105365507</f>
        <v>105365507</v>
      </c>
      <c r="X341" s="34">
        <f>19</f>
        <v>19</v>
      </c>
    </row>
    <row r="342" spans="1:24" x14ac:dyDescent="0.15">
      <c r="A342" s="25" t="s">
        <v>1109</v>
      </c>
      <c r="B342" s="25" t="s">
        <v>839</v>
      </c>
      <c r="C342" s="25" t="s">
        <v>840</v>
      </c>
      <c r="D342" s="25" t="s">
        <v>841</v>
      </c>
      <c r="E342" s="26" t="s">
        <v>43</v>
      </c>
      <c r="F342" s="27" t="s">
        <v>43</v>
      </c>
      <c r="G342" s="28" t="s">
        <v>43</v>
      </c>
      <c r="H342" s="29"/>
      <c r="I342" s="29" t="s">
        <v>44</v>
      </c>
      <c r="J342" s="30">
        <v>10</v>
      </c>
      <c r="K342" s="31">
        <f>2419.5</f>
        <v>2419.5</v>
      </c>
      <c r="L342" s="32" t="s">
        <v>1110</v>
      </c>
      <c r="M342" s="31">
        <f>2537.5</f>
        <v>2537.5</v>
      </c>
      <c r="N342" s="32" t="s">
        <v>676</v>
      </c>
      <c r="O342" s="31">
        <f>2410</f>
        <v>2410</v>
      </c>
      <c r="P342" s="32" t="s">
        <v>1117</v>
      </c>
      <c r="Q342" s="31">
        <f>2515</f>
        <v>2515</v>
      </c>
      <c r="R342" s="32" t="s">
        <v>883</v>
      </c>
      <c r="S342" s="33">
        <f>2446.82</f>
        <v>2446.8200000000002</v>
      </c>
      <c r="T342" s="30">
        <f>582480</f>
        <v>582480</v>
      </c>
      <c r="U342" s="30" t="str">
        <f>"－"</f>
        <v>－</v>
      </c>
      <c r="V342" s="30">
        <f>1434711930</f>
        <v>1434711930</v>
      </c>
      <c r="W342" s="30" t="str">
        <f>"－"</f>
        <v>－</v>
      </c>
      <c r="X342" s="34">
        <f>19</f>
        <v>19</v>
      </c>
    </row>
    <row r="343" spans="1:24" x14ac:dyDescent="0.15">
      <c r="A343" s="25" t="s">
        <v>1109</v>
      </c>
      <c r="B343" s="25" t="s">
        <v>830</v>
      </c>
      <c r="C343" s="25" t="s">
        <v>831</v>
      </c>
      <c r="D343" s="25" t="s">
        <v>832</v>
      </c>
      <c r="E343" s="26" t="s">
        <v>43</v>
      </c>
      <c r="F343" s="27" t="s">
        <v>43</v>
      </c>
      <c r="G343" s="28" t="s">
        <v>43</v>
      </c>
      <c r="H343" s="29"/>
      <c r="I343" s="29" t="s">
        <v>44</v>
      </c>
      <c r="J343" s="30">
        <v>10</v>
      </c>
      <c r="K343" s="31">
        <f>5359</f>
        <v>5359</v>
      </c>
      <c r="L343" s="32" t="s">
        <v>1116</v>
      </c>
      <c r="M343" s="31">
        <f>5439</f>
        <v>5439</v>
      </c>
      <c r="N343" s="32" t="s">
        <v>676</v>
      </c>
      <c r="O343" s="31">
        <f>5255</f>
        <v>5255</v>
      </c>
      <c r="P343" s="32" t="s">
        <v>876</v>
      </c>
      <c r="Q343" s="31">
        <f>5327</f>
        <v>5327</v>
      </c>
      <c r="R343" s="32" t="s">
        <v>883</v>
      </c>
      <c r="S343" s="33">
        <f>5331.53</f>
        <v>5331.53</v>
      </c>
      <c r="T343" s="30">
        <f>4480</f>
        <v>4480</v>
      </c>
      <c r="U343" s="30" t="str">
        <f>"－"</f>
        <v>－</v>
      </c>
      <c r="V343" s="30">
        <f>23792800</f>
        <v>23792800</v>
      </c>
      <c r="W343" s="30" t="str">
        <f>"－"</f>
        <v>－</v>
      </c>
      <c r="X343" s="34">
        <f>17</f>
        <v>17</v>
      </c>
    </row>
    <row r="344" spans="1:24" x14ac:dyDescent="0.15">
      <c r="A344" s="25" t="s">
        <v>1109</v>
      </c>
      <c r="B344" s="25" t="s">
        <v>833</v>
      </c>
      <c r="C344" s="25" t="s">
        <v>834</v>
      </c>
      <c r="D344" s="25" t="s">
        <v>835</v>
      </c>
      <c r="E344" s="26" t="s">
        <v>43</v>
      </c>
      <c r="F344" s="27" t="s">
        <v>43</v>
      </c>
      <c r="G344" s="28" t="s">
        <v>43</v>
      </c>
      <c r="H344" s="29"/>
      <c r="I344" s="29" t="s">
        <v>44</v>
      </c>
      <c r="J344" s="30">
        <v>10</v>
      </c>
      <c r="K344" s="31">
        <f>4390</f>
        <v>4390</v>
      </c>
      <c r="L344" s="32" t="s">
        <v>674</v>
      </c>
      <c r="M344" s="31">
        <f>4431</f>
        <v>4431</v>
      </c>
      <c r="N344" s="32" t="s">
        <v>1124</v>
      </c>
      <c r="O344" s="31">
        <f>4290</f>
        <v>4290</v>
      </c>
      <c r="P344" s="32" t="s">
        <v>676</v>
      </c>
      <c r="Q344" s="31">
        <f>4318</f>
        <v>4318</v>
      </c>
      <c r="R344" s="32" t="s">
        <v>1111</v>
      </c>
      <c r="S344" s="33">
        <f>4339</f>
        <v>4339</v>
      </c>
      <c r="T344" s="30">
        <f>262720</f>
        <v>262720</v>
      </c>
      <c r="U344" s="30">
        <f>220840</f>
        <v>220840</v>
      </c>
      <c r="V344" s="30">
        <f>1138025508</f>
        <v>1138025508</v>
      </c>
      <c r="W344" s="30">
        <f>956441848</f>
        <v>956441848</v>
      </c>
      <c r="X344" s="34">
        <f>11</f>
        <v>11</v>
      </c>
    </row>
    <row r="345" spans="1:24" x14ac:dyDescent="0.15">
      <c r="A345" s="25" t="s">
        <v>1109</v>
      </c>
      <c r="B345" s="25" t="s">
        <v>842</v>
      </c>
      <c r="C345" s="25" t="s">
        <v>843</v>
      </c>
      <c r="D345" s="25" t="s">
        <v>844</v>
      </c>
      <c r="E345" s="26" t="s">
        <v>43</v>
      </c>
      <c r="F345" s="27" t="s">
        <v>43</v>
      </c>
      <c r="G345" s="28" t="s">
        <v>43</v>
      </c>
      <c r="H345" s="29"/>
      <c r="I345" s="29" t="s">
        <v>44</v>
      </c>
      <c r="J345" s="30">
        <v>10</v>
      </c>
      <c r="K345" s="31">
        <f>1933</f>
        <v>1933</v>
      </c>
      <c r="L345" s="32" t="s">
        <v>1110</v>
      </c>
      <c r="M345" s="31">
        <f>1944.5</f>
        <v>1944.5</v>
      </c>
      <c r="N345" s="32" t="s">
        <v>1116</v>
      </c>
      <c r="O345" s="31">
        <f>1873</f>
        <v>1873</v>
      </c>
      <c r="P345" s="32" t="s">
        <v>875</v>
      </c>
      <c r="Q345" s="31">
        <f>1912.5</f>
        <v>1912.5</v>
      </c>
      <c r="R345" s="32" t="s">
        <v>1111</v>
      </c>
      <c r="S345" s="33">
        <f>1921.39</f>
        <v>1921.39</v>
      </c>
      <c r="T345" s="30">
        <f>2400</f>
        <v>2400</v>
      </c>
      <c r="U345" s="30" t="str">
        <f>"－"</f>
        <v>－</v>
      </c>
      <c r="V345" s="30">
        <f>4598930</f>
        <v>4598930</v>
      </c>
      <c r="W345" s="30" t="str">
        <f>"－"</f>
        <v>－</v>
      </c>
      <c r="X345" s="34">
        <f>14</f>
        <v>14</v>
      </c>
    </row>
    <row r="346" spans="1:24" x14ac:dyDescent="0.15">
      <c r="A346" s="25" t="s">
        <v>1109</v>
      </c>
      <c r="B346" s="25" t="s">
        <v>845</v>
      </c>
      <c r="C346" s="25" t="s">
        <v>846</v>
      </c>
      <c r="D346" s="25" t="s">
        <v>847</v>
      </c>
      <c r="E346" s="26" t="s">
        <v>43</v>
      </c>
      <c r="F346" s="27" t="s">
        <v>43</v>
      </c>
      <c r="G346" s="28" t="s">
        <v>43</v>
      </c>
      <c r="H346" s="29"/>
      <c r="I346" s="29" t="s">
        <v>44</v>
      </c>
      <c r="J346" s="30">
        <v>1</v>
      </c>
      <c r="K346" s="31">
        <f>1244</f>
        <v>1244</v>
      </c>
      <c r="L346" s="32" t="s">
        <v>1110</v>
      </c>
      <c r="M346" s="31">
        <f>1364</f>
        <v>1364</v>
      </c>
      <c r="N346" s="32" t="s">
        <v>874</v>
      </c>
      <c r="O346" s="31">
        <f>1244</f>
        <v>1244</v>
      </c>
      <c r="P346" s="32" t="s">
        <v>1110</v>
      </c>
      <c r="Q346" s="31">
        <f>1324</f>
        <v>1324</v>
      </c>
      <c r="R346" s="32" t="s">
        <v>883</v>
      </c>
      <c r="S346" s="33">
        <f>1307.26</f>
        <v>1307.26</v>
      </c>
      <c r="T346" s="30">
        <f>5022</f>
        <v>5022</v>
      </c>
      <c r="U346" s="30" t="str">
        <f>"－"</f>
        <v>－</v>
      </c>
      <c r="V346" s="30">
        <f>6486191</f>
        <v>6486191</v>
      </c>
      <c r="W346" s="30" t="str">
        <f>"－"</f>
        <v>－</v>
      </c>
      <c r="X346" s="34">
        <f>19</f>
        <v>19</v>
      </c>
    </row>
    <row r="347" spans="1:24" x14ac:dyDescent="0.15">
      <c r="A347" s="25" t="s">
        <v>1109</v>
      </c>
      <c r="B347" s="25" t="s">
        <v>848</v>
      </c>
      <c r="C347" s="25" t="s">
        <v>849</v>
      </c>
      <c r="D347" s="25" t="s">
        <v>850</v>
      </c>
      <c r="E347" s="26" t="s">
        <v>43</v>
      </c>
      <c r="F347" s="27" t="s">
        <v>43</v>
      </c>
      <c r="G347" s="28" t="s">
        <v>43</v>
      </c>
      <c r="H347" s="29"/>
      <c r="I347" s="29" t="s">
        <v>44</v>
      </c>
      <c r="J347" s="30">
        <v>1</v>
      </c>
      <c r="K347" s="31">
        <f>1140</f>
        <v>1140</v>
      </c>
      <c r="L347" s="32" t="s">
        <v>1110</v>
      </c>
      <c r="M347" s="31">
        <f>1196</f>
        <v>1196</v>
      </c>
      <c r="N347" s="32" t="s">
        <v>1115</v>
      </c>
      <c r="O347" s="31">
        <f>1132</f>
        <v>1132</v>
      </c>
      <c r="P347" s="32" t="s">
        <v>1110</v>
      </c>
      <c r="Q347" s="31">
        <f>1181</f>
        <v>1181</v>
      </c>
      <c r="R347" s="32" t="s">
        <v>883</v>
      </c>
      <c r="S347" s="33">
        <f>1162.21</f>
        <v>1162.21</v>
      </c>
      <c r="T347" s="30">
        <f>1770197</f>
        <v>1770197</v>
      </c>
      <c r="U347" s="30">
        <f>431542</f>
        <v>431542</v>
      </c>
      <c r="V347" s="30">
        <f>2056126107</f>
        <v>2056126107</v>
      </c>
      <c r="W347" s="30">
        <f>499777445</f>
        <v>499777445</v>
      </c>
      <c r="X347" s="34">
        <f>19</f>
        <v>19</v>
      </c>
    </row>
    <row r="348" spans="1:24" x14ac:dyDescent="0.15">
      <c r="A348" s="25" t="s">
        <v>1109</v>
      </c>
      <c r="B348" s="25" t="s">
        <v>851</v>
      </c>
      <c r="C348" s="25" t="s">
        <v>852</v>
      </c>
      <c r="D348" s="25" t="s">
        <v>853</v>
      </c>
      <c r="E348" s="26" t="s">
        <v>43</v>
      </c>
      <c r="F348" s="27" t="s">
        <v>43</v>
      </c>
      <c r="G348" s="28" t="s">
        <v>43</v>
      </c>
      <c r="H348" s="29"/>
      <c r="I348" s="29" t="s">
        <v>44</v>
      </c>
      <c r="J348" s="30">
        <v>1</v>
      </c>
      <c r="K348" s="31">
        <f>997</f>
        <v>997</v>
      </c>
      <c r="L348" s="32" t="s">
        <v>1110</v>
      </c>
      <c r="M348" s="31">
        <f>1018</f>
        <v>1018</v>
      </c>
      <c r="N348" s="32" t="s">
        <v>676</v>
      </c>
      <c r="O348" s="31">
        <f>986</f>
        <v>986</v>
      </c>
      <c r="P348" s="32" t="s">
        <v>1115</v>
      </c>
      <c r="Q348" s="31">
        <f>1010</f>
        <v>1010</v>
      </c>
      <c r="R348" s="32" t="s">
        <v>883</v>
      </c>
      <c r="S348" s="33">
        <f>1002.32</f>
        <v>1002.32</v>
      </c>
      <c r="T348" s="30">
        <f>664545</f>
        <v>664545</v>
      </c>
      <c r="U348" s="30">
        <f>30</f>
        <v>30</v>
      </c>
      <c r="V348" s="30">
        <f>665458069</f>
        <v>665458069</v>
      </c>
      <c r="W348" s="30">
        <f>30285</f>
        <v>30285</v>
      </c>
      <c r="X348" s="34">
        <f>19</f>
        <v>19</v>
      </c>
    </row>
    <row r="349" spans="1:24" x14ac:dyDescent="0.15">
      <c r="A349" s="25" t="s">
        <v>1109</v>
      </c>
      <c r="B349" s="25" t="s">
        <v>858</v>
      </c>
      <c r="C349" s="25" t="s">
        <v>859</v>
      </c>
      <c r="D349" s="25" t="s">
        <v>860</v>
      </c>
      <c r="E349" s="26" t="s">
        <v>43</v>
      </c>
      <c r="F349" s="27" t="s">
        <v>43</v>
      </c>
      <c r="G349" s="28" t="s">
        <v>43</v>
      </c>
      <c r="H349" s="29"/>
      <c r="I349" s="29" t="s">
        <v>44</v>
      </c>
      <c r="J349" s="30">
        <v>1</v>
      </c>
      <c r="K349" s="31">
        <f>1071</f>
        <v>1071</v>
      </c>
      <c r="L349" s="32" t="s">
        <v>1110</v>
      </c>
      <c r="M349" s="31">
        <f>1147</f>
        <v>1147</v>
      </c>
      <c r="N349" s="32" t="s">
        <v>1123</v>
      </c>
      <c r="O349" s="31">
        <f>1064</f>
        <v>1064</v>
      </c>
      <c r="P349" s="32" t="s">
        <v>1110</v>
      </c>
      <c r="Q349" s="31">
        <f>1133</f>
        <v>1133</v>
      </c>
      <c r="R349" s="32" t="s">
        <v>883</v>
      </c>
      <c r="S349" s="33">
        <f>1115.16</f>
        <v>1115.1600000000001</v>
      </c>
      <c r="T349" s="30">
        <f>25254</f>
        <v>25254</v>
      </c>
      <c r="U349" s="30" t="str">
        <f>"－"</f>
        <v>－</v>
      </c>
      <c r="V349" s="30">
        <f>27926187</f>
        <v>27926187</v>
      </c>
      <c r="W349" s="30" t="str">
        <f>"－"</f>
        <v>－</v>
      </c>
      <c r="X349" s="34">
        <f>19</f>
        <v>19</v>
      </c>
    </row>
    <row r="350" spans="1:24" x14ac:dyDescent="0.15">
      <c r="A350" s="25" t="s">
        <v>1109</v>
      </c>
      <c r="B350" s="25" t="s">
        <v>861</v>
      </c>
      <c r="C350" s="25" t="s">
        <v>862</v>
      </c>
      <c r="D350" s="25" t="s">
        <v>863</v>
      </c>
      <c r="E350" s="26" t="s">
        <v>43</v>
      </c>
      <c r="F350" s="27" t="s">
        <v>43</v>
      </c>
      <c r="G350" s="28" t="s">
        <v>43</v>
      </c>
      <c r="H350" s="29"/>
      <c r="I350" s="29" t="s">
        <v>44</v>
      </c>
      <c r="J350" s="30">
        <v>1</v>
      </c>
      <c r="K350" s="31">
        <f>1012</f>
        <v>1012</v>
      </c>
      <c r="L350" s="32" t="s">
        <v>1110</v>
      </c>
      <c r="M350" s="31">
        <f>1050</f>
        <v>1050</v>
      </c>
      <c r="N350" s="32" t="s">
        <v>680</v>
      </c>
      <c r="O350" s="31">
        <f>1008</f>
        <v>1008</v>
      </c>
      <c r="P350" s="32" t="s">
        <v>1110</v>
      </c>
      <c r="Q350" s="31">
        <f>1040</f>
        <v>1040</v>
      </c>
      <c r="R350" s="32" t="s">
        <v>883</v>
      </c>
      <c r="S350" s="33">
        <f>1029.79</f>
        <v>1029.79</v>
      </c>
      <c r="T350" s="30">
        <f>233446</f>
        <v>233446</v>
      </c>
      <c r="U350" s="30">
        <f>104</f>
        <v>104</v>
      </c>
      <c r="V350" s="30">
        <f>240311856</f>
        <v>240311856</v>
      </c>
      <c r="W350" s="30">
        <f>109198</f>
        <v>109198</v>
      </c>
      <c r="X350" s="34">
        <f>19</f>
        <v>19</v>
      </c>
    </row>
    <row r="351" spans="1:24" x14ac:dyDescent="0.15">
      <c r="A351" s="25" t="s">
        <v>1109</v>
      </c>
      <c r="B351" s="25" t="s">
        <v>864</v>
      </c>
      <c r="C351" s="25" t="s">
        <v>865</v>
      </c>
      <c r="D351" s="25" t="s">
        <v>950</v>
      </c>
      <c r="E351" s="26" t="s">
        <v>43</v>
      </c>
      <c r="F351" s="27" t="s">
        <v>43</v>
      </c>
      <c r="G351" s="28" t="s">
        <v>43</v>
      </c>
      <c r="H351" s="29"/>
      <c r="I351" s="29" t="s">
        <v>44</v>
      </c>
      <c r="J351" s="30">
        <v>1</v>
      </c>
      <c r="K351" s="31">
        <f>35670</f>
        <v>35670</v>
      </c>
      <c r="L351" s="32" t="s">
        <v>1110</v>
      </c>
      <c r="M351" s="31">
        <f>38630</f>
        <v>38630</v>
      </c>
      <c r="N351" s="32" t="s">
        <v>1114</v>
      </c>
      <c r="O351" s="31">
        <f>35630</f>
        <v>35630</v>
      </c>
      <c r="P351" s="32" t="s">
        <v>1110</v>
      </c>
      <c r="Q351" s="31">
        <f>38220</f>
        <v>38220</v>
      </c>
      <c r="R351" s="32" t="s">
        <v>883</v>
      </c>
      <c r="S351" s="33">
        <f>37694.21</f>
        <v>37694.21</v>
      </c>
      <c r="T351" s="30">
        <f>266704</f>
        <v>266704</v>
      </c>
      <c r="U351" s="30">
        <f>89</f>
        <v>89</v>
      </c>
      <c r="V351" s="30">
        <f>10035378540</f>
        <v>10035378540</v>
      </c>
      <c r="W351" s="30">
        <f>3335600</f>
        <v>3335600</v>
      </c>
      <c r="X351" s="34">
        <f>19</f>
        <v>19</v>
      </c>
    </row>
    <row r="352" spans="1:24" x14ac:dyDescent="0.15">
      <c r="A352" s="25" t="s">
        <v>1109</v>
      </c>
      <c r="B352" s="25" t="s">
        <v>866</v>
      </c>
      <c r="C352" s="25" t="s">
        <v>867</v>
      </c>
      <c r="D352" s="25" t="s">
        <v>951</v>
      </c>
      <c r="E352" s="26" t="s">
        <v>43</v>
      </c>
      <c r="F352" s="27" t="s">
        <v>43</v>
      </c>
      <c r="G352" s="28" t="s">
        <v>43</v>
      </c>
      <c r="H352" s="29"/>
      <c r="I352" s="29" t="s">
        <v>44</v>
      </c>
      <c r="J352" s="30">
        <v>1</v>
      </c>
      <c r="K352" s="31">
        <f>26820</f>
        <v>26820</v>
      </c>
      <c r="L352" s="32" t="s">
        <v>1110</v>
      </c>
      <c r="M352" s="31">
        <f>26820</f>
        <v>26820</v>
      </c>
      <c r="N352" s="32" t="s">
        <v>1110</v>
      </c>
      <c r="O352" s="31">
        <f>24480</f>
        <v>24480</v>
      </c>
      <c r="P352" s="32" t="s">
        <v>1114</v>
      </c>
      <c r="Q352" s="31">
        <f>24735</f>
        <v>24735</v>
      </c>
      <c r="R352" s="32" t="s">
        <v>883</v>
      </c>
      <c r="S352" s="33">
        <f>25261.05</f>
        <v>25261.05</v>
      </c>
      <c r="T352" s="30">
        <f>171683</f>
        <v>171683</v>
      </c>
      <c r="U352" s="30">
        <f>11</f>
        <v>11</v>
      </c>
      <c r="V352" s="30">
        <f>4344342865</f>
        <v>4344342865</v>
      </c>
      <c r="W352" s="30">
        <f>259490</f>
        <v>259490</v>
      </c>
      <c r="X352" s="34">
        <f>19</f>
        <v>19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4458-2B64-431D-B7D1-3C6AE0CEAE82}">
  <sheetPr>
    <pageSetUpPr fitToPage="1"/>
  </sheetPr>
  <dimension ref="A1:X352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1078</v>
      </c>
      <c r="B7" s="25" t="s">
        <v>42</v>
      </c>
      <c r="C7" s="25" t="s">
        <v>896</v>
      </c>
      <c r="D7" s="25" t="s">
        <v>897</v>
      </c>
      <c r="E7" s="26" t="s">
        <v>43</v>
      </c>
      <c r="F7" s="27" t="s">
        <v>43</v>
      </c>
      <c r="G7" s="28" t="s">
        <v>43</v>
      </c>
      <c r="H7" s="29"/>
      <c r="I7" s="29" t="s">
        <v>44</v>
      </c>
      <c r="J7" s="30">
        <v>10</v>
      </c>
      <c r="K7" s="31">
        <f>2490.5</f>
        <v>2490.5</v>
      </c>
      <c r="L7" s="32" t="s">
        <v>675</v>
      </c>
      <c r="M7" s="31">
        <f>2713</f>
        <v>2713</v>
      </c>
      <c r="N7" s="32" t="s">
        <v>778</v>
      </c>
      <c r="O7" s="31">
        <f>2469</f>
        <v>2469</v>
      </c>
      <c r="P7" s="32" t="s">
        <v>675</v>
      </c>
      <c r="Q7" s="31">
        <f>2699</f>
        <v>2699</v>
      </c>
      <c r="R7" s="32" t="s">
        <v>681</v>
      </c>
      <c r="S7" s="33">
        <f>2637.26</f>
        <v>2637.26</v>
      </c>
      <c r="T7" s="30">
        <f>11510310</f>
        <v>11510310</v>
      </c>
      <c r="U7" s="30">
        <f>8882030</f>
        <v>8882030</v>
      </c>
      <c r="V7" s="30">
        <f>30178022400</f>
        <v>30178022400</v>
      </c>
      <c r="W7" s="30">
        <f>23319799250</f>
        <v>23319799250</v>
      </c>
      <c r="X7" s="34">
        <f>19</f>
        <v>19</v>
      </c>
    </row>
    <row r="8" spans="1:24" x14ac:dyDescent="0.15">
      <c r="A8" s="25" t="s">
        <v>1078</v>
      </c>
      <c r="B8" s="25" t="s">
        <v>45</v>
      </c>
      <c r="C8" s="25" t="s">
        <v>46</v>
      </c>
      <c r="D8" s="25" t="s">
        <v>47</v>
      </c>
      <c r="E8" s="26" t="s">
        <v>43</v>
      </c>
      <c r="F8" s="27" t="s">
        <v>43</v>
      </c>
      <c r="G8" s="28" t="s">
        <v>43</v>
      </c>
      <c r="H8" s="29"/>
      <c r="I8" s="29" t="s">
        <v>44</v>
      </c>
      <c r="J8" s="30">
        <v>10</v>
      </c>
      <c r="K8" s="31">
        <f>2463.5</f>
        <v>2463.5</v>
      </c>
      <c r="L8" s="32" t="s">
        <v>675</v>
      </c>
      <c r="M8" s="31">
        <f>2684.5</f>
        <v>2684.5</v>
      </c>
      <c r="N8" s="32" t="s">
        <v>778</v>
      </c>
      <c r="O8" s="31">
        <f>2441.5</f>
        <v>2441.5</v>
      </c>
      <c r="P8" s="32" t="s">
        <v>675</v>
      </c>
      <c r="Q8" s="31">
        <f>2670</f>
        <v>2670</v>
      </c>
      <c r="R8" s="32" t="s">
        <v>681</v>
      </c>
      <c r="S8" s="33">
        <f>2608.29</f>
        <v>2608.29</v>
      </c>
      <c r="T8" s="30">
        <f>58073600</f>
        <v>58073600</v>
      </c>
      <c r="U8" s="30">
        <f>9359250</f>
        <v>9359250</v>
      </c>
      <c r="V8" s="30">
        <f>151899163928</f>
        <v>151899163928</v>
      </c>
      <c r="W8" s="30">
        <f>24694546963</f>
        <v>24694546963</v>
      </c>
      <c r="X8" s="34">
        <f>19</f>
        <v>19</v>
      </c>
    </row>
    <row r="9" spans="1:24" x14ac:dyDescent="0.15">
      <c r="A9" s="25" t="s">
        <v>1078</v>
      </c>
      <c r="B9" s="25" t="s">
        <v>48</v>
      </c>
      <c r="C9" s="25" t="s">
        <v>49</v>
      </c>
      <c r="D9" s="25" t="s">
        <v>50</v>
      </c>
      <c r="E9" s="26" t="s">
        <v>43</v>
      </c>
      <c r="F9" s="27" t="s">
        <v>43</v>
      </c>
      <c r="G9" s="28" t="s">
        <v>43</v>
      </c>
      <c r="H9" s="29"/>
      <c r="I9" s="29" t="s">
        <v>44</v>
      </c>
      <c r="J9" s="30">
        <v>1</v>
      </c>
      <c r="K9" s="31">
        <f>2434</f>
        <v>2434</v>
      </c>
      <c r="L9" s="32" t="s">
        <v>675</v>
      </c>
      <c r="M9" s="31">
        <f>2654</f>
        <v>2654</v>
      </c>
      <c r="N9" s="32" t="s">
        <v>778</v>
      </c>
      <c r="O9" s="31">
        <f>2414</f>
        <v>2414</v>
      </c>
      <c r="P9" s="32" t="s">
        <v>675</v>
      </c>
      <c r="Q9" s="31">
        <f>2637</f>
        <v>2637</v>
      </c>
      <c r="R9" s="32" t="s">
        <v>681</v>
      </c>
      <c r="S9" s="33">
        <f>2578.58</f>
        <v>2578.58</v>
      </c>
      <c r="T9" s="30">
        <f>10503612</f>
        <v>10503612</v>
      </c>
      <c r="U9" s="30">
        <f>4234600</f>
        <v>4234600</v>
      </c>
      <c r="V9" s="30">
        <f>26896394743</f>
        <v>26896394743</v>
      </c>
      <c r="W9" s="30">
        <f>10729558940</f>
        <v>10729558940</v>
      </c>
      <c r="X9" s="34">
        <f>19</f>
        <v>19</v>
      </c>
    </row>
    <row r="10" spans="1:24" x14ac:dyDescent="0.15">
      <c r="A10" s="25" t="s">
        <v>1078</v>
      </c>
      <c r="B10" s="25" t="s">
        <v>51</v>
      </c>
      <c r="C10" s="25" t="s">
        <v>52</v>
      </c>
      <c r="D10" s="25" t="s">
        <v>53</v>
      </c>
      <c r="E10" s="26" t="s">
        <v>43</v>
      </c>
      <c r="F10" s="27" t="s">
        <v>43</v>
      </c>
      <c r="G10" s="28" t="s">
        <v>43</v>
      </c>
      <c r="H10" s="29"/>
      <c r="I10" s="29" t="s">
        <v>44</v>
      </c>
      <c r="J10" s="30">
        <v>1</v>
      </c>
      <c r="K10" s="31">
        <f>36190</f>
        <v>36190</v>
      </c>
      <c r="L10" s="32" t="s">
        <v>675</v>
      </c>
      <c r="M10" s="31">
        <f>38000</f>
        <v>38000</v>
      </c>
      <c r="N10" s="32" t="s">
        <v>676</v>
      </c>
      <c r="O10" s="31">
        <f>35100</f>
        <v>35100</v>
      </c>
      <c r="P10" s="32" t="s">
        <v>678</v>
      </c>
      <c r="Q10" s="31">
        <f>36640</f>
        <v>36640</v>
      </c>
      <c r="R10" s="32" t="s">
        <v>681</v>
      </c>
      <c r="S10" s="33">
        <f>36163.68</f>
        <v>36163.68</v>
      </c>
      <c r="T10" s="30">
        <f>5106</f>
        <v>5106</v>
      </c>
      <c r="U10" s="30" t="str">
        <f>"－"</f>
        <v>－</v>
      </c>
      <c r="V10" s="30">
        <f>186168740</f>
        <v>186168740</v>
      </c>
      <c r="W10" s="30" t="str">
        <f>"－"</f>
        <v>－</v>
      </c>
      <c r="X10" s="34">
        <f>19</f>
        <v>19</v>
      </c>
    </row>
    <row r="11" spans="1:24" x14ac:dyDescent="0.15">
      <c r="A11" s="25" t="s">
        <v>1078</v>
      </c>
      <c r="B11" s="25" t="s">
        <v>54</v>
      </c>
      <c r="C11" s="25" t="s">
        <v>55</v>
      </c>
      <c r="D11" s="25" t="s">
        <v>56</v>
      </c>
      <c r="E11" s="26" t="s">
        <v>43</v>
      </c>
      <c r="F11" s="27" t="s">
        <v>43</v>
      </c>
      <c r="G11" s="28" t="s">
        <v>43</v>
      </c>
      <c r="H11" s="29"/>
      <c r="I11" s="29" t="s">
        <v>44</v>
      </c>
      <c r="J11" s="30">
        <v>10</v>
      </c>
      <c r="K11" s="31">
        <f>1191</f>
        <v>1191</v>
      </c>
      <c r="L11" s="32" t="s">
        <v>675</v>
      </c>
      <c r="M11" s="31">
        <f>1341</f>
        <v>1341</v>
      </c>
      <c r="N11" s="32" t="s">
        <v>778</v>
      </c>
      <c r="O11" s="31">
        <f>1177</f>
        <v>1177</v>
      </c>
      <c r="P11" s="32" t="s">
        <v>675</v>
      </c>
      <c r="Q11" s="31">
        <f>1315</f>
        <v>1315</v>
      </c>
      <c r="R11" s="32" t="s">
        <v>681</v>
      </c>
      <c r="S11" s="33">
        <f>1282.58</f>
        <v>1282.58</v>
      </c>
      <c r="T11" s="30">
        <f>554640</f>
        <v>554640</v>
      </c>
      <c r="U11" s="30">
        <f>110810</f>
        <v>110810</v>
      </c>
      <c r="V11" s="30">
        <f>714347400</f>
        <v>714347400</v>
      </c>
      <c r="W11" s="30">
        <f>140861790</f>
        <v>140861790</v>
      </c>
      <c r="X11" s="34">
        <f>19</f>
        <v>19</v>
      </c>
    </row>
    <row r="12" spans="1:24" x14ac:dyDescent="0.15">
      <c r="A12" s="25" t="s">
        <v>1078</v>
      </c>
      <c r="B12" s="25" t="s">
        <v>57</v>
      </c>
      <c r="C12" s="25" t="s">
        <v>58</v>
      </c>
      <c r="D12" s="25" t="s">
        <v>59</v>
      </c>
      <c r="E12" s="26" t="s">
        <v>43</v>
      </c>
      <c r="F12" s="27" t="s">
        <v>43</v>
      </c>
      <c r="G12" s="28" t="s">
        <v>43</v>
      </c>
      <c r="H12" s="29"/>
      <c r="I12" s="29" t="s">
        <v>44</v>
      </c>
      <c r="J12" s="30">
        <v>1000</v>
      </c>
      <c r="K12" s="31">
        <f>406.3</f>
        <v>406.3</v>
      </c>
      <c r="L12" s="32" t="s">
        <v>675</v>
      </c>
      <c r="M12" s="31">
        <f>455</f>
        <v>455</v>
      </c>
      <c r="N12" s="32" t="s">
        <v>681</v>
      </c>
      <c r="O12" s="31">
        <f>406.3</f>
        <v>406.3</v>
      </c>
      <c r="P12" s="32" t="s">
        <v>675</v>
      </c>
      <c r="Q12" s="31">
        <f>455</f>
        <v>455</v>
      </c>
      <c r="R12" s="32" t="s">
        <v>681</v>
      </c>
      <c r="S12" s="33">
        <f>437.33</f>
        <v>437.33</v>
      </c>
      <c r="T12" s="30">
        <f>124000</f>
        <v>124000</v>
      </c>
      <c r="U12" s="30" t="str">
        <f>"－"</f>
        <v>－</v>
      </c>
      <c r="V12" s="30">
        <f>54351800</f>
        <v>54351800</v>
      </c>
      <c r="W12" s="30" t="str">
        <f>"－"</f>
        <v>－</v>
      </c>
      <c r="X12" s="34">
        <f>19</f>
        <v>19</v>
      </c>
    </row>
    <row r="13" spans="1:24" x14ac:dyDescent="0.15">
      <c r="A13" s="25" t="s">
        <v>1078</v>
      </c>
      <c r="B13" s="25" t="s">
        <v>60</v>
      </c>
      <c r="C13" s="25" t="s">
        <v>898</v>
      </c>
      <c r="D13" s="25" t="s">
        <v>899</v>
      </c>
      <c r="E13" s="26" t="s">
        <v>43</v>
      </c>
      <c r="F13" s="27" t="s">
        <v>43</v>
      </c>
      <c r="G13" s="28" t="s">
        <v>43</v>
      </c>
      <c r="H13" s="29"/>
      <c r="I13" s="29" t="s">
        <v>44</v>
      </c>
      <c r="J13" s="30">
        <v>1</v>
      </c>
      <c r="K13" s="31">
        <f>34110</f>
        <v>34110</v>
      </c>
      <c r="L13" s="32" t="s">
        <v>675</v>
      </c>
      <c r="M13" s="31">
        <f>38220</f>
        <v>38220</v>
      </c>
      <c r="N13" s="32" t="s">
        <v>778</v>
      </c>
      <c r="O13" s="31">
        <f>33780</f>
        <v>33780</v>
      </c>
      <c r="P13" s="32" t="s">
        <v>675</v>
      </c>
      <c r="Q13" s="31">
        <f>37480</f>
        <v>37480</v>
      </c>
      <c r="R13" s="32" t="s">
        <v>681</v>
      </c>
      <c r="S13" s="33">
        <f>36635.26</f>
        <v>36635.26</v>
      </c>
      <c r="T13" s="30">
        <f>3755422</f>
        <v>3755422</v>
      </c>
      <c r="U13" s="30">
        <f>2614867</f>
        <v>2614867</v>
      </c>
      <c r="V13" s="30">
        <f>138097440771</f>
        <v>138097440771</v>
      </c>
      <c r="W13" s="30">
        <f>96563992681</f>
        <v>96563992681</v>
      </c>
      <c r="X13" s="34">
        <f>19</f>
        <v>19</v>
      </c>
    </row>
    <row r="14" spans="1:24" x14ac:dyDescent="0.15">
      <c r="A14" s="25" t="s">
        <v>1078</v>
      </c>
      <c r="B14" s="25" t="s">
        <v>61</v>
      </c>
      <c r="C14" s="25" t="s">
        <v>62</v>
      </c>
      <c r="D14" s="25" t="s">
        <v>63</v>
      </c>
      <c r="E14" s="26" t="s">
        <v>43</v>
      </c>
      <c r="F14" s="27" t="s">
        <v>43</v>
      </c>
      <c r="G14" s="28" t="s">
        <v>43</v>
      </c>
      <c r="H14" s="29"/>
      <c r="I14" s="29" t="s">
        <v>44</v>
      </c>
      <c r="J14" s="30">
        <v>1</v>
      </c>
      <c r="K14" s="31">
        <f>34240</f>
        <v>34240</v>
      </c>
      <c r="L14" s="32" t="s">
        <v>675</v>
      </c>
      <c r="M14" s="31">
        <f>38370</f>
        <v>38370</v>
      </c>
      <c r="N14" s="32" t="s">
        <v>778</v>
      </c>
      <c r="O14" s="31">
        <f>33910</f>
        <v>33910</v>
      </c>
      <c r="P14" s="32" t="s">
        <v>675</v>
      </c>
      <c r="Q14" s="31">
        <f>37640</f>
        <v>37640</v>
      </c>
      <c r="R14" s="32" t="s">
        <v>681</v>
      </c>
      <c r="S14" s="33">
        <f>36783.16</f>
        <v>36783.160000000003</v>
      </c>
      <c r="T14" s="30">
        <f>9256663</f>
        <v>9256663</v>
      </c>
      <c r="U14" s="30">
        <f>931352</f>
        <v>931352</v>
      </c>
      <c r="V14" s="30">
        <f>341024426431</f>
        <v>341024426431</v>
      </c>
      <c r="W14" s="30">
        <f>34698884681</f>
        <v>34698884681</v>
      </c>
      <c r="X14" s="34">
        <f>19</f>
        <v>19</v>
      </c>
    </row>
    <row r="15" spans="1:24" x14ac:dyDescent="0.15">
      <c r="A15" s="25" t="s">
        <v>1078</v>
      </c>
      <c r="B15" s="25" t="s">
        <v>64</v>
      </c>
      <c r="C15" s="25" t="s">
        <v>65</v>
      </c>
      <c r="D15" s="25" t="s">
        <v>66</v>
      </c>
      <c r="E15" s="26" t="s">
        <v>43</v>
      </c>
      <c r="F15" s="27" t="s">
        <v>43</v>
      </c>
      <c r="G15" s="28" t="s">
        <v>43</v>
      </c>
      <c r="H15" s="29"/>
      <c r="I15" s="29" t="s">
        <v>44</v>
      </c>
      <c r="J15" s="30">
        <v>10</v>
      </c>
      <c r="K15" s="31">
        <f>6897</f>
        <v>6897</v>
      </c>
      <c r="L15" s="32" t="s">
        <v>675</v>
      </c>
      <c r="M15" s="31">
        <f>7800</f>
        <v>7800</v>
      </c>
      <c r="N15" s="32" t="s">
        <v>676</v>
      </c>
      <c r="O15" s="31">
        <f>6667</f>
        <v>6667</v>
      </c>
      <c r="P15" s="32" t="s">
        <v>760</v>
      </c>
      <c r="Q15" s="31">
        <f>6776</f>
        <v>6776</v>
      </c>
      <c r="R15" s="32" t="s">
        <v>681</v>
      </c>
      <c r="S15" s="33">
        <f>6866.42</f>
        <v>6866.42</v>
      </c>
      <c r="T15" s="30">
        <f>30160</f>
        <v>30160</v>
      </c>
      <c r="U15" s="30" t="str">
        <f>"－"</f>
        <v>－</v>
      </c>
      <c r="V15" s="30">
        <f>210131480</f>
        <v>210131480</v>
      </c>
      <c r="W15" s="30" t="str">
        <f>"－"</f>
        <v>－</v>
      </c>
      <c r="X15" s="34">
        <f>19</f>
        <v>19</v>
      </c>
    </row>
    <row r="16" spans="1:24" x14ac:dyDescent="0.15">
      <c r="A16" s="25" t="s">
        <v>1078</v>
      </c>
      <c r="B16" s="25" t="s">
        <v>67</v>
      </c>
      <c r="C16" s="25" t="s">
        <v>810</v>
      </c>
      <c r="D16" s="25" t="s">
        <v>811</v>
      </c>
      <c r="E16" s="26" t="s">
        <v>43</v>
      </c>
      <c r="F16" s="27" t="s">
        <v>43</v>
      </c>
      <c r="G16" s="28" t="s">
        <v>43</v>
      </c>
      <c r="H16" s="29"/>
      <c r="I16" s="29" t="s">
        <v>44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x14ac:dyDescent="0.15">
      <c r="A17" s="25" t="s">
        <v>1078</v>
      </c>
      <c r="B17" s="25" t="s">
        <v>68</v>
      </c>
      <c r="C17" s="25" t="s">
        <v>69</v>
      </c>
      <c r="D17" s="25" t="s">
        <v>70</v>
      </c>
      <c r="E17" s="26" t="s">
        <v>43</v>
      </c>
      <c r="F17" s="27" t="s">
        <v>43</v>
      </c>
      <c r="G17" s="28" t="s">
        <v>43</v>
      </c>
      <c r="H17" s="29"/>
      <c r="I17" s="29" t="s">
        <v>44</v>
      </c>
      <c r="J17" s="30">
        <v>100</v>
      </c>
      <c r="K17" s="31">
        <f>249.7</f>
        <v>249.7</v>
      </c>
      <c r="L17" s="32" t="s">
        <v>675</v>
      </c>
      <c r="M17" s="31">
        <f>252</f>
        <v>252</v>
      </c>
      <c r="N17" s="32" t="s">
        <v>760</v>
      </c>
      <c r="O17" s="31">
        <f>241</f>
        <v>241</v>
      </c>
      <c r="P17" s="32" t="s">
        <v>676</v>
      </c>
      <c r="Q17" s="31">
        <f>247.9</f>
        <v>247.9</v>
      </c>
      <c r="R17" s="32" t="s">
        <v>681</v>
      </c>
      <c r="S17" s="33">
        <f>247.5</f>
        <v>247.5</v>
      </c>
      <c r="T17" s="30">
        <f>708400</f>
        <v>708400</v>
      </c>
      <c r="U17" s="30">
        <f>3700</f>
        <v>3700</v>
      </c>
      <c r="V17" s="30">
        <f>175381440</f>
        <v>175381440</v>
      </c>
      <c r="W17" s="30">
        <f>915110</f>
        <v>915110</v>
      </c>
      <c r="X17" s="34">
        <f>19</f>
        <v>19</v>
      </c>
    </row>
    <row r="18" spans="1:24" x14ac:dyDescent="0.15">
      <c r="A18" s="25" t="s">
        <v>1078</v>
      </c>
      <c r="B18" s="25" t="s">
        <v>71</v>
      </c>
      <c r="C18" s="25" t="s">
        <v>72</v>
      </c>
      <c r="D18" s="25" t="s">
        <v>73</v>
      </c>
      <c r="E18" s="26" t="s">
        <v>43</v>
      </c>
      <c r="F18" s="27" t="s">
        <v>43</v>
      </c>
      <c r="G18" s="28" t="s">
        <v>43</v>
      </c>
      <c r="H18" s="29"/>
      <c r="I18" s="29" t="s">
        <v>44</v>
      </c>
      <c r="J18" s="30">
        <v>1</v>
      </c>
      <c r="K18" s="31">
        <f>27105</f>
        <v>27105</v>
      </c>
      <c r="L18" s="32" t="s">
        <v>675</v>
      </c>
      <c r="M18" s="31">
        <f>27895</f>
        <v>27895</v>
      </c>
      <c r="N18" s="32" t="s">
        <v>683</v>
      </c>
      <c r="O18" s="31">
        <f>27035</f>
        <v>27035</v>
      </c>
      <c r="P18" s="32" t="s">
        <v>876</v>
      </c>
      <c r="Q18" s="31">
        <f>27850</f>
        <v>27850</v>
      </c>
      <c r="R18" s="32" t="s">
        <v>681</v>
      </c>
      <c r="S18" s="33">
        <f>27587.37</f>
        <v>27587.37</v>
      </c>
      <c r="T18" s="30">
        <f>89561</f>
        <v>89561</v>
      </c>
      <c r="U18" s="30" t="str">
        <f>"－"</f>
        <v>－</v>
      </c>
      <c r="V18" s="30">
        <f>2466847210</f>
        <v>2466847210</v>
      </c>
      <c r="W18" s="30" t="str">
        <f>"－"</f>
        <v>－</v>
      </c>
      <c r="X18" s="34">
        <f>19</f>
        <v>19</v>
      </c>
    </row>
    <row r="19" spans="1:24" x14ac:dyDescent="0.15">
      <c r="A19" s="25" t="s">
        <v>1078</v>
      </c>
      <c r="B19" s="25" t="s">
        <v>74</v>
      </c>
      <c r="C19" s="25" t="s">
        <v>75</v>
      </c>
      <c r="D19" s="25" t="s">
        <v>76</v>
      </c>
      <c r="E19" s="26" t="s">
        <v>43</v>
      </c>
      <c r="F19" s="27" t="s">
        <v>43</v>
      </c>
      <c r="G19" s="28" t="s">
        <v>43</v>
      </c>
      <c r="H19" s="29"/>
      <c r="I19" s="29" t="s">
        <v>44</v>
      </c>
      <c r="J19" s="30">
        <v>10</v>
      </c>
      <c r="K19" s="31">
        <f>7189</f>
        <v>7189</v>
      </c>
      <c r="L19" s="32" t="s">
        <v>675</v>
      </c>
      <c r="M19" s="31">
        <f>7401</f>
        <v>7401</v>
      </c>
      <c r="N19" s="32" t="s">
        <v>683</v>
      </c>
      <c r="O19" s="31">
        <f>7176</f>
        <v>7176</v>
      </c>
      <c r="P19" s="32" t="s">
        <v>675</v>
      </c>
      <c r="Q19" s="31">
        <f>7381</f>
        <v>7381</v>
      </c>
      <c r="R19" s="32" t="s">
        <v>681</v>
      </c>
      <c r="S19" s="33">
        <f>7323.84</f>
        <v>7323.84</v>
      </c>
      <c r="T19" s="30">
        <f>215470</f>
        <v>215470</v>
      </c>
      <c r="U19" s="30">
        <f>10110</f>
        <v>10110</v>
      </c>
      <c r="V19" s="30">
        <f>1575971410</f>
        <v>1575971410</v>
      </c>
      <c r="W19" s="30">
        <f>74441580</f>
        <v>74441580</v>
      </c>
      <c r="X19" s="34">
        <f>19</f>
        <v>19</v>
      </c>
    </row>
    <row r="20" spans="1:24" x14ac:dyDescent="0.15">
      <c r="A20" s="25" t="s">
        <v>1078</v>
      </c>
      <c r="B20" s="25" t="s">
        <v>77</v>
      </c>
      <c r="C20" s="25" t="s">
        <v>78</v>
      </c>
      <c r="D20" s="25" t="s">
        <v>79</v>
      </c>
      <c r="E20" s="26" t="s">
        <v>43</v>
      </c>
      <c r="F20" s="27" t="s">
        <v>43</v>
      </c>
      <c r="G20" s="28" t="s">
        <v>43</v>
      </c>
      <c r="H20" s="29"/>
      <c r="I20" s="29" t="s">
        <v>44</v>
      </c>
      <c r="J20" s="30">
        <v>1</v>
      </c>
      <c r="K20" s="31">
        <f>34410</f>
        <v>34410</v>
      </c>
      <c r="L20" s="32" t="s">
        <v>675</v>
      </c>
      <c r="M20" s="31">
        <f>38560</f>
        <v>38560</v>
      </c>
      <c r="N20" s="32" t="s">
        <v>778</v>
      </c>
      <c r="O20" s="31">
        <f>34060</f>
        <v>34060</v>
      </c>
      <c r="P20" s="32" t="s">
        <v>675</v>
      </c>
      <c r="Q20" s="31">
        <f>37890</f>
        <v>37890</v>
      </c>
      <c r="R20" s="32" t="s">
        <v>681</v>
      </c>
      <c r="S20" s="33">
        <f>36969.47</f>
        <v>36969.47</v>
      </c>
      <c r="T20" s="30">
        <f>1162770</f>
        <v>1162770</v>
      </c>
      <c r="U20" s="30">
        <f>129218</f>
        <v>129218</v>
      </c>
      <c r="V20" s="30">
        <f>42500639199</f>
        <v>42500639199</v>
      </c>
      <c r="W20" s="30">
        <f>4526947479</f>
        <v>4526947479</v>
      </c>
      <c r="X20" s="34">
        <f>19</f>
        <v>19</v>
      </c>
    </row>
    <row r="21" spans="1:24" x14ac:dyDescent="0.15">
      <c r="A21" s="25" t="s">
        <v>1078</v>
      </c>
      <c r="B21" s="25" t="s">
        <v>80</v>
      </c>
      <c r="C21" s="25" t="s">
        <v>81</v>
      </c>
      <c r="D21" s="25" t="s">
        <v>82</v>
      </c>
      <c r="E21" s="26" t="s">
        <v>43</v>
      </c>
      <c r="F21" s="27" t="s">
        <v>43</v>
      </c>
      <c r="G21" s="28" t="s">
        <v>43</v>
      </c>
      <c r="H21" s="29"/>
      <c r="I21" s="29" t="s">
        <v>44</v>
      </c>
      <c r="J21" s="30">
        <v>1</v>
      </c>
      <c r="K21" s="31">
        <f>34300</f>
        <v>34300</v>
      </c>
      <c r="L21" s="32" t="s">
        <v>675</v>
      </c>
      <c r="M21" s="31">
        <f>38400</f>
        <v>38400</v>
      </c>
      <c r="N21" s="32" t="s">
        <v>778</v>
      </c>
      <c r="O21" s="31">
        <f>33950</f>
        <v>33950</v>
      </c>
      <c r="P21" s="32" t="s">
        <v>675</v>
      </c>
      <c r="Q21" s="31">
        <f>37670</f>
        <v>37670</v>
      </c>
      <c r="R21" s="32" t="s">
        <v>681</v>
      </c>
      <c r="S21" s="33">
        <f>36821.58</f>
        <v>36821.58</v>
      </c>
      <c r="T21" s="30">
        <f>972673</f>
        <v>972673</v>
      </c>
      <c r="U21" s="30">
        <f>193221</f>
        <v>193221</v>
      </c>
      <c r="V21" s="30">
        <f>35570462575</f>
        <v>35570462575</v>
      </c>
      <c r="W21" s="30">
        <f>7099316585</f>
        <v>7099316585</v>
      </c>
      <c r="X21" s="34">
        <f>19</f>
        <v>19</v>
      </c>
    </row>
    <row r="22" spans="1:24" x14ac:dyDescent="0.15">
      <c r="A22" s="25" t="s">
        <v>1078</v>
      </c>
      <c r="B22" s="25" t="s">
        <v>1079</v>
      </c>
      <c r="C22" s="25" t="s">
        <v>1080</v>
      </c>
      <c r="D22" s="25" t="s">
        <v>1081</v>
      </c>
      <c r="E22" s="26" t="s">
        <v>672</v>
      </c>
      <c r="F22" s="27" t="s">
        <v>673</v>
      </c>
      <c r="G22" s="28" t="s">
        <v>1082</v>
      </c>
      <c r="H22" s="29"/>
      <c r="I22" s="29" t="s">
        <v>44</v>
      </c>
      <c r="J22" s="30">
        <v>1</v>
      </c>
      <c r="K22" s="31">
        <f>1003</f>
        <v>1003</v>
      </c>
      <c r="L22" s="32" t="s">
        <v>681</v>
      </c>
      <c r="M22" s="31">
        <f>1005</f>
        <v>1005</v>
      </c>
      <c r="N22" s="32" t="s">
        <v>681</v>
      </c>
      <c r="O22" s="31">
        <f>999</f>
        <v>999</v>
      </c>
      <c r="P22" s="32" t="s">
        <v>681</v>
      </c>
      <c r="Q22" s="31">
        <f>1003</f>
        <v>1003</v>
      </c>
      <c r="R22" s="32" t="s">
        <v>681</v>
      </c>
      <c r="S22" s="33">
        <f>1003</f>
        <v>1003</v>
      </c>
      <c r="T22" s="30">
        <f>8802</f>
        <v>8802</v>
      </c>
      <c r="U22" s="30" t="str">
        <f>"－"</f>
        <v>－</v>
      </c>
      <c r="V22" s="30">
        <f>8817419</f>
        <v>8817419</v>
      </c>
      <c r="W22" s="30" t="str">
        <f>"－"</f>
        <v>－</v>
      </c>
      <c r="X22" s="34">
        <f>1</f>
        <v>1</v>
      </c>
    </row>
    <row r="23" spans="1:24" x14ac:dyDescent="0.15">
      <c r="A23" s="25" t="s">
        <v>1078</v>
      </c>
      <c r="B23" s="25" t="s">
        <v>83</v>
      </c>
      <c r="C23" s="25" t="s">
        <v>967</v>
      </c>
      <c r="D23" s="25" t="s">
        <v>84</v>
      </c>
      <c r="E23" s="26" t="s">
        <v>43</v>
      </c>
      <c r="F23" s="27" t="s">
        <v>43</v>
      </c>
      <c r="G23" s="28" t="s">
        <v>43</v>
      </c>
      <c r="H23" s="29"/>
      <c r="I23" s="29" t="s">
        <v>44</v>
      </c>
      <c r="J23" s="30">
        <v>10</v>
      </c>
      <c r="K23" s="31">
        <f>1956.5</f>
        <v>1956.5</v>
      </c>
      <c r="L23" s="32" t="s">
        <v>675</v>
      </c>
      <c r="M23" s="31">
        <f>1992.5</f>
        <v>1992.5</v>
      </c>
      <c r="N23" s="32" t="s">
        <v>778</v>
      </c>
      <c r="O23" s="31">
        <f>1933.5</f>
        <v>1933.5</v>
      </c>
      <c r="P23" s="32" t="s">
        <v>675</v>
      </c>
      <c r="Q23" s="31">
        <f>1953</f>
        <v>1953</v>
      </c>
      <c r="R23" s="32" t="s">
        <v>681</v>
      </c>
      <c r="S23" s="33">
        <f>1963.84</f>
        <v>1963.84</v>
      </c>
      <c r="T23" s="30">
        <f>8669670</f>
        <v>8669670</v>
      </c>
      <c r="U23" s="30">
        <f>2272370</f>
        <v>2272370</v>
      </c>
      <c r="V23" s="30">
        <f>16998865926</f>
        <v>16998865926</v>
      </c>
      <c r="W23" s="30">
        <f>4439962901</f>
        <v>4439962901</v>
      </c>
      <c r="X23" s="34">
        <f>19</f>
        <v>19</v>
      </c>
    </row>
    <row r="24" spans="1:24" x14ac:dyDescent="0.15">
      <c r="A24" s="25" t="s">
        <v>1078</v>
      </c>
      <c r="B24" s="25" t="s">
        <v>85</v>
      </c>
      <c r="C24" s="25" t="s">
        <v>86</v>
      </c>
      <c r="D24" s="25" t="s">
        <v>968</v>
      </c>
      <c r="E24" s="26" t="s">
        <v>43</v>
      </c>
      <c r="F24" s="27" t="s">
        <v>43</v>
      </c>
      <c r="G24" s="28" t="s">
        <v>43</v>
      </c>
      <c r="H24" s="29"/>
      <c r="I24" s="29" t="s">
        <v>44</v>
      </c>
      <c r="J24" s="30">
        <v>100</v>
      </c>
      <c r="K24" s="31">
        <f>1830</f>
        <v>1830</v>
      </c>
      <c r="L24" s="32" t="s">
        <v>675</v>
      </c>
      <c r="M24" s="31">
        <f>1865</f>
        <v>1865</v>
      </c>
      <c r="N24" s="32" t="s">
        <v>760</v>
      </c>
      <c r="O24" s="31">
        <f>1812</f>
        <v>1812</v>
      </c>
      <c r="P24" s="32" t="s">
        <v>675</v>
      </c>
      <c r="Q24" s="31">
        <f>1828</f>
        <v>1828</v>
      </c>
      <c r="R24" s="32" t="s">
        <v>681</v>
      </c>
      <c r="S24" s="33">
        <f>1839.26</f>
        <v>1839.26</v>
      </c>
      <c r="T24" s="30">
        <f>4861000</f>
        <v>4861000</v>
      </c>
      <c r="U24" s="30">
        <f>457200</f>
        <v>457200</v>
      </c>
      <c r="V24" s="30">
        <f>8953214523</f>
        <v>8953214523</v>
      </c>
      <c r="W24" s="30">
        <f>844180173</f>
        <v>844180173</v>
      </c>
      <c r="X24" s="34">
        <f>19</f>
        <v>19</v>
      </c>
    </row>
    <row r="25" spans="1:24" x14ac:dyDescent="0.15">
      <c r="A25" s="25" t="s">
        <v>1078</v>
      </c>
      <c r="B25" s="25" t="s">
        <v>87</v>
      </c>
      <c r="C25" s="25" t="s">
        <v>88</v>
      </c>
      <c r="D25" s="25" t="s">
        <v>969</v>
      </c>
      <c r="E25" s="26" t="s">
        <v>43</v>
      </c>
      <c r="F25" s="27" t="s">
        <v>43</v>
      </c>
      <c r="G25" s="28" t="s">
        <v>43</v>
      </c>
      <c r="H25" s="29"/>
      <c r="I25" s="29" t="s">
        <v>44</v>
      </c>
      <c r="J25" s="30">
        <v>1</v>
      </c>
      <c r="K25" s="31">
        <f>34330</f>
        <v>34330</v>
      </c>
      <c r="L25" s="32" t="s">
        <v>675</v>
      </c>
      <c r="M25" s="31">
        <f>38170</f>
        <v>38170</v>
      </c>
      <c r="N25" s="32" t="s">
        <v>778</v>
      </c>
      <c r="O25" s="31">
        <f>34000</f>
        <v>34000</v>
      </c>
      <c r="P25" s="32" t="s">
        <v>675</v>
      </c>
      <c r="Q25" s="31">
        <f>37440</f>
        <v>37440</v>
      </c>
      <c r="R25" s="32" t="s">
        <v>681</v>
      </c>
      <c r="S25" s="33">
        <f>36686.32</f>
        <v>36686.32</v>
      </c>
      <c r="T25" s="30">
        <f>1437102</f>
        <v>1437102</v>
      </c>
      <c r="U25" s="30">
        <f>854820</f>
        <v>854820</v>
      </c>
      <c r="V25" s="30">
        <f>53206753164</f>
        <v>53206753164</v>
      </c>
      <c r="W25" s="30">
        <f>31898592264</f>
        <v>31898592264</v>
      </c>
      <c r="X25" s="34">
        <f>19</f>
        <v>19</v>
      </c>
    </row>
    <row r="26" spans="1:24" x14ac:dyDescent="0.15">
      <c r="A26" s="25" t="s">
        <v>1078</v>
      </c>
      <c r="B26" s="25" t="s">
        <v>89</v>
      </c>
      <c r="C26" s="25" t="s">
        <v>90</v>
      </c>
      <c r="D26" s="25" t="s">
        <v>91</v>
      </c>
      <c r="E26" s="26" t="s">
        <v>43</v>
      </c>
      <c r="F26" s="27" t="s">
        <v>43</v>
      </c>
      <c r="G26" s="28" t="s">
        <v>43</v>
      </c>
      <c r="H26" s="29"/>
      <c r="I26" s="29" t="s">
        <v>44</v>
      </c>
      <c r="J26" s="30">
        <v>10</v>
      </c>
      <c r="K26" s="31">
        <f>2462</f>
        <v>2462</v>
      </c>
      <c r="L26" s="32" t="s">
        <v>675</v>
      </c>
      <c r="M26" s="31">
        <f>2655</f>
        <v>2655</v>
      </c>
      <c r="N26" s="32" t="s">
        <v>778</v>
      </c>
      <c r="O26" s="31">
        <f>2439</f>
        <v>2439</v>
      </c>
      <c r="P26" s="32" t="s">
        <v>675</v>
      </c>
      <c r="Q26" s="31">
        <f>2639</f>
        <v>2639</v>
      </c>
      <c r="R26" s="32" t="s">
        <v>681</v>
      </c>
      <c r="S26" s="33">
        <f>2588.47</f>
        <v>2588.4699999999998</v>
      </c>
      <c r="T26" s="30">
        <f>3300980</f>
        <v>3300980</v>
      </c>
      <c r="U26" s="30">
        <f>104900</f>
        <v>104900</v>
      </c>
      <c r="V26" s="30">
        <f>8518983590</f>
        <v>8518983590</v>
      </c>
      <c r="W26" s="30">
        <f>272101500</f>
        <v>272101500</v>
      </c>
      <c r="X26" s="34">
        <f>19</f>
        <v>19</v>
      </c>
    </row>
    <row r="27" spans="1:24" x14ac:dyDescent="0.15">
      <c r="A27" s="25" t="s">
        <v>1078</v>
      </c>
      <c r="B27" s="25" t="s">
        <v>92</v>
      </c>
      <c r="C27" s="25" t="s">
        <v>93</v>
      </c>
      <c r="D27" s="25" t="s">
        <v>94</v>
      </c>
      <c r="E27" s="26" t="s">
        <v>43</v>
      </c>
      <c r="F27" s="27" t="s">
        <v>43</v>
      </c>
      <c r="G27" s="28" t="s">
        <v>43</v>
      </c>
      <c r="H27" s="29"/>
      <c r="I27" s="29" t="s">
        <v>44</v>
      </c>
      <c r="J27" s="30">
        <v>1</v>
      </c>
      <c r="K27" s="31">
        <f>15465</f>
        <v>15465</v>
      </c>
      <c r="L27" s="32" t="s">
        <v>675</v>
      </c>
      <c r="M27" s="31">
        <f>15945</f>
        <v>15945</v>
      </c>
      <c r="N27" s="32" t="s">
        <v>678</v>
      </c>
      <c r="O27" s="31">
        <f>15465</f>
        <v>15465</v>
      </c>
      <c r="P27" s="32" t="s">
        <v>675</v>
      </c>
      <c r="Q27" s="31">
        <f>15605</f>
        <v>15605</v>
      </c>
      <c r="R27" s="32" t="s">
        <v>681</v>
      </c>
      <c r="S27" s="33">
        <f>15712.78</f>
        <v>15712.78</v>
      </c>
      <c r="T27" s="30">
        <f>1142</f>
        <v>1142</v>
      </c>
      <c r="U27" s="30" t="str">
        <f>"－"</f>
        <v>－</v>
      </c>
      <c r="V27" s="30">
        <f>17947130</f>
        <v>17947130</v>
      </c>
      <c r="W27" s="30" t="str">
        <f>"－"</f>
        <v>－</v>
      </c>
      <c r="X27" s="34">
        <f>18</f>
        <v>18</v>
      </c>
    </row>
    <row r="28" spans="1:24" x14ac:dyDescent="0.15">
      <c r="A28" s="25" t="s">
        <v>1078</v>
      </c>
      <c r="B28" s="25" t="s">
        <v>95</v>
      </c>
      <c r="C28" s="25" t="s">
        <v>96</v>
      </c>
      <c r="D28" s="25" t="s">
        <v>97</v>
      </c>
      <c r="E28" s="26" t="s">
        <v>43</v>
      </c>
      <c r="F28" s="27" t="s">
        <v>43</v>
      </c>
      <c r="G28" s="28" t="s">
        <v>43</v>
      </c>
      <c r="H28" s="29"/>
      <c r="I28" s="29" t="s">
        <v>44</v>
      </c>
      <c r="J28" s="30">
        <v>10</v>
      </c>
      <c r="K28" s="31">
        <f>546.6</f>
        <v>546.6</v>
      </c>
      <c r="L28" s="32" t="s">
        <v>675</v>
      </c>
      <c r="M28" s="31">
        <f>556</f>
        <v>556</v>
      </c>
      <c r="N28" s="32" t="s">
        <v>675</v>
      </c>
      <c r="O28" s="31">
        <f>458.1</f>
        <v>458.1</v>
      </c>
      <c r="P28" s="32" t="s">
        <v>778</v>
      </c>
      <c r="Q28" s="31">
        <f>463.1</f>
        <v>463.1</v>
      </c>
      <c r="R28" s="32" t="s">
        <v>681</v>
      </c>
      <c r="S28" s="33">
        <f>486.26</f>
        <v>486.26</v>
      </c>
      <c r="T28" s="30">
        <f>29415850</f>
        <v>29415850</v>
      </c>
      <c r="U28" s="30">
        <f>891600</f>
        <v>891600</v>
      </c>
      <c r="V28" s="30">
        <f>14312494340</f>
        <v>14312494340</v>
      </c>
      <c r="W28" s="30">
        <f>418210980</f>
        <v>418210980</v>
      </c>
      <c r="X28" s="34">
        <f>19</f>
        <v>19</v>
      </c>
    </row>
    <row r="29" spans="1:24" x14ac:dyDescent="0.15">
      <c r="A29" s="25" t="s">
        <v>1078</v>
      </c>
      <c r="B29" s="25" t="s">
        <v>98</v>
      </c>
      <c r="C29" s="25" t="s">
        <v>99</v>
      </c>
      <c r="D29" s="25" t="s">
        <v>970</v>
      </c>
      <c r="E29" s="26" t="s">
        <v>43</v>
      </c>
      <c r="F29" s="27" t="s">
        <v>43</v>
      </c>
      <c r="G29" s="28" t="s">
        <v>43</v>
      </c>
      <c r="H29" s="29"/>
      <c r="I29" s="29" t="s">
        <v>44</v>
      </c>
      <c r="J29" s="30">
        <v>1</v>
      </c>
      <c r="K29" s="31">
        <f>214</f>
        <v>214</v>
      </c>
      <c r="L29" s="32" t="s">
        <v>675</v>
      </c>
      <c r="M29" s="31">
        <f>218</f>
        <v>218</v>
      </c>
      <c r="N29" s="32" t="s">
        <v>675</v>
      </c>
      <c r="O29" s="31">
        <f>169</f>
        <v>169</v>
      </c>
      <c r="P29" s="32" t="s">
        <v>778</v>
      </c>
      <c r="Q29" s="31">
        <f>175</f>
        <v>175</v>
      </c>
      <c r="R29" s="32" t="s">
        <v>681</v>
      </c>
      <c r="S29" s="33">
        <f>184.74</f>
        <v>184.74</v>
      </c>
      <c r="T29" s="30">
        <f>1642511386</f>
        <v>1642511386</v>
      </c>
      <c r="U29" s="30">
        <f>3879429</f>
        <v>3879429</v>
      </c>
      <c r="V29" s="30">
        <f>305634963713</f>
        <v>305634963713</v>
      </c>
      <c r="W29" s="30">
        <f>720773670</f>
        <v>720773670</v>
      </c>
      <c r="X29" s="34">
        <f>19</f>
        <v>19</v>
      </c>
    </row>
    <row r="30" spans="1:24" x14ac:dyDescent="0.15">
      <c r="A30" s="25" t="s">
        <v>1078</v>
      </c>
      <c r="B30" s="25" t="s">
        <v>100</v>
      </c>
      <c r="C30" s="25" t="s">
        <v>101</v>
      </c>
      <c r="D30" s="25" t="s">
        <v>102</v>
      </c>
      <c r="E30" s="26" t="s">
        <v>43</v>
      </c>
      <c r="F30" s="27" t="s">
        <v>43</v>
      </c>
      <c r="G30" s="28" t="s">
        <v>43</v>
      </c>
      <c r="H30" s="29"/>
      <c r="I30" s="29" t="s">
        <v>44</v>
      </c>
      <c r="J30" s="30">
        <v>1</v>
      </c>
      <c r="K30" s="31">
        <f>37830</f>
        <v>37830</v>
      </c>
      <c r="L30" s="32" t="s">
        <v>675</v>
      </c>
      <c r="M30" s="31">
        <f>47710</f>
        <v>47710</v>
      </c>
      <c r="N30" s="32" t="s">
        <v>778</v>
      </c>
      <c r="O30" s="31">
        <f>37370</f>
        <v>37370</v>
      </c>
      <c r="P30" s="32" t="s">
        <v>675</v>
      </c>
      <c r="Q30" s="31">
        <f>45880</f>
        <v>45880</v>
      </c>
      <c r="R30" s="32" t="s">
        <v>681</v>
      </c>
      <c r="S30" s="33">
        <f>43910</f>
        <v>43910</v>
      </c>
      <c r="T30" s="30">
        <f>467822</f>
        <v>467822</v>
      </c>
      <c r="U30" s="30">
        <f>13</f>
        <v>13</v>
      </c>
      <c r="V30" s="30">
        <f>20345618090</f>
        <v>20345618090</v>
      </c>
      <c r="W30" s="30">
        <f>553280</f>
        <v>553280</v>
      </c>
      <c r="X30" s="34">
        <f>19</f>
        <v>19</v>
      </c>
    </row>
    <row r="31" spans="1:24" x14ac:dyDescent="0.15">
      <c r="A31" s="25" t="s">
        <v>1078</v>
      </c>
      <c r="B31" s="25" t="s">
        <v>103</v>
      </c>
      <c r="C31" s="25" t="s">
        <v>104</v>
      </c>
      <c r="D31" s="25" t="s">
        <v>105</v>
      </c>
      <c r="E31" s="26" t="s">
        <v>43</v>
      </c>
      <c r="F31" s="27" t="s">
        <v>43</v>
      </c>
      <c r="G31" s="28" t="s">
        <v>43</v>
      </c>
      <c r="H31" s="29"/>
      <c r="I31" s="29" t="s">
        <v>44</v>
      </c>
      <c r="J31" s="30">
        <v>10</v>
      </c>
      <c r="K31" s="31">
        <f>527.4</f>
        <v>527.4</v>
      </c>
      <c r="L31" s="32" t="s">
        <v>675</v>
      </c>
      <c r="M31" s="31">
        <f>532.7</f>
        <v>532.70000000000005</v>
      </c>
      <c r="N31" s="32" t="s">
        <v>675</v>
      </c>
      <c r="O31" s="31">
        <f>413.6</f>
        <v>413.6</v>
      </c>
      <c r="P31" s="32" t="s">
        <v>778</v>
      </c>
      <c r="Q31" s="31">
        <f>429.7</f>
        <v>429.7</v>
      </c>
      <c r="R31" s="32" t="s">
        <v>681</v>
      </c>
      <c r="S31" s="33">
        <f>452.24</f>
        <v>452.24</v>
      </c>
      <c r="T31" s="30">
        <f>552128140</f>
        <v>552128140</v>
      </c>
      <c r="U31" s="30">
        <f>1622470</f>
        <v>1622470</v>
      </c>
      <c r="V31" s="30">
        <f>249099488368</f>
        <v>249099488368</v>
      </c>
      <c r="W31" s="30">
        <f>716275921</f>
        <v>716275921</v>
      </c>
      <c r="X31" s="34">
        <f>19</f>
        <v>19</v>
      </c>
    </row>
    <row r="32" spans="1:24" x14ac:dyDescent="0.15">
      <c r="A32" s="25" t="s">
        <v>1078</v>
      </c>
      <c r="B32" s="25" t="s">
        <v>106</v>
      </c>
      <c r="C32" s="25" t="s">
        <v>107</v>
      </c>
      <c r="D32" s="25" t="s">
        <v>108</v>
      </c>
      <c r="E32" s="26" t="s">
        <v>43</v>
      </c>
      <c r="F32" s="27" t="s">
        <v>43</v>
      </c>
      <c r="G32" s="28" t="s">
        <v>43</v>
      </c>
      <c r="H32" s="29"/>
      <c r="I32" s="29" t="s">
        <v>44</v>
      </c>
      <c r="J32" s="30">
        <v>1</v>
      </c>
      <c r="K32" s="31">
        <f>21935</f>
        <v>21935</v>
      </c>
      <c r="L32" s="32" t="s">
        <v>675</v>
      </c>
      <c r="M32" s="31">
        <f>24275</f>
        <v>24275</v>
      </c>
      <c r="N32" s="32" t="s">
        <v>683</v>
      </c>
      <c r="O32" s="31">
        <f>21745</f>
        <v>21745</v>
      </c>
      <c r="P32" s="32" t="s">
        <v>675</v>
      </c>
      <c r="Q32" s="31">
        <f>23745</f>
        <v>23745</v>
      </c>
      <c r="R32" s="32" t="s">
        <v>681</v>
      </c>
      <c r="S32" s="33">
        <f>23303.68</f>
        <v>23303.68</v>
      </c>
      <c r="T32" s="30">
        <f>42885</f>
        <v>42885</v>
      </c>
      <c r="U32" s="30">
        <f>6205</f>
        <v>6205</v>
      </c>
      <c r="V32" s="30">
        <f>1003301915</f>
        <v>1003301915</v>
      </c>
      <c r="W32" s="30">
        <f>143408550</f>
        <v>143408550</v>
      </c>
      <c r="X32" s="34">
        <f>19</f>
        <v>19</v>
      </c>
    </row>
    <row r="33" spans="1:24" x14ac:dyDescent="0.15">
      <c r="A33" s="25" t="s">
        <v>1078</v>
      </c>
      <c r="B33" s="25" t="s">
        <v>109</v>
      </c>
      <c r="C33" s="25" t="s">
        <v>900</v>
      </c>
      <c r="D33" s="25" t="s">
        <v>901</v>
      </c>
      <c r="E33" s="26" t="s">
        <v>43</v>
      </c>
      <c r="F33" s="27" t="s">
        <v>43</v>
      </c>
      <c r="G33" s="28" t="s">
        <v>43</v>
      </c>
      <c r="H33" s="29"/>
      <c r="I33" s="29" t="s">
        <v>44</v>
      </c>
      <c r="J33" s="30">
        <v>1</v>
      </c>
      <c r="K33" s="31">
        <f>31430</f>
        <v>31430</v>
      </c>
      <c r="L33" s="32" t="s">
        <v>675</v>
      </c>
      <c r="M33" s="31">
        <f>39700</f>
        <v>39700</v>
      </c>
      <c r="N33" s="32" t="s">
        <v>778</v>
      </c>
      <c r="O33" s="31">
        <f>31070</f>
        <v>31070</v>
      </c>
      <c r="P33" s="32" t="s">
        <v>675</v>
      </c>
      <c r="Q33" s="31">
        <f>38160</f>
        <v>38160</v>
      </c>
      <c r="R33" s="32" t="s">
        <v>681</v>
      </c>
      <c r="S33" s="33">
        <f>36541.58</f>
        <v>36541.58</v>
      </c>
      <c r="T33" s="30">
        <f>1017760</f>
        <v>1017760</v>
      </c>
      <c r="U33" s="30">
        <f>31</f>
        <v>31</v>
      </c>
      <c r="V33" s="30">
        <f>37150240310</f>
        <v>37150240310</v>
      </c>
      <c r="W33" s="30">
        <f>1093040</f>
        <v>1093040</v>
      </c>
      <c r="X33" s="34">
        <f>19</f>
        <v>19</v>
      </c>
    </row>
    <row r="34" spans="1:24" x14ac:dyDescent="0.15">
      <c r="A34" s="25" t="s">
        <v>1078</v>
      </c>
      <c r="B34" s="25" t="s">
        <v>110</v>
      </c>
      <c r="C34" s="25" t="s">
        <v>902</v>
      </c>
      <c r="D34" s="25" t="s">
        <v>903</v>
      </c>
      <c r="E34" s="26" t="s">
        <v>43</v>
      </c>
      <c r="F34" s="27" t="s">
        <v>43</v>
      </c>
      <c r="G34" s="28" t="s">
        <v>43</v>
      </c>
      <c r="H34" s="29"/>
      <c r="I34" s="29" t="s">
        <v>44</v>
      </c>
      <c r="J34" s="30">
        <v>1</v>
      </c>
      <c r="K34" s="31">
        <f>560</f>
        <v>560</v>
      </c>
      <c r="L34" s="32" t="s">
        <v>675</v>
      </c>
      <c r="M34" s="31">
        <f>567</f>
        <v>567</v>
      </c>
      <c r="N34" s="32" t="s">
        <v>675</v>
      </c>
      <c r="O34" s="31">
        <f>439</f>
        <v>439</v>
      </c>
      <c r="P34" s="32" t="s">
        <v>778</v>
      </c>
      <c r="Q34" s="31">
        <f>456</f>
        <v>456</v>
      </c>
      <c r="R34" s="32" t="s">
        <v>681</v>
      </c>
      <c r="S34" s="33">
        <f>480.42</f>
        <v>480.42</v>
      </c>
      <c r="T34" s="30">
        <f>39968798</f>
        <v>39968798</v>
      </c>
      <c r="U34" s="30">
        <f>530366</f>
        <v>530366</v>
      </c>
      <c r="V34" s="30">
        <f>19214103099</f>
        <v>19214103099</v>
      </c>
      <c r="W34" s="30">
        <f>275476559</f>
        <v>275476559</v>
      </c>
      <c r="X34" s="34">
        <f>19</f>
        <v>19</v>
      </c>
    </row>
    <row r="35" spans="1:24" x14ac:dyDescent="0.15">
      <c r="A35" s="25" t="s">
        <v>1078</v>
      </c>
      <c r="B35" s="25" t="s">
        <v>111</v>
      </c>
      <c r="C35" s="25" t="s">
        <v>904</v>
      </c>
      <c r="D35" s="25" t="s">
        <v>905</v>
      </c>
      <c r="E35" s="26" t="s">
        <v>43</v>
      </c>
      <c r="F35" s="27" t="s">
        <v>43</v>
      </c>
      <c r="G35" s="28" t="s">
        <v>43</v>
      </c>
      <c r="H35" s="29"/>
      <c r="I35" s="29" t="s">
        <v>44</v>
      </c>
      <c r="J35" s="30">
        <v>1</v>
      </c>
      <c r="K35" s="31">
        <f>28000</f>
        <v>28000</v>
      </c>
      <c r="L35" s="32" t="s">
        <v>675</v>
      </c>
      <c r="M35" s="31">
        <f>33190</f>
        <v>33190</v>
      </c>
      <c r="N35" s="32" t="s">
        <v>778</v>
      </c>
      <c r="O35" s="31">
        <f>27500</f>
        <v>27500</v>
      </c>
      <c r="P35" s="32" t="s">
        <v>675</v>
      </c>
      <c r="Q35" s="31">
        <f>32800</f>
        <v>32800</v>
      </c>
      <c r="R35" s="32" t="s">
        <v>681</v>
      </c>
      <c r="S35" s="33">
        <f>31369.21</f>
        <v>31369.21</v>
      </c>
      <c r="T35" s="30">
        <f>188025</f>
        <v>188025</v>
      </c>
      <c r="U35" s="30" t="str">
        <f>"－"</f>
        <v>－</v>
      </c>
      <c r="V35" s="30">
        <f>5865169945</f>
        <v>5865169945</v>
      </c>
      <c r="W35" s="30" t="str">
        <f>"－"</f>
        <v>－</v>
      </c>
      <c r="X35" s="34">
        <f>19</f>
        <v>19</v>
      </c>
    </row>
    <row r="36" spans="1:24" x14ac:dyDescent="0.15">
      <c r="A36" s="25" t="s">
        <v>1078</v>
      </c>
      <c r="B36" s="25" t="s">
        <v>112</v>
      </c>
      <c r="C36" s="25" t="s">
        <v>906</v>
      </c>
      <c r="D36" s="25" t="s">
        <v>907</v>
      </c>
      <c r="E36" s="26" t="s">
        <v>43</v>
      </c>
      <c r="F36" s="27" t="s">
        <v>43</v>
      </c>
      <c r="G36" s="28" t="s">
        <v>43</v>
      </c>
      <c r="H36" s="29"/>
      <c r="I36" s="29" t="s">
        <v>44</v>
      </c>
      <c r="J36" s="30">
        <v>1</v>
      </c>
      <c r="K36" s="31">
        <f>793</f>
        <v>793</v>
      </c>
      <c r="L36" s="32" t="s">
        <v>675</v>
      </c>
      <c r="M36" s="31">
        <f>806</f>
        <v>806</v>
      </c>
      <c r="N36" s="32" t="s">
        <v>675</v>
      </c>
      <c r="O36" s="31">
        <f>664</f>
        <v>664</v>
      </c>
      <c r="P36" s="32" t="s">
        <v>778</v>
      </c>
      <c r="Q36" s="31">
        <f>670</f>
        <v>670</v>
      </c>
      <c r="R36" s="32" t="s">
        <v>681</v>
      </c>
      <c r="S36" s="33">
        <f>705.47</f>
        <v>705.47</v>
      </c>
      <c r="T36" s="30">
        <f>1960196</f>
        <v>1960196</v>
      </c>
      <c r="U36" s="30" t="str">
        <f>"－"</f>
        <v>－</v>
      </c>
      <c r="V36" s="30">
        <f>1405582363</f>
        <v>1405582363</v>
      </c>
      <c r="W36" s="30" t="str">
        <f>"－"</f>
        <v>－</v>
      </c>
      <c r="X36" s="34">
        <f>19</f>
        <v>19</v>
      </c>
    </row>
    <row r="37" spans="1:24" x14ac:dyDescent="0.15">
      <c r="A37" s="25" t="s">
        <v>1078</v>
      </c>
      <c r="B37" s="25" t="s">
        <v>113</v>
      </c>
      <c r="C37" s="25" t="s">
        <v>114</v>
      </c>
      <c r="D37" s="25" t="s">
        <v>115</v>
      </c>
      <c r="E37" s="26" t="s">
        <v>43</v>
      </c>
      <c r="F37" s="27" t="s">
        <v>43</v>
      </c>
      <c r="G37" s="28" t="s">
        <v>43</v>
      </c>
      <c r="H37" s="29"/>
      <c r="I37" s="29" t="s">
        <v>44</v>
      </c>
      <c r="J37" s="30">
        <v>1</v>
      </c>
      <c r="K37" s="31">
        <f>33020</f>
        <v>33020</v>
      </c>
      <c r="L37" s="32" t="s">
        <v>675</v>
      </c>
      <c r="M37" s="31">
        <f>37020</f>
        <v>37020</v>
      </c>
      <c r="N37" s="32" t="s">
        <v>778</v>
      </c>
      <c r="O37" s="31">
        <f>32770</f>
        <v>32770</v>
      </c>
      <c r="P37" s="32" t="s">
        <v>675</v>
      </c>
      <c r="Q37" s="31">
        <f>36330</f>
        <v>36330</v>
      </c>
      <c r="R37" s="32" t="s">
        <v>681</v>
      </c>
      <c r="S37" s="33">
        <f>35520</f>
        <v>35520</v>
      </c>
      <c r="T37" s="30">
        <f>55744</f>
        <v>55744</v>
      </c>
      <c r="U37" s="30">
        <f>8824</f>
        <v>8824</v>
      </c>
      <c r="V37" s="30">
        <f>1971820563</f>
        <v>1971820563</v>
      </c>
      <c r="W37" s="30">
        <f>315599173</f>
        <v>315599173</v>
      </c>
      <c r="X37" s="34">
        <f>19</f>
        <v>19</v>
      </c>
    </row>
    <row r="38" spans="1:24" x14ac:dyDescent="0.15">
      <c r="A38" s="25" t="s">
        <v>1078</v>
      </c>
      <c r="B38" s="25" t="s">
        <v>116</v>
      </c>
      <c r="C38" s="25" t="s">
        <v>117</v>
      </c>
      <c r="D38" s="25" t="s">
        <v>118</v>
      </c>
      <c r="E38" s="26" t="s">
        <v>43</v>
      </c>
      <c r="F38" s="27" t="s">
        <v>43</v>
      </c>
      <c r="G38" s="28" t="s">
        <v>43</v>
      </c>
      <c r="H38" s="29"/>
      <c r="I38" s="29" t="s">
        <v>44</v>
      </c>
      <c r="J38" s="30">
        <v>1</v>
      </c>
      <c r="K38" s="31">
        <f>33400</f>
        <v>33400</v>
      </c>
      <c r="L38" s="32" t="s">
        <v>675</v>
      </c>
      <c r="M38" s="31">
        <f>37360</f>
        <v>37360</v>
      </c>
      <c r="N38" s="32" t="s">
        <v>778</v>
      </c>
      <c r="O38" s="31">
        <f>33070</f>
        <v>33070</v>
      </c>
      <c r="P38" s="32" t="s">
        <v>675</v>
      </c>
      <c r="Q38" s="31">
        <f>36530</f>
        <v>36530</v>
      </c>
      <c r="R38" s="32" t="s">
        <v>681</v>
      </c>
      <c r="S38" s="33">
        <f>35855.26</f>
        <v>35855.26</v>
      </c>
      <c r="T38" s="30">
        <f>149108</f>
        <v>149108</v>
      </c>
      <c r="U38" s="30">
        <f>19364</f>
        <v>19364</v>
      </c>
      <c r="V38" s="30">
        <f>5293782370</f>
        <v>5293782370</v>
      </c>
      <c r="W38" s="30">
        <f>697188620</f>
        <v>697188620</v>
      </c>
      <c r="X38" s="34">
        <f>19</f>
        <v>19</v>
      </c>
    </row>
    <row r="39" spans="1:24" x14ac:dyDescent="0.15">
      <c r="A39" s="25" t="s">
        <v>1078</v>
      </c>
      <c r="B39" s="25" t="s">
        <v>119</v>
      </c>
      <c r="C39" s="25" t="s">
        <v>120</v>
      </c>
      <c r="D39" s="25" t="s">
        <v>121</v>
      </c>
      <c r="E39" s="26" t="s">
        <v>43</v>
      </c>
      <c r="F39" s="27" t="s">
        <v>43</v>
      </c>
      <c r="G39" s="28" t="s">
        <v>43</v>
      </c>
      <c r="H39" s="29"/>
      <c r="I39" s="29" t="s">
        <v>44</v>
      </c>
      <c r="J39" s="30">
        <v>10</v>
      </c>
      <c r="K39" s="31">
        <f>1856.5</f>
        <v>1856.5</v>
      </c>
      <c r="L39" s="32" t="s">
        <v>675</v>
      </c>
      <c r="M39" s="31">
        <f>1895</f>
        <v>1895</v>
      </c>
      <c r="N39" s="32" t="s">
        <v>778</v>
      </c>
      <c r="O39" s="31">
        <f>1839</f>
        <v>1839</v>
      </c>
      <c r="P39" s="32" t="s">
        <v>675</v>
      </c>
      <c r="Q39" s="31">
        <f>1851</f>
        <v>1851</v>
      </c>
      <c r="R39" s="32" t="s">
        <v>681</v>
      </c>
      <c r="S39" s="33">
        <f>1866.66</f>
        <v>1866.66</v>
      </c>
      <c r="T39" s="30">
        <f>908790</f>
        <v>908790</v>
      </c>
      <c r="U39" s="30">
        <f>399180</f>
        <v>399180</v>
      </c>
      <c r="V39" s="30">
        <f>1696343148</f>
        <v>1696343148</v>
      </c>
      <c r="W39" s="30">
        <f>744952073</f>
        <v>744952073</v>
      </c>
      <c r="X39" s="34">
        <f>19</f>
        <v>19</v>
      </c>
    </row>
    <row r="40" spans="1:24" x14ac:dyDescent="0.15">
      <c r="A40" s="25" t="s">
        <v>1078</v>
      </c>
      <c r="B40" s="25" t="s">
        <v>122</v>
      </c>
      <c r="C40" s="25" t="s">
        <v>123</v>
      </c>
      <c r="D40" s="25" t="s">
        <v>124</v>
      </c>
      <c r="E40" s="26" t="s">
        <v>43</v>
      </c>
      <c r="F40" s="27" t="s">
        <v>43</v>
      </c>
      <c r="G40" s="28" t="s">
        <v>43</v>
      </c>
      <c r="H40" s="29"/>
      <c r="I40" s="29" t="s">
        <v>44</v>
      </c>
      <c r="J40" s="30">
        <v>10</v>
      </c>
      <c r="K40" s="31">
        <f>2078</f>
        <v>2078</v>
      </c>
      <c r="L40" s="32" t="s">
        <v>675</v>
      </c>
      <c r="M40" s="31">
        <f>2320.5</f>
        <v>2320.5</v>
      </c>
      <c r="N40" s="32" t="s">
        <v>759</v>
      </c>
      <c r="O40" s="31">
        <f>2055</f>
        <v>2055</v>
      </c>
      <c r="P40" s="32" t="s">
        <v>679</v>
      </c>
      <c r="Q40" s="31">
        <f>2078</f>
        <v>2078</v>
      </c>
      <c r="R40" s="32" t="s">
        <v>681</v>
      </c>
      <c r="S40" s="33">
        <f>2135.58</f>
        <v>2135.58</v>
      </c>
      <c r="T40" s="30">
        <f>16760</f>
        <v>16760</v>
      </c>
      <c r="U40" s="30">
        <f>60</f>
        <v>60</v>
      </c>
      <c r="V40" s="30">
        <f>35731150</f>
        <v>35731150</v>
      </c>
      <c r="W40" s="30">
        <f>128960</f>
        <v>128960</v>
      </c>
      <c r="X40" s="34">
        <f>19</f>
        <v>19</v>
      </c>
    </row>
    <row r="41" spans="1:24" x14ac:dyDescent="0.15">
      <c r="A41" s="25" t="s">
        <v>1078</v>
      </c>
      <c r="B41" s="25" t="s">
        <v>125</v>
      </c>
      <c r="C41" s="25" t="s">
        <v>908</v>
      </c>
      <c r="D41" s="25" t="s">
        <v>909</v>
      </c>
      <c r="E41" s="26" t="s">
        <v>43</v>
      </c>
      <c r="F41" s="27" t="s">
        <v>43</v>
      </c>
      <c r="G41" s="28" t="s">
        <v>43</v>
      </c>
      <c r="H41" s="29"/>
      <c r="I41" s="29" t="s">
        <v>44</v>
      </c>
      <c r="J41" s="30">
        <v>1</v>
      </c>
      <c r="K41" s="31">
        <f>3225</f>
        <v>3225</v>
      </c>
      <c r="L41" s="32" t="s">
        <v>675</v>
      </c>
      <c r="M41" s="31">
        <f>3250</f>
        <v>3250</v>
      </c>
      <c r="N41" s="32" t="s">
        <v>675</v>
      </c>
      <c r="O41" s="31">
        <f>2866</f>
        <v>2866</v>
      </c>
      <c r="P41" s="32" t="s">
        <v>778</v>
      </c>
      <c r="Q41" s="31">
        <f>2921</f>
        <v>2921</v>
      </c>
      <c r="R41" s="32" t="s">
        <v>681</v>
      </c>
      <c r="S41" s="33">
        <f>2995.68</f>
        <v>2995.68</v>
      </c>
      <c r="T41" s="30">
        <f>2831164</f>
        <v>2831164</v>
      </c>
      <c r="U41" s="30">
        <f>402700</f>
        <v>402700</v>
      </c>
      <c r="V41" s="30">
        <f>8480800250</f>
        <v>8480800250</v>
      </c>
      <c r="W41" s="30">
        <f>1233059588</f>
        <v>1233059588</v>
      </c>
      <c r="X41" s="34">
        <f>19</f>
        <v>19</v>
      </c>
    </row>
    <row r="42" spans="1:24" x14ac:dyDescent="0.15">
      <c r="A42" s="25" t="s">
        <v>1078</v>
      </c>
      <c r="B42" s="25" t="s">
        <v>126</v>
      </c>
      <c r="C42" s="25" t="s">
        <v>910</v>
      </c>
      <c r="D42" s="25" t="s">
        <v>911</v>
      </c>
      <c r="E42" s="26" t="s">
        <v>43</v>
      </c>
      <c r="F42" s="27" t="s">
        <v>43</v>
      </c>
      <c r="G42" s="28" t="s">
        <v>43</v>
      </c>
      <c r="H42" s="29"/>
      <c r="I42" s="29" t="s">
        <v>44</v>
      </c>
      <c r="J42" s="30">
        <v>1</v>
      </c>
      <c r="K42" s="31">
        <f>3765</f>
        <v>3765</v>
      </c>
      <c r="L42" s="32" t="s">
        <v>675</v>
      </c>
      <c r="M42" s="31">
        <f>3790</f>
        <v>3790</v>
      </c>
      <c r="N42" s="32" t="s">
        <v>675</v>
      </c>
      <c r="O42" s="31">
        <f>3445</f>
        <v>3445</v>
      </c>
      <c r="P42" s="32" t="s">
        <v>778</v>
      </c>
      <c r="Q42" s="31">
        <f>3465</f>
        <v>3465</v>
      </c>
      <c r="R42" s="32" t="s">
        <v>681</v>
      </c>
      <c r="S42" s="33">
        <f>3549.74</f>
        <v>3549.74</v>
      </c>
      <c r="T42" s="30">
        <f>1789009</f>
        <v>1789009</v>
      </c>
      <c r="U42" s="30">
        <f>1574678</f>
        <v>1574678</v>
      </c>
      <c r="V42" s="30">
        <f>6360403499</f>
        <v>6360403499</v>
      </c>
      <c r="W42" s="30">
        <f>5590139939</f>
        <v>5590139939</v>
      </c>
      <c r="X42" s="34">
        <f>19</f>
        <v>19</v>
      </c>
    </row>
    <row r="43" spans="1:24" x14ac:dyDescent="0.15">
      <c r="A43" s="25" t="s">
        <v>1078</v>
      </c>
      <c r="B43" s="25" t="s">
        <v>127</v>
      </c>
      <c r="C43" s="25" t="s">
        <v>128</v>
      </c>
      <c r="D43" s="25" t="s">
        <v>129</v>
      </c>
      <c r="E43" s="26" t="s">
        <v>43</v>
      </c>
      <c r="F43" s="27" t="s">
        <v>43</v>
      </c>
      <c r="G43" s="28" t="s">
        <v>43</v>
      </c>
      <c r="H43" s="29"/>
      <c r="I43" s="29" t="s">
        <v>44</v>
      </c>
      <c r="J43" s="30">
        <v>1</v>
      </c>
      <c r="K43" s="31">
        <f>23975</f>
        <v>23975</v>
      </c>
      <c r="L43" s="32" t="s">
        <v>675</v>
      </c>
      <c r="M43" s="31">
        <f>30300</f>
        <v>30300</v>
      </c>
      <c r="N43" s="32" t="s">
        <v>778</v>
      </c>
      <c r="O43" s="31">
        <f>23685</f>
        <v>23685</v>
      </c>
      <c r="P43" s="32" t="s">
        <v>675</v>
      </c>
      <c r="Q43" s="31">
        <f>29150</f>
        <v>29150</v>
      </c>
      <c r="R43" s="32" t="s">
        <v>681</v>
      </c>
      <c r="S43" s="33">
        <f>27876.84</f>
        <v>27876.84</v>
      </c>
      <c r="T43" s="30">
        <f>9129043</f>
        <v>9129043</v>
      </c>
      <c r="U43" s="30">
        <f>702</f>
        <v>702</v>
      </c>
      <c r="V43" s="30">
        <f>253162642962</f>
        <v>253162642962</v>
      </c>
      <c r="W43" s="30">
        <f>20362202</f>
        <v>20362202</v>
      </c>
      <c r="X43" s="34">
        <f>19</f>
        <v>19</v>
      </c>
    </row>
    <row r="44" spans="1:24" x14ac:dyDescent="0.15">
      <c r="A44" s="25" t="s">
        <v>1078</v>
      </c>
      <c r="B44" s="25" t="s">
        <v>130</v>
      </c>
      <c r="C44" s="25" t="s">
        <v>131</v>
      </c>
      <c r="D44" s="25" t="s">
        <v>132</v>
      </c>
      <c r="E44" s="26" t="s">
        <v>43</v>
      </c>
      <c r="F44" s="27" t="s">
        <v>43</v>
      </c>
      <c r="G44" s="28" t="s">
        <v>43</v>
      </c>
      <c r="H44" s="29"/>
      <c r="I44" s="29" t="s">
        <v>44</v>
      </c>
      <c r="J44" s="30">
        <v>1</v>
      </c>
      <c r="K44" s="31">
        <f>868</f>
        <v>868</v>
      </c>
      <c r="L44" s="32" t="s">
        <v>675</v>
      </c>
      <c r="M44" s="31">
        <f>879</f>
        <v>879</v>
      </c>
      <c r="N44" s="32" t="s">
        <v>675</v>
      </c>
      <c r="O44" s="31">
        <f>682</f>
        <v>682</v>
      </c>
      <c r="P44" s="32" t="s">
        <v>778</v>
      </c>
      <c r="Q44" s="31">
        <f>708</f>
        <v>708</v>
      </c>
      <c r="R44" s="32" t="s">
        <v>681</v>
      </c>
      <c r="S44" s="33">
        <f>745.58</f>
        <v>745.58</v>
      </c>
      <c r="T44" s="30">
        <f>252707321</f>
        <v>252707321</v>
      </c>
      <c r="U44" s="30">
        <f>54145</f>
        <v>54145</v>
      </c>
      <c r="V44" s="30">
        <f>188107173108</f>
        <v>188107173108</v>
      </c>
      <c r="W44" s="30">
        <f>40132528</f>
        <v>40132528</v>
      </c>
      <c r="X44" s="34">
        <f>19</f>
        <v>19</v>
      </c>
    </row>
    <row r="45" spans="1:24" x14ac:dyDescent="0.15">
      <c r="A45" s="25" t="s">
        <v>1078</v>
      </c>
      <c r="B45" s="25" t="s">
        <v>133</v>
      </c>
      <c r="C45" s="25" t="s">
        <v>912</v>
      </c>
      <c r="D45" s="25" t="s">
        <v>913</v>
      </c>
      <c r="E45" s="26" t="s">
        <v>43</v>
      </c>
      <c r="F45" s="27" t="s">
        <v>43</v>
      </c>
      <c r="G45" s="28" t="s">
        <v>43</v>
      </c>
      <c r="H45" s="29"/>
      <c r="I45" s="29" t="s">
        <v>44</v>
      </c>
      <c r="J45" s="30">
        <v>1</v>
      </c>
      <c r="K45" s="31">
        <f>22200</f>
        <v>22200</v>
      </c>
      <c r="L45" s="32" t="s">
        <v>675</v>
      </c>
      <c r="M45" s="31">
        <f>26770</f>
        <v>26770</v>
      </c>
      <c r="N45" s="32" t="s">
        <v>778</v>
      </c>
      <c r="O45" s="31">
        <f>22125</f>
        <v>22125</v>
      </c>
      <c r="P45" s="32" t="s">
        <v>675</v>
      </c>
      <c r="Q45" s="31">
        <f>26085</f>
        <v>26085</v>
      </c>
      <c r="R45" s="32" t="s">
        <v>681</v>
      </c>
      <c r="S45" s="33">
        <f>25198.95</f>
        <v>25198.95</v>
      </c>
      <c r="T45" s="30">
        <f>8252</f>
        <v>8252</v>
      </c>
      <c r="U45" s="30" t="str">
        <f>"－"</f>
        <v>－</v>
      </c>
      <c r="V45" s="30">
        <f>209707195</f>
        <v>209707195</v>
      </c>
      <c r="W45" s="30" t="str">
        <f>"－"</f>
        <v>－</v>
      </c>
      <c r="X45" s="34">
        <f>19</f>
        <v>19</v>
      </c>
    </row>
    <row r="46" spans="1:24" x14ac:dyDescent="0.15">
      <c r="A46" s="25" t="s">
        <v>1078</v>
      </c>
      <c r="B46" s="25" t="s">
        <v>134</v>
      </c>
      <c r="C46" s="25" t="s">
        <v>914</v>
      </c>
      <c r="D46" s="25" t="s">
        <v>915</v>
      </c>
      <c r="E46" s="26" t="s">
        <v>43</v>
      </c>
      <c r="F46" s="27" t="s">
        <v>43</v>
      </c>
      <c r="G46" s="28" t="s">
        <v>43</v>
      </c>
      <c r="H46" s="29"/>
      <c r="I46" s="29" t="s">
        <v>44</v>
      </c>
      <c r="J46" s="30">
        <v>1</v>
      </c>
      <c r="K46" s="31">
        <f>3665</f>
        <v>3665</v>
      </c>
      <c r="L46" s="32" t="s">
        <v>675</v>
      </c>
      <c r="M46" s="31">
        <f>3665</f>
        <v>3665</v>
      </c>
      <c r="N46" s="32" t="s">
        <v>675</v>
      </c>
      <c r="O46" s="31">
        <f>3345</f>
        <v>3345</v>
      </c>
      <c r="P46" s="32" t="s">
        <v>778</v>
      </c>
      <c r="Q46" s="31">
        <f>3395</f>
        <v>3395</v>
      </c>
      <c r="R46" s="32" t="s">
        <v>681</v>
      </c>
      <c r="S46" s="33">
        <f>3448.44</f>
        <v>3448.44</v>
      </c>
      <c r="T46" s="30">
        <f>473</f>
        <v>473</v>
      </c>
      <c r="U46" s="30" t="str">
        <f>"－"</f>
        <v>－</v>
      </c>
      <c r="V46" s="30">
        <f>1630150</f>
        <v>1630150</v>
      </c>
      <c r="W46" s="30" t="str">
        <f>"－"</f>
        <v>－</v>
      </c>
      <c r="X46" s="34">
        <f>16</f>
        <v>16</v>
      </c>
    </row>
    <row r="47" spans="1:24" x14ac:dyDescent="0.15">
      <c r="A47" s="25" t="s">
        <v>1078</v>
      </c>
      <c r="B47" s="25" t="s">
        <v>135</v>
      </c>
      <c r="C47" s="25" t="s">
        <v>916</v>
      </c>
      <c r="D47" s="25" t="s">
        <v>917</v>
      </c>
      <c r="E47" s="26" t="s">
        <v>43</v>
      </c>
      <c r="F47" s="27" t="s">
        <v>43</v>
      </c>
      <c r="G47" s="28" t="s">
        <v>43</v>
      </c>
      <c r="H47" s="29"/>
      <c r="I47" s="29" t="s">
        <v>44</v>
      </c>
      <c r="J47" s="30">
        <v>1</v>
      </c>
      <c r="K47" s="31">
        <f>1030</f>
        <v>1030</v>
      </c>
      <c r="L47" s="32" t="s">
        <v>675</v>
      </c>
      <c r="M47" s="31">
        <f>1033</f>
        <v>1033</v>
      </c>
      <c r="N47" s="32" t="s">
        <v>675</v>
      </c>
      <c r="O47" s="31">
        <f>845</f>
        <v>845</v>
      </c>
      <c r="P47" s="32" t="s">
        <v>778</v>
      </c>
      <c r="Q47" s="31">
        <f>861</f>
        <v>861</v>
      </c>
      <c r="R47" s="32" t="s">
        <v>681</v>
      </c>
      <c r="S47" s="33">
        <f>900.37</f>
        <v>900.37</v>
      </c>
      <c r="T47" s="30">
        <f>85177</f>
        <v>85177</v>
      </c>
      <c r="U47" s="30">
        <f>10000</f>
        <v>10000</v>
      </c>
      <c r="V47" s="30">
        <f>76758894</f>
        <v>76758894</v>
      </c>
      <c r="W47" s="30">
        <f>8990000</f>
        <v>8990000</v>
      </c>
      <c r="X47" s="34">
        <f>19</f>
        <v>19</v>
      </c>
    </row>
    <row r="48" spans="1:24" x14ac:dyDescent="0.15">
      <c r="A48" s="25" t="s">
        <v>1078</v>
      </c>
      <c r="B48" s="25" t="s">
        <v>136</v>
      </c>
      <c r="C48" s="25" t="s">
        <v>137</v>
      </c>
      <c r="D48" s="25" t="s">
        <v>138</v>
      </c>
      <c r="E48" s="26" t="s">
        <v>43</v>
      </c>
      <c r="F48" s="27" t="s">
        <v>43</v>
      </c>
      <c r="G48" s="28" t="s">
        <v>43</v>
      </c>
      <c r="H48" s="29"/>
      <c r="I48" s="29" t="s">
        <v>44</v>
      </c>
      <c r="J48" s="30">
        <v>10</v>
      </c>
      <c r="K48" s="31">
        <f>997.2</f>
        <v>997.2</v>
      </c>
      <c r="L48" s="32" t="s">
        <v>675</v>
      </c>
      <c r="M48" s="31">
        <f>1005</f>
        <v>1005</v>
      </c>
      <c r="N48" s="32" t="s">
        <v>675</v>
      </c>
      <c r="O48" s="31">
        <f>831</f>
        <v>831</v>
      </c>
      <c r="P48" s="32" t="s">
        <v>778</v>
      </c>
      <c r="Q48" s="31">
        <f>846</f>
        <v>846</v>
      </c>
      <c r="R48" s="32" t="s">
        <v>681</v>
      </c>
      <c r="S48" s="33">
        <f>881.27</f>
        <v>881.27</v>
      </c>
      <c r="T48" s="30">
        <f>164010</f>
        <v>164010</v>
      </c>
      <c r="U48" s="30">
        <f>60000</f>
        <v>60000</v>
      </c>
      <c r="V48" s="30">
        <f>146273593</f>
        <v>146273593</v>
      </c>
      <c r="W48" s="30">
        <f>53580000</f>
        <v>53580000</v>
      </c>
      <c r="X48" s="34">
        <f>19</f>
        <v>19</v>
      </c>
    </row>
    <row r="49" spans="1:24" x14ac:dyDescent="0.15">
      <c r="A49" s="25" t="s">
        <v>1078</v>
      </c>
      <c r="B49" s="25" t="s">
        <v>139</v>
      </c>
      <c r="C49" s="25" t="s">
        <v>140</v>
      </c>
      <c r="D49" s="25" t="s">
        <v>141</v>
      </c>
      <c r="E49" s="26" t="s">
        <v>43</v>
      </c>
      <c r="F49" s="27" t="s">
        <v>43</v>
      </c>
      <c r="G49" s="28" t="s">
        <v>43</v>
      </c>
      <c r="H49" s="29"/>
      <c r="I49" s="29" t="s">
        <v>44</v>
      </c>
      <c r="J49" s="30">
        <v>1</v>
      </c>
      <c r="K49" s="31">
        <f>407</f>
        <v>407</v>
      </c>
      <c r="L49" s="32" t="s">
        <v>675</v>
      </c>
      <c r="M49" s="31">
        <f>411</f>
        <v>411</v>
      </c>
      <c r="N49" s="32" t="s">
        <v>675</v>
      </c>
      <c r="O49" s="31">
        <f>341</f>
        <v>341</v>
      </c>
      <c r="P49" s="32" t="s">
        <v>778</v>
      </c>
      <c r="Q49" s="31">
        <f>346</f>
        <v>346</v>
      </c>
      <c r="R49" s="32" t="s">
        <v>681</v>
      </c>
      <c r="S49" s="33">
        <f>361.58</f>
        <v>361.58</v>
      </c>
      <c r="T49" s="30">
        <f>208189</f>
        <v>208189</v>
      </c>
      <c r="U49" s="30">
        <f>60000</f>
        <v>60000</v>
      </c>
      <c r="V49" s="30">
        <f>77365205</f>
        <v>77365205</v>
      </c>
      <c r="W49" s="30">
        <f>23160000</f>
        <v>23160000</v>
      </c>
      <c r="X49" s="34">
        <f>19</f>
        <v>19</v>
      </c>
    </row>
    <row r="50" spans="1:24" x14ac:dyDescent="0.15">
      <c r="A50" s="25" t="s">
        <v>1078</v>
      </c>
      <c r="B50" s="25" t="s">
        <v>142</v>
      </c>
      <c r="C50" s="25" t="s">
        <v>143</v>
      </c>
      <c r="D50" s="25" t="s">
        <v>144</v>
      </c>
      <c r="E50" s="26" t="s">
        <v>43</v>
      </c>
      <c r="F50" s="27" t="s">
        <v>43</v>
      </c>
      <c r="G50" s="28" t="s">
        <v>43</v>
      </c>
      <c r="H50" s="29"/>
      <c r="I50" s="29" t="s">
        <v>44</v>
      </c>
      <c r="J50" s="30">
        <v>10</v>
      </c>
      <c r="K50" s="31">
        <f>2388</f>
        <v>2388</v>
      </c>
      <c r="L50" s="32" t="s">
        <v>675</v>
      </c>
      <c r="M50" s="31">
        <f>2603</f>
        <v>2603</v>
      </c>
      <c r="N50" s="32" t="s">
        <v>778</v>
      </c>
      <c r="O50" s="31">
        <f>2376</f>
        <v>2376</v>
      </c>
      <c r="P50" s="32" t="s">
        <v>675</v>
      </c>
      <c r="Q50" s="31">
        <f>2587</f>
        <v>2587</v>
      </c>
      <c r="R50" s="32" t="s">
        <v>681</v>
      </c>
      <c r="S50" s="33">
        <f>2532.47</f>
        <v>2532.4699999999998</v>
      </c>
      <c r="T50" s="30">
        <f>920830</f>
        <v>920830</v>
      </c>
      <c r="U50" s="30">
        <f>318000</f>
        <v>318000</v>
      </c>
      <c r="V50" s="30">
        <f>2335041736</f>
        <v>2335041736</v>
      </c>
      <c r="W50" s="30">
        <f>800145761</f>
        <v>800145761</v>
      </c>
      <c r="X50" s="34">
        <f>19</f>
        <v>19</v>
      </c>
    </row>
    <row r="51" spans="1:24" x14ac:dyDescent="0.15">
      <c r="A51" s="25" t="s">
        <v>1078</v>
      </c>
      <c r="B51" s="25" t="s">
        <v>145</v>
      </c>
      <c r="C51" s="25" t="s">
        <v>146</v>
      </c>
      <c r="D51" s="25" t="s">
        <v>147</v>
      </c>
      <c r="E51" s="26" t="s">
        <v>43</v>
      </c>
      <c r="F51" s="27" t="s">
        <v>43</v>
      </c>
      <c r="G51" s="28" t="s">
        <v>43</v>
      </c>
      <c r="H51" s="29"/>
      <c r="I51" s="29" t="s">
        <v>44</v>
      </c>
      <c r="J51" s="30">
        <v>1</v>
      </c>
      <c r="K51" s="31">
        <f>21340</f>
        <v>21340</v>
      </c>
      <c r="L51" s="32" t="s">
        <v>675</v>
      </c>
      <c r="M51" s="31">
        <f>23460</f>
        <v>23460</v>
      </c>
      <c r="N51" s="32" t="s">
        <v>778</v>
      </c>
      <c r="O51" s="31">
        <f>21340</f>
        <v>21340</v>
      </c>
      <c r="P51" s="32" t="s">
        <v>675</v>
      </c>
      <c r="Q51" s="31">
        <f>23215</f>
        <v>23215</v>
      </c>
      <c r="R51" s="32" t="s">
        <v>681</v>
      </c>
      <c r="S51" s="33">
        <f>22772.37</f>
        <v>22772.37</v>
      </c>
      <c r="T51" s="30">
        <f>4917</f>
        <v>4917</v>
      </c>
      <c r="U51" s="30">
        <f>2000</f>
        <v>2000</v>
      </c>
      <c r="V51" s="30">
        <f>112452225</f>
        <v>112452225</v>
      </c>
      <c r="W51" s="30">
        <f>45854200</f>
        <v>45854200</v>
      </c>
      <c r="X51" s="34">
        <f>19</f>
        <v>19</v>
      </c>
    </row>
    <row r="52" spans="1:24" x14ac:dyDescent="0.15">
      <c r="A52" s="25" t="s">
        <v>1078</v>
      </c>
      <c r="B52" s="25" t="s">
        <v>148</v>
      </c>
      <c r="C52" s="25" t="s">
        <v>149</v>
      </c>
      <c r="D52" s="25" t="s">
        <v>150</v>
      </c>
      <c r="E52" s="26" t="s">
        <v>43</v>
      </c>
      <c r="F52" s="27" t="s">
        <v>43</v>
      </c>
      <c r="G52" s="28" t="s">
        <v>43</v>
      </c>
      <c r="H52" s="29"/>
      <c r="I52" s="29" t="s">
        <v>44</v>
      </c>
      <c r="J52" s="30">
        <v>1</v>
      </c>
      <c r="K52" s="31">
        <f>2438</f>
        <v>2438</v>
      </c>
      <c r="L52" s="32" t="s">
        <v>675</v>
      </c>
      <c r="M52" s="31">
        <f>2655</f>
        <v>2655</v>
      </c>
      <c r="N52" s="32" t="s">
        <v>778</v>
      </c>
      <c r="O52" s="31">
        <f>2414</f>
        <v>2414</v>
      </c>
      <c r="P52" s="32" t="s">
        <v>675</v>
      </c>
      <c r="Q52" s="31">
        <f>2642</f>
        <v>2642</v>
      </c>
      <c r="R52" s="32" t="s">
        <v>681</v>
      </c>
      <c r="S52" s="33">
        <f>2581.16</f>
        <v>2581.16</v>
      </c>
      <c r="T52" s="30">
        <f>11810224</f>
        <v>11810224</v>
      </c>
      <c r="U52" s="30">
        <f>5142240</f>
        <v>5142240</v>
      </c>
      <c r="V52" s="30">
        <f>30469134121</f>
        <v>30469134121</v>
      </c>
      <c r="W52" s="30">
        <f>13205769879</f>
        <v>13205769879</v>
      </c>
      <c r="X52" s="34">
        <f>19</f>
        <v>19</v>
      </c>
    </row>
    <row r="53" spans="1:24" x14ac:dyDescent="0.15">
      <c r="A53" s="25" t="s">
        <v>1078</v>
      </c>
      <c r="B53" s="25" t="s">
        <v>151</v>
      </c>
      <c r="C53" s="25" t="s">
        <v>152</v>
      </c>
      <c r="D53" s="25" t="s">
        <v>153</v>
      </c>
      <c r="E53" s="26" t="s">
        <v>43</v>
      </c>
      <c r="F53" s="27" t="s">
        <v>43</v>
      </c>
      <c r="G53" s="28" t="s">
        <v>43</v>
      </c>
      <c r="H53" s="29"/>
      <c r="I53" s="29" t="s">
        <v>44</v>
      </c>
      <c r="J53" s="30">
        <v>1</v>
      </c>
      <c r="K53" s="31">
        <f>1870</f>
        <v>1870</v>
      </c>
      <c r="L53" s="32" t="s">
        <v>675</v>
      </c>
      <c r="M53" s="31">
        <f>1910</f>
        <v>1910</v>
      </c>
      <c r="N53" s="32" t="s">
        <v>778</v>
      </c>
      <c r="O53" s="31">
        <f>1853</f>
        <v>1853</v>
      </c>
      <c r="P53" s="32" t="s">
        <v>675</v>
      </c>
      <c r="Q53" s="31">
        <f>1871</f>
        <v>1871</v>
      </c>
      <c r="R53" s="32" t="s">
        <v>681</v>
      </c>
      <c r="S53" s="33">
        <f>1881.95</f>
        <v>1881.95</v>
      </c>
      <c r="T53" s="30">
        <f>3273733</f>
        <v>3273733</v>
      </c>
      <c r="U53" s="30">
        <f>1520279</f>
        <v>1520279</v>
      </c>
      <c r="V53" s="30">
        <f>6141312494</f>
        <v>6141312494</v>
      </c>
      <c r="W53" s="30">
        <f>2843839655</f>
        <v>2843839655</v>
      </c>
      <c r="X53" s="34">
        <f>19</f>
        <v>19</v>
      </c>
    </row>
    <row r="54" spans="1:24" x14ac:dyDescent="0.15">
      <c r="A54" s="25" t="s">
        <v>1078</v>
      </c>
      <c r="B54" s="25" t="s">
        <v>154</v>
      </c>
      <c r="C54" s="25" t="s">
        <v>155</v>
      </c>
      <c r="D54" s="25" t="s">
        <v>156</v>
      </c>
      <c r="E54" s="26" t="s">
        <v>43</v>
      </c>
      <c r="F54" s="27" t="s">
        <v>43</v>
      </c>
      <c r="G54" s="28" t="s">
        <v>43</v>
      </c>
      <c r="H54" s="29"/>
      <c r="I54" s="29" t="s">
        <v>44</v>
      </c>
      <c r="J54" s="30">
        <v>1</v>
      </c>
      <c r="K54" s="31">
        <f>2288</f>
        <v>2288</v>
      </c>
      <c r="L54" s="32" t="s">
        <v>675</v>
      </c>
      <c r="M54" s="31">
        <f>2469</f>
        <v>2469</v>
      </c>
      <c r="N54" s="32" t="s">
        <v>778</v>
      </c>
      <c r="O54" s="31">
        <f>2280</f>
        <v>2280</v>
      </c>
      <c r="P54" s="32" t="s">
        <v>675</v>
      </c>
      <c r="Q54" s="31">
        <f>2448</f>
        <v>2448</v>
      </c>
      <c r="R54" s="32" t="s">
        <v>681</v>
      </c>
      <c r="S54" s="33">
        <f>2412.21</f>
        <v>2412.21</v>
      </c>
      <c r="T54" s="30">
        <f>244240</f>
        <v>244240</v>
      </c>
      <c r="U54" s="30">
        <f>196454</f>
        <v>196454</v>
      </c>
      <c r="V54" s="30">
        <f>592817289</f>
        <v>592817289</v>
      </c>
      <c r="W54" s="30">
        <f>477189589</f>
        <v>477189589</v>
      </c>
      <c r="X54" s="34">
        <f>19</f>
        <v>19</v>
      </c>
    </row>
    <row r="55" spans="1:24" x14ac:dyDescent="0.15">
      <c r="A55" s="25" t="s">
        <v>1078</v>
      </c>
      <c r="B55" s="25" t="s">
        <v>157</v>
      </c>
      <c r="C55" s="25" t="s">
        <v>158</v>
      </c>
      <c r="D55" s="25" t="s">
        <v>159</v>
      </c>
      <c r="E55" s="26" t="s">
        <v>43</v>
      </c>
      <c r="F55" s="27" t="s">
        <v>43</v>
      </c>
      <c r="G55" s="28" t="s">
        <v>43</v>
      </c>
      <c r="H55" s="29"/>
      <c r="I55" s="29" t="s">
        <v>44</v>
      </c>
      <c r="J55" s="30">
        <v>1</v>
      </c>
      <c r="K55" s="31">
        <f>3155</f>
        <v>3155</v>
      </c>
      <c r="L55" s="32" t="s">
        <v>675</v>
      </c>
      <c r="M55" s="31">
        <f>3495</f>
        <v>3495</v>
      </c>
      <c r="N55" s="32" t="s">
        <v>681</v>
      </c>
      <c r="O55" s="31">
        <f>3140</f>
        <v>3140</v>
      </c>
      <c r="P55" s="32" t="s">
        <v>675</v>
      </c>
      <c r="Q55" s="31">
        <f>3495</f>
        <v>3495</v>
      </c>
      <c r="R55" s="32" t="s">
        <v>681</v>
      </c>
      <c r="S55" s="33">
        <f>3386.32</f>
        <v>3386.32</v>
      </c>
      <c r="T55" s="30">
        <f>1333039</f>
        <v>1333039</v>
      </c>
      <c r="U55" s="30">
        <f>605570</f>
        <v>605570</v>
      </c>
      <c r="V55" s="30">
        <f>4518189955</f>
        <v>4518189955</v>
      </c>
      <c r="W55" s="30">
        <f>2074499400</f>
        <v>2074499400</v>
      </c>
      <c r="X55" s="34">
        <f>19</f>
        <v>19</v>
      </c>
    </row>
    <row r="56" spans="1:24" x14ac:dyDescent="0.15">
      <c r="A56" s="25" t="s">
        <v>1078</v>
      </c>
      <c r="B56" s="25" t="s">
        <v>160</v>
      </c>
      <c r="C56" s="25" t="s">
        <v>918</v>
      </c>
      <c r="D56" s="25" t="s">
        <v>919</v>
      </c>
      <c r="E56" s="26" t="s">
        <v>43</v>
      </c>
      <c r="F56" s="27" t="s">
        <v>43</v>
      </c>
      <c r="G56" s="28" t="s">
        <v>43</v>
      </c>
      <c r="H56" s="29"/>
      <c r="I56" s="29" t="s">
        <v>44</v>
      </c>
      <c r="J56" s="30">
        <v>1</v>
      </c>
      <c r="K56" s="31">
        <f>30350</f>
        <v>30350</v>
      </c>
      <c r="L56" s="32" t="s">
        <v>674</v>
      </c>
      <c r="M56" s="31">
        <f>32560</f>
        <v>32560</v>
      </c>
      <c r="N56" s="32" t="s">
        <v>760</v>
      </c>
      <c r="O56" s="31">
        <f>30350</f>
        <v>30350</v>
      </c>
      <c r="P56" s="32" t="s">
        <v>674</v>
      </c>
      <c r="Q56" s="31">
        <f>32020</f>
        <v>32020</v>
      </c>
      <c r="R56" s="32" t="s">
        <v>680</v>
      </c>
      <c r="S56" s="33">
        <f>31302</f>
        <v>31302</v>
      </c>
      <c r="T56" s="30">
        <f>337</f>
        <v>337</v>
      </c>
      <c r="U56" s="30" t="str">
        <f>"－"</f>
        <v>－</v>
      </c>
      <c r="V56" s="30">
        <f>10538800</f>
        <v>10538800</v>
      </c>
      <c r="W56" s="30" t="str">
        <f>"－"</f>
        <v>－</v>
      </c>
      <c r="X56" s="34">
        <f>5</f>
        <v>5</v>
      </c>
    </row>
    <row r="57" spans="1:24" x14ac:dyDescent="0.15">
      <c r="A57" s="25" t="s">
        <v>1078</v>
      </c>
      <c r="B57" s="25" t="s">
        <v>161</v>
      </c>
      <c r="C57" s="25" t="s">
        <v>162</v>
      </c>
      <c r="D57" s="25" t="s">
        <v>163</v>
      </c>
      <c r="E57" s="26" t="s">
        <v>43</v>
      </c>
      <c r="F57" s="27" t="s">
        <v>43</v>
      </c>
      <c r="G57" s="28" t="s">
        <v>43</v>
      </c>
      <c r="H57" s="29"/>
      <c r="I57" s="29" t="s">
        <v>44</v>
      </c>
      <c r="J57" s="30">
        <v>1</v>
      </c>
      <c r="K57" s="31">
        <f>23910</f>
        <v>23910</v>
      </c>
      <c r="L57" s="32" t="s">
        <v>674</v>
      </c>
      <c r="M57" s="31">
        <f>25775</f>
        <v>25775</v>
      </c>
      <c r="N57" s="32" t="s">
        <v>874</v>
      </c>
      <c r="O57" s="31">
        <f>23910</f>
        <v>23910</v>
      </c>
      <c r="P57" s="32" t="s">
        <v>674</v>
      </c>
      <c r="Q57" s="31">
        <f>25385</f>
        <v>25385</v>
      </c>
      <c r="R57" s="32" t="s">
        <v>777</v>
      </c>
      <c r="S57" s="33">
        <f>25115</f>
        <v>25115</v>
      </c>
      <c r="T57" s="30">
        <f>338</f>
        <v>338</v>
      </c>
      <c r="U57" s="30" t="str">
        <f>"－"</f>
        <v>－</v>
      </c>
      <c r="V57" s="30">
        <f>8552375</f>
        <v>8552375</v>
      </c>
      <c r="W57" s="30" t="str">
        <f>"－"</f>
        <v>－</v>
      </c>
      <c r="X57" s="34">
        <f>15</f>
        <v>15</v>
      </c>
    </row>
    <row r="58" spans="1:24" x14ac:dyDescent="0.15">
      <c r="A58" s="25" t="s">
        <v>1078</v>
      </c>
      <c r="B58" s="25" t="s">
        <v>164</v>
      </c>
      <c r="C58" s="25" t="s">
        <v>165</v>
      </c>
      <c r="D58" s="25" t="s">
        <v>166</v>
      </c>
      <c r="E58" s="26" t="s">
        <v>43</v>
      </c>
      <c r="F58" s="27" t="s">
        <v>43</v>
      </c>
      <c r="G58" s="28" t="s">
        <v>43</v>
      </c>
      <c r="H58" s="29"/>
      <c r="I58" s="29" t="s">
        <v>44</v>
      </c>
      <c r="J58" s="30">
        <v>1</v>
      </c>
      <c r="K58" s="31">
        <f>2409</f>
        <v>2409</v>
      </c>
      <c r="L58" s="32" t="s">
        <v>675</v>
      </c>
      <c r="M58" s="31">
        <f>2700</f>
        <v>2700</v>
      </c>
      <c r="N58" s="32" t="s">
        <v>875</v>
      </c>
      <c r="O58" s="31">
        <f>2401</f>
        <v>2401</v>
      </c>
      <c r="P58" s="32" t="s">
        <v>675</v>
      </c>
      <c r="Q58" s="31">
        <f>2613</f>
        <v>2613</v>
      </c>
      <c r="R58" s="32" t="s">
        <v>681</v>
      </c>
      <c r="S58" s="33">
        <f>2557.21</f>
        <v>2557.21</v>
      </c>
      <c r="T58" s="30">
        <f>3041</f>
        <v>3041</v>
      </c>
      <c r="U58" s="30" t="str">
        <f>"－"</f>
        <v>－</v>
      </c>
      <c r="V58" s="30">
        <f>7883564</f>
        <v>7883564</v>
      </c>
      <c r="W58" s="30" t="str">
        <f>"－"</f>
        <v>－</v>
      </c>
      <c r="X58" s="34">
        <f>19</f>
        <v>19</v>
      </c>
    </row>
    <row r="59" spans="1:24" x14ac:dyDescent="0.15">
      <c r="A59" s="25" t="s">
        <v>1078</v>
      </c>
      <c r="B59" s="25" t="s">
        <v>167</v>
      </c>
      <c r="C59" s="25" t="s">
        <v>168</v>
      </c>
      <c r="D59" s="25" t="s">
        <v>169</v>
      </c>
      <c r="E59" s="26" t="s">
        <v>43</v>
      </c>
      <c r="F59" s="27" t="s">
        <v>43</v>
      </c>
      <c r="G59" s="28" t="s">
        <v>43</v>
      </c>
      <c r="H59" s="29"/>
      <c r="I59" s="29" t="s">
        <v>44</v>
      </c>
      <c r="J59" s="30">
        <v>1</v>
      </c>
      <c r="K59" s="31">
        <f>1808</f>
        <v>1808</v>
      </c>
      <c r="L59" s="32" t="s">
        <v>675</v>
      </c>
      <c r="M59" s="31">
        <f>1809</f>
        <v>1809</v>
      </c>
      <c r="N59" s="32" t="s">
        <v>675</v>
      </c>
      <c r="O59" s="31">
        <f>1759</f>
        <v>1759</v>
      </c>
      <c r="P59" s="32" t="s">
        <v>679</v>
      </c>
      <c r="Q59" s="31">
        <f>1781</f>
        <v>1781</v>
      </c>
      <c r="R59" s="32" t="s">
        <v>681</v>
      </c>
      <c r="S59" s="33">
        <f>1779.84</f>
        <v>1779.84</v>
      </c>
      <c r="T59" s="30">
        <f>5367184</f>
        <v>5367184</v>
      </c>
      <c r="U59" s="30">
        <f>1788941</f>
        <v>1788941</v>
      </c>
      <c r="V59" s="30">
        <f>9564623860</f>
        <v>9564623860</v>
      </c>
      <c r="W59" s="30">
        <f>3191381133</f>
        <v>3191381133</v>
      </c>
      <c r="X59" s="34">
        <f>19</f>
        <v>19</v>
      </c>
    </row>
    <row r="60" spans="1:24" x14ac:dyDescent="0.15">
      <c r="A60" s="25" t="s">
        <v>1078</v>
      </c>
      <c r="B60" s="25" t="s">
        <v>170</v>
      </c>
      <c r="C60" s="25" t="s">
        <v>171</v>
      </c>
      <c r="D60" s="25" t="s">
        <v>172</v>
      </c>
      <c r="E60" s="26" t="s">
        <v>43</v>
      </c>
      <c r="F60" s="27" t="s">
        <v>43</v>
      </c>
      <c r="G60" s="28" t="s">
        <v>43</v>
      </c>
      <c r="H60" s="29"/>
      <c r="I60" s="29" t="s">
        <v>44</v>
      </c>
      <c r="J60" s="30">
        <v>1</v>
      </c>
      <c r="K60" s="31">
        <f>2426</f>
        <v>2426</v>
      </c>
      <c r="L60" s="32" t="s">
        <v>675</v>
      </c>
      <c r="M60" s="31">
        <f>2709</f>
        <v>2709</v>
      </c>
      <c r="N60" s="32" t="s">
        <v>760</v>
      </c>
      <c r="O60" s="31">
        <f>2426</f>
        <v>2426</v>
      </c>
      <c r="P60" s="32" t="s">
        <v>675</v>
      </c>
      <c r="Q60" s="31">
        <f>2653</f>
        <v>2653</v>
      </c>
      <c r="R60" s="32" t="s">
        <v>681</v>
      </c>
      <c r="S60" s="33">
        <f>2571.12</f>
        <v>2571.12</v>
      </c>
      <c r="T60" s="30">
        <f>3455</f>
        <v>3455</v>
      </c>
      <c r="U60" s="30" t="str">
        <f>"－"</f>
        <v>－</v>
      </c>
      <c r="V60" s="30">
        <f>8938695</f>
        <v>8938695</v>
      </c>
      <c r="W60" s="30" t="str">
        <f>"－"</f>
        <v>－</v>
      </c>
      <c r="X60" s="34">
        <f>17</f>
        <v>17</v>
      </c>
    </row>
    <row r="61" spans="1:24" x14ac:dyDescent="0.15">
      <c r="A61" s="25" t="s">
        <v>1078</v>
      </c>
      <c r="B61" s="25" t="s">
        <v>173</v>
      </c>
      <c r="C61" s="25" t="s">
        <v>174</v>
      </c>
      <c r="D61" s="25" t="s">
        <v>175</v>
      </c>
      <c r="E61" s="26" t="s">
        <v>43</v>
      </c>
      <c r="F61" s="27" t="s">
        <v>43</v>
      </c>
      <c r="G61" s="28" t="s">
        <v>43</v>
      </c>
      <c r="H61" s="29"/>
      <c r="I61" s="29" t="s">
        <v>44</v>
      </c>
      <c r="J61" s="30">
        <v>10</v>
      </c>
      <c r="K61" s="31">
        <f>2396</f>
        <v>2396</v>
      </c>
      <c r="L61" s="32" t="s">
        <v>675</v>
      </c>
      <c r="M61" s="31">
        <f>2610.5</f>
        <v>2610.5</v>
      </c>
      <c r="N61" s="32" t="s">
        <v>676</v>
      </c>
      <c r="O61" s="31">
        <f>2396</f>
        <v>2396</v>
      </c>
      <c r="P61" s="32" t="s">
        <v>675</v>
      </c>
      <c r="Q61" s="31">
        <f>2581.5</f>
        <v>2581.5</v>
      </c>
      <c r="R61" s="32" t="s">
        <v>681</v>
      </c>
      <c r="S61" s="33">
        <f>2524.24</f>
        <v>2524.2399999999998</v>
      </c>
      <c r="T61" s="30">
        <f>52030</f>
        <v>52030</v>
      </c>
      <c r="U61" s="30" t="str">
        <f>"－"</f>
        <v>－</v>
      </c>
      <c r="V61" s="30">
        <f>132442230</f>
        <v>132442230</v>
      </c>
      <c r="W61" s="30" t="str">
        <f>"－"</f>
        <v>－</v>
      </c>
      <c r="X61" s="34">
        <f>19</f>
        <v>19</v>
      </c>
    </row>
    <row r="62" spans="1:24" x14ac:dyDescent="0.15">
      <c r="A62" s="25" t="s">
        <v>1078</v>
      </c>
      <c r="B62" s="25" t="s">
        <v>176</v>
      </c>
      <c r="C62" s="25" t="s">
        <v>177</v>
      </c>
      <c r="D62" s="25" t="s">
        <v>178</v>
      </c>
      <c r="E62" s="26" t="s">
        <v>43</v>
      </c>
      <c r="F62" s="27" t="s">
        <v>43</v>
      </c>
      <c r="G62" s="28" t="s">
        <v>43</v>
      </c>
      <c r="H62" s="29"/>
      <c r="I62" s="29" t="s">
        <v>44</v>
      </c>
      <c r="J62" s="30">
        <v>1</v>
      </c>
      <c r="K62" s="31">
        <f>36220</f>
        <v>36220</v>
      </c>
      <c r="L62" s="32" t="s">
        <v>874</v>
      </c>
      <c r="M62" s="31">
        <f>36220</f>
        <v>36220</v>
      </c>
      <c r="N62" s="32" t="s">
        <v>874</v>
      </c>
      <c r="O62" s="31">
        <f>36220</f>
        <v>36220</v>
      </c>
      <c r="P62" s="32" t="s">
        <v>874</v>
      </c>
      <c r="Q62" s="31">
        <f>36220</f>
        <v>36220</v>
      </c>
      <c r="R62" s="32" t="s">
        <v>778</v>
      </c>
      <c r="S62" s="33">
        <f>36220</f>
        <v>36220</v>
      </c>
      <c r="T62" s="30">
        <f>3</f>
        <v>3</v>
      </c>
      <c r="U62" s="30" t="str">
        <f>"－"</f>
        <v>－</v>
      </c>
      <c r="V62" s="30">
        <f>108660</f>
        <v>108660</v>
      </c>
      <c r="W62" s="30" t="str">
        <f>"－"</f>
        <v>－</v>
      </c>
      <c r="X62" s="34">
        <f>2</f>
        <v>2</v>
      </c>
    </row>
    <row r="63" spans="1:24" x14ac:dyDescent="0.15">
      <c r="A63" s="25" t="s">
        <v>1078</v>
      </c>
      <c r="B63" s="25" t="s">
        <v>179</v>
      </c>
      <c r="C63" s="25" t="s">
        <v>180</v>
      </c>
      <c r="D63" s="25" t="s">
        <v>181</v>
      </c>
      <c r="E63" s="26" t="s">
        <v>43</v>
      </c>
      <c r="F63" s="27" t="s">
        <v>43</v>
      </c>
      <c r="G63" s="28" t="s">
        <v>43</v>
      </c>
      <c r="H63" s="29"/>
      <c r="I63" s="29" t="s">
        <v>44</v>
      </c>
      <c r="J63" s="30">
        <v>1</v>
      </c>
      <c r="K63" s="31">
        <f>22970</f>
        <v>22970</v>
      </c>
      <c r="L63" s="32" t="s">
        <v>675</v>
      </c>
      <c r="M63" s="31">
        <f>23240</f>
        <v>23240</v>
      </c>
      <c r="N63" s="32" t="s">
        <v>681</v>
      </c>
      <c r="O63" s="31">
        <f>22495</f>
        <v>22495</v>
      </c>
      <c r="P63" s="32" t="s">
        <v>876</v>
      </c>
      <c r="Q63" s="31">
        <f>23240</f>
        <v>23240</v>
      </c>
      <c r="R63" s="32" t="s">
        <v>681</v>
      </c>
      <c r="S63" s="33">
        <f>23015.79</f>
        <v>23015.79</v>
      </c>
      <c r="T63" s="30">
        <f>709466</f>
        <v>709466</v>
      </c>
      <c r="U63" s="30">
        <f>430702</f>
        <v>430702</v>
      </c>
      <c r="V63" s="30">
        <f>16379578877</f>
        <v>16379578877</v>
      </c>
      <c r="W63" s="30">
        <f>9944551477</f>
        <v>9944551477</v>
      </c>
      <c r="X63" s="34">
        <f>19</f>
        <v>19</v>
      </c>
    </row>
    <row r="64" spans="1:24" x14ac:dyDescent="0.15">
      <c r="A64" s="25" t="s">
        <v>1078</v>
      </c>
      <c r="B64" s="25" t="s">
        <v>182</v>
      </c>
      <c r="C64" s="25" t="s">
        <v>183</v>
      </c>
      <c r="D64" s="25" t="s">
        <v>184</v>
      </c>
      <c r="E64" s="26" t="s">
        <v>43</v>
      </c>
      <c r="F64" s="27" t="s">
        <v>43</v>
      </c>
      <c r="G64" s="28" t="s">
        <v>43</v>
      </c>
      <c r="H64" s="29"/>
      <c r="I64" s="29" t="s">
        <v>44</v>
      </c>
      <c r="J64" s="30">
        <v>1</v>
      </c>
      <c r="K64" s="31">
        <f>13980</f>
        <v>13980</v>
      </c>
      <c r="L64" s="32" t="s">
        <v>675</v>
      </c>
      <c r="M64" s="31">
        <f>13980</f>
        <v>13980</v>
      </c>
      <c r="N64" s="32" t="s">
        <v>675</v>
      </c>
      <c r="O64" s="31">
        <f>13495</f>
        <v>13495</v>
      </c>
      <c r="P64" s="32" t="s">
        <v>679</v>
      </c>
      <c r="Q64" s="31">
        <f>13675</f>
        <v>13675</v>
      </c>
      <c r="R64" s="32" t="s">
        <v>681</v>
      </c>
      <c r="S64" s="33">
        <f>13658.16</f>
        <v>13658.16</v>
      </c>
      <c r="T64" s="30">
        <f>668389</f>
        <v>668389</v>
      </c>
      <c r="U64" s="30">
        <f>390977</f>
        <v>390977</v>
      </c>
      <c r="V64" s="30">
        <f>9102799649</f>
        <v>9102799649</v>
      </c>
      <c r="W64" s="30">
        <f>5319703814</f>
        <v>5319703814</v>
      </c>
      <c r="X64" s="34">
        <f>19</f>
        <v>19</v>
      </c>
    </row>
    <row r="65" spans="1:24" x14ac:dyDescent="0.15">
      <c r="A65" s="25" t="s">
        <v>1078</v>
      </c>
      <c r="B65" s="25" t="s">
        <v>185</v>
      </c>
      <c r="C65" s="25" t="s">
        <v>920</v>
      </c>
      <c r="D65" s="25" t="s">
        <v>921</v>
      </c>
      <c r="E65" s="26" t="s">
        <v>43</v>
      </c>
      <c r="F65" s="27" t="s">
        <v>43</v>
      </c>
      <c r="G65" s="28" t="s">
        <v>43</v>
      </c>
      <c r="H65" s="29"/>
      <c r="I65" s="29" t="s">
        <v>44</v>
      </c>
      <c r="J65" s="30">
        <v>10</v>
      </c>
      <c r="K65" s="31">
        <f>1869</f>
        <v>1869</v>
      </c>
      <c r="L65" s="32" t="s">
        <v>675</v>
      </c>
      <c r="M65" s="31">
        <f>1906</f>
        <v>1906</v>
      </c>
      <c r="N65" s="32" t="s">
        <v>778</v>
      </c>
      <c r="O65" s="31">
        <f>1850</f>
        <v>1850</v>
      </c>
      <c r="P65" s="32" t="s">
        <v>675</v>
      </c>
      <c r="Q65" s="31">
        <f>1866.5</f>
        <v>1866.5</v>
      </c>
      <c r="R65" s="32" t="s">
        <v>681</v>
      </c>
      <c r="S65" s="33">
        <f>1878.76</f>
        <v>1878.76</v>
      </c>
      <c r="T65" s="30">
        <f>1210270</f>
        <v>1210270</v>
      </c>
      <c r="U65" s="30">
        <f>479480</f>
        <v>479480</v>
      </c>
      <c r="V65" s="30">
        <f>2275457623</f>
        <v>2275457623</v>
      </c>
      <c r="W65" s="30">
        <f>903146603</f>
        <v>903146603</v>
      </c>
      <c r="X65" s="34">
        <f>19</f>
        <v>19</v>
      </c>
    </row>
    <row r="66" spans="1:24" x14ac:dyDescent="0.15">
      <c r="A66" s="25" t="s">
        <v>1078</v>
      </c>
      <c r="B66" s="25" t="s">
        <v>186</v>
      </c>
      <c r="C66" s="25" t="s">
        <v>187</v>
      </c>
      <c r="D66" s="25" t="s">
        <v>188</v>
      </c>
      <c r="E66" s="26" t="s">
        <v>1076</v>
      </c>
      <c r="F66" s="27" t="s">
        <v>1077</v>
      </c>
      <c r="G66" s="28" t="s">
        <v>43</v>
      </c>
      <c r="H66" s="29"/>
      <c r="I66" s="29" t="s">
        <v>44</v>
      </c>
      <c r="J66" s="30">
        <v>1</v>
      </c>
      <c r="K66" s="31">
        <f>58500</f>
        <v>58500</v>
      </c>
      <c r="L66" s="32" t="s">
        <v>675</v>
      </c>
      <c r="M66" s="31">
        <f>62700</f>
        <v>62700</v>
      </c>
      <c r="N66" s="32" t="s">
        <v>760</v>
      </c>
      <c r="O66" s="31">
        <f>57880</f>
        <v>57880</v>
      </c>
      <c r="P66" s="32" t="s">
        <v>675</v>
      </c>
      <c r="Q66" s="31">
        <f>62410</f>
        <v>62410</v>
      </c>
      <c r="R66" s="32" t="s">
        <v>760</v>
      </c>
      <c r="S66" s="33">
        <f>60747.5</f>
        <v>60747.5</v>
      </c>
      <c r="T66" s="30">
        <f>394120</f>
        <v>394120</v>
      </c>
      <c r="U66" s="30">
        <f>20206</f>
        <v>20206</v>
      </c>
      <c r="V66" s="30">
        <f>23891427621</f>
        <v>23891427621</v>
      </c>
      <c r="W66" s="30">
        <f>1232802161</f>
        <v>1232802161</v>
      </c>
      <c r="X66" s="34">
        <f>8</f>
        <v>8</v>
      </c>
    </row>
    <row r="67" spans="1:24" x14ac:dyDescent="0.15">
      <c r="A67" s="25" t="s">
        <v>1078</v>
      </c>
      <c r="B67" s="25" t="s">
        <v>186</v>
      </c>
      <c r="C67" s="25" t="s">
        <v>187</v>
      </c>
      <c r="D67" s="25" t="s">
        <v>188</v>
      </c>
      <c r="E67" s="26" t="s">
        <v>1076</v>
      </c>
      <c r="F67" s="27" t="s">
        <v>1077</v>
      </c>
      <c r="G67" s="28" t="s">
        <v>43</v>
      </c>
      <c r="H67" s="29"/>
      <c r="I67" s="29" t="s">
        <v>44</v>
      </c>
      <c r="J67" s="30">
        <v>1</v>
      </c>
      <c r="K67" s="31">
        <f>2097</f>
        <v>2097</v>
      </c>
      <c r="L67" s="32" t="s">
        <v>682</v>
      </c>
      <c r="M67" s="31">
        <f>2149</f>
        <v>2149</v>
      </c>
      <c r="N67" s="32" t="s">
        <v>682</v>
      </c>
      <c r="O67" s="31">
        <f>2071</f>
        <v>2071</v>
      </c>
      <c r="P67" s="32" t="s">
        <v>680</v>
      </c>
      <c r="Q67" s="31">
        <f>2137</f>
        <v>2137</v>
      </c>
      <c r="R67" s="32" t="s">
        <v>681</v>
      </c>
      <c r="S67" s="33">
        <f>2103.64</f>
        <v>2103.64</v>
      </c>
      <c r="T67" s="30">
        <f>7954673</f>
        <v>7954673</v>
      </c>
      <c r="U67" s="30">
        <f>492930</f>
        <v>492930</v>
      </c>
      <c r="V67" s="30">
        <f>16722112793</f>
        <v>16722112793</v>
      </c>
      <c r="W67" s="30">
        <f>1035306972</f>
        <v>1035306972</v>
      </c>
      <c r="X67" s="34">
        <f>11</f>
        <v>11</v>
      </c>
    </row>
    <row r="68" spans="1:24" x14ac:dyDescent="0.15">
      <c r="A68" s="25" t="s">
        <v>1078</v>
      </c>
      <c r="B68" s="25" t="s">
        <v>189</v>
      </c>
      <c r="C68" s="25" t="s">
        <v>190</v>
      </c>
      <c r="D68" s="25" t="s">
        <v>191</v>
      </c>
      <c r="E68" s="26" t="s">
        <v>43</v>
      </c>
      <c r="F68" s="27" t="s">
        <v>43</v>
      </c>
      <c r="G68" s="28" t="s">
        <v>43</v>
      </c>
      <c r="H68" s="29"/>
      <c r="I68" s="29" t="s">
        <v>44</v>
      </c>
      <c r="J68" s="30">
        <v>10</v>
      </c>
      <c r="K68" s="31">
        <f>7874</f>
        <v>7874</v>
      </c>
      <c r="L68" s="32" t="s">
        <v>678</v>
      </c>
      <c r="M68" s="31">
        <f>7874</f>
        <v>7874</v>
      </c>
      <c r="N68" s="32" t="s">
        <v>678</v>
      </c>
      <c r="O68" s="31">
        <f>7874</f>
        <v>7874</v>
      </c>
      <c r="P68" s="32" t="s">
        <v>678</v>
      </c>
      <c r="Q68" s="31">
        <f>7874</f>
        <v>7874</v>
      </c>
      <c r="R68" s="32" t="s">
        <v>678</v>
      </c>
      <c r="S68" s="33">
        <f>7874</f>
        <v>7874</v>
      </c>
      <c r="T68" s="30">
        <f>10</f>
        <v>10</v>
      </c>
      <c r="U68" s="30" t="str">
        <f>"－"</f>
        <v>－</v>
      </c>
      <c r="V68" s="30">
        <f>78740</f>
        <v>78740</v>
      </c>
      <c r="W68" s="30" t="str">
        <f>"－"</f>
        <v>－</v>
      </c>
      <c r="X68" s="34">
        <f>1</f>
        <v>1</v>
      </c>
    </row>
    <row r="69" spans="1:24" x14ac:dyDescent="0.15">
      <c r="A69" s="25" t="s">
        <v>1078</v>
      </c>
      <c r="B69" s="25" t="s">
        <v>192</v>
      </c>
      <c r="C69" s="25" t="s">
        <v>193</v>
      </c>
      <c r="D69" s="25" t="s">
        <v>194</v>
      </c>
      <c r="E69" s="26" t="s">
        <v>43</v>
      </c>
      <c r="F69" s="27" t="s">
        <v>43</v>
      </c>
      <c r="G69" s="28" t="s">
        <v>43</v>
      </c>
      <c r="H69" s="29" t="s">
        <v>240</v>
      </c>
      <c r="I69" s="29" t="s">
        <v>44</v>
      </c>
      <c r="J69" s="30">
        <v>1</v>
      </c>
      <c r="K69" s="31">
        <f>17245</f>
        <v>17245</v>
      </c>
      <c r="L69" s="32" t="s">
        <v>675</v>
      </c>
      <c r="M69" s="31">
        <f>18510</f>
        <v>18510</v>
      </c>
      <c r="N69" s="32" t="s">
        <v>777</v>
      </c>
      <c r="O69" s="31">
        <f>17245</f>
        <v>17245</v>
      </c>
      <c r="P69" s="32" t="s">
        <v>675</v>
      </c>
      <c r="Q69" s="31">
        <f>18510</f>
        <v>18510</v>
      </c>
      <c r="R69" s="32" t="s">
        <v>681</v>
      </c>
      <c r="S69" s="33">
        <f>18134.44</f>
        <v>18134.439999999999</v>
      </c>
      <c r="T69" s="30">
        <f>2035</f>
        <v>2035</v>
      </c>
      <c r="U69" s="30" t="str">
        <f>"－"</f>
        <v>－</v>
      </c>
      <c r="V69" s="30">
        <f>37077315</f>
        <v>37077315</v>
      </c>
      <c r="W69" s="30" t="str">
        <f>"－"</f>
        <v>－</v>
      </c>
      <c r="X69" s="34">
        <f>18</f>
        <v>18</v>
      </c>
    </row>
    <row r="70" spans="1:24" x14ac:dyDescent="0.15">
      <c r="A70" s="25" t="s">
        <v>1078</v>
      </c>
      <c r="B70" s="25" t="s">
        <v>195</v>
      </c>
      <c r="C70" s="25" t="s">
        <v>196</v>
      </c>
      <c r="D70" s="25" t="s">
        <v>197</v>
      </c>
      <c r="E70" s="26" t="s">
        <v>43</v>
      </c>
      <c r="F70" s="27" t="s">
        <v>43</v>
      </c>
      <c r="G70" s="28" t="s">
        <v>43</v>
      </c>
      <c r="H70" s="29"/>
      <c r="I70" s="29" t="s">
        <v>44</v>
      </c>
      <c r="J70" s="30">
        <v>1</v>
      </c>
      <c r="K70" s="31">
        <f>17535</f>
        <v>17535</v>
      </c>
      <c r="L70" s="32" t="s">
        <v>675</v>
      </c>
      <c r="M70" s="31">
        <f>18420</f>
        <v>18420</v>
      </c>
      <c r="N70" s="32" t="s">
        <v>777</v>
      </c>
      <c r="O70" s="31">
        <f>17375</f>
        <v>17375</v>
      </c>
      <c r="P70" s="32" t="s">
        <v>675</v>
      </c>
      <c r="Q70" s="31">
        <f>18345</f>
        <v>18345</v>
      </c>
      <c r="R70" s="32" t="s">
        <v>681</v>
      </c>
      <c r="S70" s="33">
        <f>18053.42</f>
        <v>18053.419999999998</v>
      </c>
      <c r="T70" s="30">
        <f>3751</f>
        <v>3751</v>
      </c>
      <c r="U70" s="30" t="str">
        <f>"－"</f>
        <v>－</v>
      </c>
      <c r="V70" s="30">
        <f>68171175</f>
        <v>68171175</v>
      </c>
      <c r="W70" s="30" t="str">
        <f>"－"</f>
        <v>－</v>
      </c>
      <c r="X70" s="34">
        <f>19</f>
        <v>19</v>
      </c>
    </row>
    <row r="71" spans="1:24" x14ac:dyDescent="0.15">
      <c r="A71" s="25" t="s">
        <v>1078</v>
      </c>
      <c r="B71" s="25" t="s">
        <v>198</v>
      </c>
      <c r="C71" s="25" t="s">
        <v>199</v>
      </c>
      <c r="D71" s="25" t="s">
        <v>200</v>
      </c>
      <c r="E71" s="26" t="s">
        <v>43</v>
      </c>
      <c r="F71" s="27" t="s">
        <v>43</v>
      </c>
      <c r="G71" s="28" t="s">
        <v>43</v>
      </c>
      <c r="H71" s="29"/>
      <c r="I71" s="29" t="s">
        <v>44</v>
      </c>
      <c r="J71" s="30">
        <v>1</v>
      </c>
      <c r="K71" s="31">
        <f>26940</f>
        <v>26940</v>
      </c>
      <c r="L71" s="32" t="s">
        <v>675</v>
      </c>
      <c r="M71" s="31">
        <f>28390</f>
        <v>28390</v>
      </c>
      <c r="N71" s="32" t="s">
        <v>760</v>
      </c>
      <c r="O71" s="31">
        <f>26420</f>
        <v>26420</v>
      </c>
      <c r="P71" s="32" t="s">
        <v>675</v>
      </c>
      <c r="Q71" s="31">
        <f>28280</f>
        <v>28280</v>
      </c>
      <c r="R71" s="32" t="s">
        <v>681</v>
      </c>
      <c r="S71" s="33">
        <f>27785.53</f>
        <v>27785.53</v>
      </c>
      <c r="T71" s="30">
        <f>39259</f>
        <v>39259</v>
      </c>
      <c r="U71" s="30">
        <f>14710</f>
        <v>14710</v>
      </c>
      <c r="V71" s="30">
        <f>1084958300</f>
        <v>1084958300</v>
      </c>
      <c r="W71" s="30">
        <f>402666170</f>
        <v>402666170</v>
      </c>
      <c r="X71" s="34">
        <f>19</f>
        <v>19</v>
      </c>
    </row>
    <row r="72" spans="1:24" x14ac:dyDescent="0.15">
      <c r="A72" s="25" t="s">
        <v>1078</v>
      </c>
      <c r="B72" s="25" t="s">
        <v>201</v>
      </c>
      <c r="C72" s="25" t="s">
        <v>202</v>
      </c>
      <c r="D72" s="25" t="s">
        <v>203</v>
      </c>
      <c r="E72" s="26" t="s">
        <v>43</v>
      </c>
      <c r="F72" s="27" t="s">
        <v>43</v>
      </c>
      <c r="G72" s="28" t="s">
        <v>43</v>
      </c>
      <c r="H72" s="29"/>
      <c r="I72" s="29" t="s">
        <v>44</v>
      </c>
      <c r="J72" s="30">
        <v>10</v>
      </c>
      <c r="K72" s="31">
        <f>10600</f>
        <v>10600</v>
      </c>
      <c r="L72" s="32" t="s">
        <v>675</v>
      </c>
      <c r="M72" s="31">
        <f>10750</f>
        <v>10750</v>
      </c>
      <c r="N72" s="32" t="s">
        <v>682</v>
      </c>
      <c r="O72" s="31">
        <f>10250</f>
        <v>10250</v>
      </c>
      <c r="P72" s="32" t="s">
        <v>777</v>
      </c>
      <c r="Q72" s="31">
        <f>10260</f>
        <v>10260</v>
      </c>
      <c r="R72" s="32" t="s">
        <v>681</v>
      </c>
      <c r="S72" s="33">
        <f>10482.11</f>
        <v>10482.11</v>
      </c>
      <c r="T72" s="30">
        <f>14030</f>
        <v>14030</v>
      </c>
      <c r="U72" s="30">
        <f>120</f>
        <v>120</v>
      </c>
      <c r="V72" s="30">
        <f>147493500</f>
        <v>147493500</v>
      </c>
      <c r="W72" s="30">
        <f>1260150</f>
        <v>1260150</v>
      </c>
      <c r="X72" s="34">
        <f>19</f>
        <v>19</v>
      </c>
    </row>
    <row r="73" spans="1:24" x14ac:dyDescent="0.15">
      <c r="A73" s="25" t="s">
        <v>1078</v>
      </c>
      <c r="B73" s="25" t="s">
        <v>204</v>
      </c>
      <c r="C73" s="25" t="s">
        <v>205</v>
      </c>
      <c r="D73" s="25" t="s">
        <v>206</v>
      </c>
      <c r="E73" s="26" t="s">
        <v>43</v>
      </c>
      <c r="F73" s="27" t="s">
        <v>43</v>
      </c>
      <c r="G73" s="28" t="s">
        <v>43</v>
      </c>
      <c r="H73" s="29"/>
      <c r="I73" s="29" t="s">
        <v>44</v>
      </c>
      <c r="J73" s="30">
        <v>1</v>
      </c>
      <c r="K73" s="31">
        <f>1933</f>
        <v>1933</v>
      </c>
      <c r="L73" s="32" t="s">
        <v>675</v>
      </c>
      <c r="M73" s="31">
        <f>1941</f>
        <v>1941</v>
      </c>
      <c r="N73" s="32" t="s">
        <v>876</v>
      </c>
      <c r="O73" s="31">
        <f>1880</f>
        <v>1880</v>
      </c>
      <c r="P73" s="32" t="s">
        <v>679</v>
      </c>
      <c r="Q73" s="31">
        <f>1907</f>
        <v>1907</v>
      </c>
      <c r="R73" s="32" t="s">
        <v>681</v>
      </c>
      <c r="S73" s="33">
        <f>1905.63</f>
        <v>1905.63</v>
      </c>
      <c r="T73" s="30">
        <f>2583075</f>
        <v>2583075</v>
      </c>
      <c r="U73" s="30">
        <f>1975055</f>
        <v>1975055</v>
      </c>
      <c r="V73" s="30">
        <f>4935640149</f>
        <v>4935640149</v>
      </c>
      <c r="W73" s="30">
        <f>3776156096</f>
        <v>3776156096</v>
      </c>
      <c r="X73" s="34">
        <f>19</f>
        <v>19</v>
      </c>
    </row>
    <row r="74" spans="1:24" x14ac:dyDescent="0.15">
      <c r="A74" s="25" t="s">
        <v>1078</v>
      </c>
      <c r="B74" s="25" t="s">
        <v>207</v>
      </c>
      <c r="C74" s="25" t="s">
        <v>208</v>
      </c>
      <c r="D74" s="25" t="s">
        <v>209</v>
      </c>
      <c r="E74" s="26" t="s">
        <v>43</v>
      </c>
      <c r="F74" s="27" t="s">
        <v>43</v>
      </c>
      <c r="G74" s="28" t="s">
        <v>43</v>
      </c>
      <c r="H74" s="29"/>
      <c r="I74" s="29" t="s">
        <v>44</v>
      </c>
      <c r="J74" s="30">
        <v>1</v>
      </c>
      <c r="K74" s="31">
        <f>1915</f>
        <v>1915</v>
      </c>
      <c r="L74" s="32" t="s">
        <v>675</v>
      </c>
      <c r="M74" s="31">
        <f>1924</f>
        <v>1924</v>
      </c>
      <c r="N74" s="32" t="s">
        <v>675</v>
      </c>
      <c r="O74" s="31">
        <f>1880</f>
        <v>1880</v>
      </c>
      <c r="P74" s="32" t="s">
        <v>678</v>
      </c>
      <c r="Q74" s="31">
        <f>1896</f>
        <v>1896</v>
      </c>
      <c r="R74" s="32" t="s">
        <v>681</v>
      </c>
      <c r="S74" s="33">
        <f>1898.42</f>
        <v>1898.42</v>
      </c>
      <c r="T74" s="30">
        <f>737421</f>
        <v>737421</v>
      </c>
      <c r="U74" s="30">
        <f>6</f>
        <v>6</v>
      </c>
      <c r="V74" s="30">
        <f>1401232815</f>
        <v>1401232815</v>
      </c>
      <c r="W74" s="30">
        <f>11442</f>
        <v>11442</v>
      </c>
      <c r="X74" s="34">
        <f>19</f>
        <v>19</v>
      </c>
    </row>
    <row r="75" spans="1:24" x14ac:dyDescent="0.15">
      <c r="A75" s="25" t="s">
        <v>1078</v>
      </c>
      <c r="B75" s="25" t="s">
        <v>210</v>
      </c>
      <c r="C75" s="25" t="s">
        <v>211</v>
      </c>
      <c r="D75" s="25" t="s">
        <v>212</v>
      </c>
      <c r="E75" s="26" t="s">
        <v>43</v>
      </c>
      <c r="F75" s="27" t="s">
        <v>43</v>
      </c>
      <c r="G75" s="28" t="s">
        <v>43</v>
      </c>
      <c r="H75" s="29"/>
      <c r="I75" s="29" t="s">
        <v>44</v>
      </c>
      <c r="J75" s="30">
        <v>1</v>
      </c>
      <c r="K75" s="31">
        <f>18295</f>
        <v>18295</v>
      </c>
      <c r="L75" s="32" t="s">
        <v>675</v>
      </c>
      <c r="M75" s="31">
        <f>20050</f>
        <v>20050</v>
      </c>
      <c r="N75" s="32" t="s">
        <v>778</v>
      </c>
      <c r="O75" s="31">
        <f>18155</f>
        <v>18155</v>
      </c>
      <c r="P75" s="32" t="s">
        <v>675</v>
      </c>
      <c r="Q75" s="31">
        <f>19910</f>
        <v>19910</v>
      </c>
      <c r="R75" s="32" t="s">
        <v>681</v>
      </c>
      <c r="S75" s="33">
        <f>19466.84</f>
        <v>19466.84</v>
      </c>
      <c r="T75" s="30">
        <f>3920</f>
        <v>3920</v>
      </c>
      <c r="U75" s="30">
        <f>550</f>
        <v>550</v>
      </c>
      <c r="V75" s="30">
        <f>75810050</f>
        <v>75810050</v>
      </c>
      <c r="W75" s="30">
        <f>9982995</f>
        <v>9982995</v>
      </c>
      <c r="X75" s="34">
        <f>19</f>
        <v>19</v>
      </c>
    </row>
    <row r="76" spans="1:24" x14ac:dyDescent="0.15">
      <c r="A76" s="25" t="s">
        <v>1078</v>
      </c>
      <c r="B76" s="25" t="s">
        <v>213</v>
      </c>
      <c r="C76" s="25" t="s">
        <v>214</v>
      </c>
      <c r="D76" s="25" t="s">
        <v>215</v>
      </c>
      <c r="E76" s="26" t="s">
        <v>43</v>
      </c>
      <c r="F76" s="27" t="s">
        <v>43</v>
      </c>
      <c r="G76" s="28" t="s">
        <v>43</v>
      </c>
      <c r="H76" s="29"/>
      <c r="I76" s="29" t="s">
        <v>44</v>
      </c>
      <c r="J76" s="30">
        <v>1</v>
      </c>
      <c r="K76" s="31">
        <f>9334</f>
        <v>9334</v>
      </c>
      <c r="L76" s="32" t="s">
        <v>675</v>
      </c>
      <c r="M76" s="31">
        <f>9700</f>
        <v>9700</v>
      </c>
      <c r="N76" s="32" t="s">
        <v>874</v>
      </c>
      <c r="O76" s="31">
        <f>9270</f>
        <v>9270</v>
      </c>
      <c r="P76" s="32" t="s">
        <v>677</v>
      </c>
      <c r="Q76" s="31">
        <f>9474</f>
        <v>9474</v>
      </c>
      <c r="R76" s="32" t="s">
        <v>681</v>
      </c>
      <c r="S76" s="33">
        <f>9462</f>
        <v>9462</v>
      </c>
      <c r="T76" s="30">
        <f>6551</f>
        <v>6551</v>
      </c>
      <c r="U76" s="30">
        <f>3</f>
        <v>3</v>
      </c>
      <c r="V76" s="30">
        <f>62048023</f>
        <v>62048023</v>
      </c>
      <c r="W76" s="30">
        <f>28243</f>
        <v>28243</v>
      </c>
      <c r="X76" s="34">
        <f>19</f>
        <v>19</v>
      </c>
    </row>
    <row r="77" spans="1:24" x14ac:dyDescent="0.15">
      <c r="A77" s="25" t="s">
        <v>1078</v>
      </c>
      <c r="B77" s="25" t="s">
        <v>216</v>
      </c>
      <c r="C77" s="25" t="s">
        <v>217</v>
      </c>
      <c r="D77" s="25" t="s">
        <v>218</v>
      </c>
      <c r="E77" s="26" t="s">
        <v>43</v>
      </c>
      <c r="F77" s="27" t="s">
        <v>43</v>
      </c>
      <c r="G77" s="28" t="s">
        <v>43</v>
      </c>
      <c r="H77" s="29"/>
      <c r="I77" s="29" t="s">
        <v>44</v>
      </c>
      <c r="J77" s="30">
        <v>1</v>
      </c>
      <c r="K77" s="31">
        <f>8932</f>
        <v>8932</v>
      </c>
      <c r="L77" s="32" t="s">
        <v>675</v>
      </c>
      <c r="M77" s="31">
        <f>9144</f>
        <v>9144</v>
      </c>
      <c r="N77" s="32" t="s">
        <v>683</v>
      </c>
      <c r="O77" s="31">
        <f>8893</f>
        <v>8893</v>
      </c>
      <c r="P77" s="32" t="s">
        <v>876</v>
      </c>
      <c r="Q77" s="31">
        <f>9135</f>
        <v>9135</v>
      </c>
      <c r="R77" s="32" t="s">
        <v>681</v>
      </c>
      <c r="S77" s="33">
        <f>9059.68</f>
        <v>9059.68</v>
      </c>
      <c r="T77" s="30">
        <f>2137730</f>
        <v>2137730</v>
      </c>
      <c r="U77" s="30">
        <f>74075</f>
        <v>74075</v>
      </c>
      <c r="V77" s="30">
        <f>19344470634</f>
        <v>19344470634</v>
      </c>
      <c r="W77" s="30">
        <f>673787606</f>
        <v>673787606</v>
      </c>
      <c r="X77" s="34">
        <f>19</f>
        <v>19</v>
      </c>
    </row>
    <row r="78" spans="1:24" x14ac:dyDescent="0.15">
      <c r="A78" s="25" t="s">
        <v>1078</v>
      </c>
      <c r="B78" s="25" t="s">
        <v>219</v>
      </c>
      <c r="C78" s="25" t="s">
        <v>220</v>
      </c>
      <c r="D78" s="25" t="s">
        <v>221</v>
      </c>
      <c r="E78" s="26" t="s">
        <v>43</v>
      </c>
      <c r="F78" s="27" t="s">
        <v>43</v>
      </c>
      <c r="G78" s="28" t="s">
        <v>43</v>
      </c>
      <c r="H78" s="29"/>
      <c r="I78" s="29" t="s">
        <v>44</v>
      </c>
      <c r="J78" s="30">
        <v>1</v>
      </c>
      <c r="K78" s="31">
        <f>4050</f>
        <v>4050</v>
      </c>
      <c r="L78" s="32" t="s">
        <v>675</v>
      </c>
      <c r="M78" s="31">
        <f>4060</f>
        <v>4060</v>
      </c>
      <c r="N78" s="32" t="s">
        <v>675</v>
      </c>
      <c r="O78" s="31">
        <f>3925</f>
        <v>3925</v>
      </c>
      <c r="P78" s="32" t="s">
        <v>875</v>
      </c>
      <c r="Q78" s="31">
        <f>4020</f>
        <v>4020</v>
      </c>
      <c r="R78" s="32" t="s">
        <v>681</v>
      </c>
      <c r="S78" s="33">
        <f>3983.16</f>
        <v>3983.16</v>
      </c>
      <c r="T78" s="30">
        <f>586176</f>
        <v>586176</v>
      </c>
      <c r="U78" s="30">
        <f>161</f>
        <v>161</v>
      </c>
      <c r="V78" s="30">
        <f>2331134420</f>
        <v>2331134420</v>
      </c>
      <c r="W78" s="30">
        <f>617930</f>
        <v>617930</v>
      </c>
      <c r="X78" s="34">
        <f>19</f>
        <v>19</v>
      </c>
    </row>
    <row r="79" spans="1:24" x14ac:dyDescent="0.15">
      <c r="A79" s="25" t="s">
        <v>1078</v>
      </c>
      <c r="B79" s="25" t="s">
        <v>222</v>
      </c>
      <c r="C79" s="25" t="s">
        <v>223</v>
      </c>
      <c r="D79" s="25" t="s">
        <v>224</v>
      </c>
      <c r="E79" s="26" t="s">
        <v>43</v>
      </c>
      <c r="F79" s="27" t="s">
        <v>43</v>
      </c>
      <c r="G79" s="28" t="s">
        <v>43</v>
      </c>
      <c r="H79" s="29"/>
      <c r="I79" s="29" t="s">
        <v>44</v>
      </c>
      <c r="J79" s="30">
        <v>1</v>
      </c>
      <c r="K79" s="31">
        <f>9666</f>
        <v>9666</v>
      </c>
      <c r="L79" s="32" t="s">
        <v>675</v>
      </c>
      <c r="M79" s="31">
        <f>9949</f>
        <v>9949</v>
      </c>
      <c r="N79" s="32" t="s">
        <v>777</v>
      </c>
      <c r="O79" s="31">
        <f>9607</f>
        <v>9607</v>
      </c>
      <c r="P79" s="32" t="s">
        <v>675</v>
      </c>
      <c r="Q79" s="31">
        <f>9919</f>
        <v>9919</v>
      </c>
      <c r="R79" s="32" t="s">
        <v>681</v>
      </c>
      <c r="S79" s="33">
        <f>9806.58</f>
        <v>9806.58</v>
      </c>
      <c r="T79" s="30">
        <f>133187</f>
        <v>133187</v>
      </c>
      <c r="U79" s="30">
        <f>18</f>
        <v>18</v>
      </c>
      <c r="V79" s="30">
        <f>1302805133</f>
        <v>1302805133</v>
      </c>
      <c r="W79" s="30">
        <f>176183</f>
        <v>176183</v>
      </c>
      <c r="X79" s="34">
        <f>19</f>
        <v>19</v>
      </c>
    </row>
    <row r="80" spans="1:24" x14ac:dyDescent="0.15">
      <c r="A80" s="25" t="s">
        <v>1078</v>
      </c>
      <c r="B80" s="25" t="s">
        <v>225</v>
      </c>
      <c r="C80" s="25" t="s">
        <v>226</v>
      </c>
      <c r="D80" s="25" t="s">
        <v>227</v>
      </c>
      <c r="E80" s="26" t="s">
        <v>43</v>
      </c>
      <c r="F80" s="27" t="s">
        <v>43</v>
      </c>
      <c r="G80" s="28" t="s">
        <v>43</v>
      </c>
      <c r="H80" s="29"/>
      <c r="I80" s="29" t="s">
        <v>44</v>
      </c>
      <c r="J80" s="30">
        <v>1</v>
      </c>
      <c r="K80" s="31">
        <f>44700</f>
        <v>44700</v>
      </c>
      <c r="L80" s="32" t="s">
        <v>675</v>
      </c>
      <c r="M80" s="31">
        <f>44850</f>
        <v>44850</v>
      </c>
      <c r="N80" s="32" t="s">
        <v>684</v>
      </c>
      <c r="O80" s="31">
        <f>42080</f>
        <v>42080</v>
      </c>
      <c r="P80" s="32" t="s">
        <v>678</v>
      </c>
      <c r="Q80" s="31">
        <f>42710</f>
        <v>42710</v>
      </c>
      <c r="R80" s="32" t="s">
        <v>681</v>
      </c>
      <c r="S80" s="33">
        <f>43343.16</f>
        <v>43343.16</v>
      </c>
      <c r="T80" s="30">
        <f>16283</f>
        <v>16283</v>
      </c>
      <c r="U80" s="30">
        <f>43</f>
        <v>43</v>
      </c>
      <c r="V80" s="30">
        <f>707588370</f>
        <v>707588370</v>
      </c>
      <c r="W80" s="30">
        <f>1853410</f>
        <v>1853410</v>
      </c>
      <c r="X80" s="34">
        <f>19</f>
        <v>19</v>
      </c>
    </row>
    <row r="81" spans="1:24" x14ac:dyDescent="0.15">
      <c r="A81" s="25" t="s">
        <v>1078</v>
      </c>
      <c r="B81" s="25" t="s">
        <v>228</v>
      </c>
      <c r="C81" s="25" t="s">
        <v>779</v>
      </c>
      <c r="D81" s="25" t="s">
        <v>780</v>
      </c>
      <c r="E81" s="26" t="s">
        <v>43</v>
      </c>
      <c r="F81" s="27" t="s">
        <v>43</v>
      </c>
      <c r="G81" s="28" t="s">
        <v>43</v>
      </c>
      <c r="H81" s="29"/>
      <c r="I81" s="29" t="s">
        <v>44</v>
      </c>
      <c r="J81" s="30">
        <v>1</v>
      </c>
      <c r="K81" s="31">
        <f>23735</f>
        <v>23735</v>
      </c>
      <c r="L81" s="32" t="s">
        <v>675</v>
      </c>
      <c r="M81" s="31">
        <f>26300</f>
        <v>26300</v>
      </c>
      <c r="N81" s="32" t="s">
        <v>683</v>
      </c>
      <c r="O81" s="31">
        <f>23685</f>
        <v>23685</v>
      </c>
      <c r="P81" s="32" t="s">
        <v>675</v>
      </c>
      <c r="Q81" s="31">
        <f>25955</f>
        <v>25955</v>
      </c>
      <c r="R81" s="32" t="s">
        <v>681</v>
      </c>
      <c r="S81" s="33">
        <f>25276.32</f>
        <v>25276.32</v>
      </c>
      <c r="T81" s="30">
        <f>1247268</f>
        <v>1247268</v>
      </c>
      <c r="U81" s="30">
        <f>12702</f>
        <v>12702</v>
      </c>
      <c r="V81" s="30">
        <f>31536222618</f>
        <v>31536222618</v>
      </c>
      <c r="W81" s="30">
        <f>311320198</f>
        <v>311320198</v>
      </c>
      <c r="X81" s="34">
        <f>19</f>
        <v>19</v>
      </c>
    </row>
    <row r="82" spans="1:24" x14ac:dyDescent="0.15">
      <c r="A82" s="25" t="s">
        <v>1078</v>
      </c>
      <c r="B82" s="25" t="s">
        <v>229</v>
      </c>
      <c r="C82" s="25" t="s">
        <v>781</v>
      </c>
      <c r="D82" s="25" t="s">
        <v>782</v>
      </c>
      <c r="E82" s="26" t="s">
        <v>43</v>
      </c>
      <c r="F82" s="27" t="s">
        <v>43</v>
      </c>
      <c r="G82" s="28" t="s">
        <v>43</v>
      </c>
      <c r="H82" s="29"/>
      <c r="I82" s="29" t="s">
        <v>44</v>
      </c>
      <c r="J82" s="30">
        <v>1</v>
      </c>
      <c r="K82" s="31">
        <f>52250</f>
        <v>52250</v>
      </c>
      <c r="L82" s="32" t="s">
        <v>675</v>
      </c>
      <c r="M82" s="31">
        <f>55490</f>
        <v>55490</v>
      </c>
      <c r="N82" s="32" t="s">
        <v>681</v>
      </c>
      <c r="O82" s="31">
        <f>52160</f>
        <v>52160</v>
      </c>
      <c r="P82" s="32" t="s">
        <v>675</v>
      </c>
      <c r="Q82" s="31">
        <f>55470</f>
        <v>55470</v>
      </c>
      <c r="R82" s="32" t="s">
        <v>681</v>
      </c>
      <c r="S82" s="33">
        <f>54022.11</f>
        <v>54022.11</v>
      </c>
      <c r="T82" s="30">
        <f>79357</f>
        <v>79357</v>
      </c>
      <c r="U82" s="30">
        <f>18101</f>
        <v>18101</v>
      </c>
      <c r="V82" s="30">
        <f>4270231962</f>
        <v>4270231962</v>
      </c>
      <c r="W82" s="30">
        <f>972715382</f>
        <v>972715382</v>
      </c>
      <c r="X82" s="34">
        <f>19</f>
        <v>19</v>
      </c>
    </row>
    <row r="83" spans="1:24" x14ac:dyDescent="0.15">
      <c r="A83" s="25" t="s">
        <v>1078</v>
      </c>
      <c r="B83" s="25" t="s">
        <v>230</v>
      </c>
      <c r="C83" s="25" t="s">
        <v>231</v>
      </c>
      <c r="D83" s="25" t="s">
        <v>232</v>
      </c>
      <c r="E83" s="26" t="s">
        <v>43</v>
      </c>
      <c r="F83" s="27" t="s">
        <v>43</v>
      </c>
      <c r="G83" s="28" t="s">
        <v>43</v>
      </c>
      <c r="H83" s="29"/>
      <c r="I83" s="29" t="s">
        <v>44</v>
      </c>
      <c r="J83" s="30">
        <v>10</v>
      </c>
      <c r="K83" s="31">
        <f>7389</f>
        <v>7389</v>
      </c>
      <c r="L83" s="32" t="s">
        <v>675</v>
      </c>
      <c r="M83" s="31">
        <f>7880</f>
        <v>7880</v>
      </c>
      <c r="N83" s="32" t="s">
        <v>777</v>
      </c>
      <c r="O83" s="31">
        <f>7374</f>
        <v>7374</v>
      </c>
      <c r="P83" s="32" t="s">
        <v>675</v>
      </c>
      <c r="Q83" s="31">
        <f>7860</f>
        <v>7860</v>
      </c>
      <c r="R83" s="32" t="s">
        <v>681</v>
      </c>
      <c r="S83" s="33">
        <f>7686.21</f>
        <v>7686.21</v>
      </c>
      <c r="T83" s="30">
        <f>1936000</f>
        <v>1936000</v>
      </c>
      <c r="U83" s="30">
        <f>170370</f>
        <v>170370</v>
      </c>
      <c r="V83" s="30">
        <f>14831913399</f>
        <v>14831913399</v>
      </c>
      <c r="W83" s="30">
        <f>1271069939</f>
        <v>1271069939</v>
      </c>
      <c r="X83" s="34">
        <f>19</f>
        <v>19</v>
      </c>
    </row>
    <row r="84" spans="1:24" x14ac:dyDescent="0.15">
      <c r="A84" s="25" t="s">
        <v>1078</v>
      </c>
      <c r="B84" s="25" t="s">
        <v>233</v>
      </c>
      <c r="C84" s="25" t="s">
        <v>234</v>
      </c>
      <c r="D84" s="25" t="s">
        <v>235</v>
      </c>
      <c r="E84" s="26" t="s">
        <v>43</v>
      </c>
      <c r="F84" s="27" t="s">
        <v>43</v>
      </c>
      <c r="G84" s="28" t="s">
        <v>43</v>
      </c>
      <c r="H84" s="29"/>
      <c r="I84" s="29" t="s">
        <v>44</v>
      </c>
      <c r="J84" s="30">
        <v>10</v>
      </c>
      <c r="K84" s="31">
        <f>4612</f>
        <v>4612</v>
      </c>
      <c r="L84" s="32" t="s">
        <v>675</v>
      </c>
      <c r="M84" s="31">
        <f>4927</f>
        <v>4927</v>
      </c>
      <c r="N84" s="32" t="s">
        <v>777</v>
      </c>
      <c r="O84" s="31">
        <f>4605</f>
        <v>4605</v>
      </c>
      <c r="P84" s="32" t="s">
        <v>675</v>
      </c>
      <c r="Q84" s="31">
        <f>4921</f>
        <v>4921</v>
      </c>
      <c r="R84" s="32" t="s">
        <v>681</v>
      </c>
      <c r="S84" s="33">
        <f>4795.32</f>
        <v>4795.32</v>
      </c>
      <c r="T84" s="30">
        <f>122210</f>
        <v>122210</v>
      </c>
      <c r="U84" s="30" t="str">
        <f>"－"</f>
        <v>－</v>
      </c>
      <c r="V84" s="30">
        <f>582388530</f>
        <v>582388530</v>
      </c>
      <c r="W84" s="30" t="str">
        <f>"－"</f>
        <v>－</v>
      </c>
      <c r="X84" s="34">
        <f>19</f>
        <v>19</v>
      </c>
    </row>
    <row r="85" spans="1:24" x14ac:dyDescent="0.15">
      <c r="A85" s="25" t="s">
        <v>1078</v>
      </c>
      <c r="B85" s="25" t="s">
        <v>236</v>
      </c>
      <c r="C85" s="25" t="s">
        <v>854</v>
      </c>
      <c r="D85" s="25" t="s">
        <v>855</v>
      </c>
      <c r="E85" s="26" t="s">
        <v>43</v>
      </c>
      <c r="F85" s="27" t="s">
        <v>43</v>
      </c>
      <c r="G85" s="28" t="s">
        <v>43</v>
      </c>
      <c r="H85" s="29"/>
      <c r="I85" s="29" t="s">
        <v>44</v>
      </c>
      <c r="J85" s="30">
        <v>10</v>
      </c>
      <c r="K85" s="31">
        <f>4846</f>
        <v>4846</v>
      </c>
      <c r="L85" s="32" t="s">
        <v>675</v>
      </c>
      <c r="M85" s="31">
        <f>5100</f>
        <v>5100</v>
      </c>
      <c r="N85" s="32" t="s">
        <v>875</v>
      </c>
      <c r="O85" s="31">
        <f>4846</f>
        <v>4846</v>
      </c>
      <c r="P85" s="32" t="s">
        <v>675</v>
      </c>
      <c r="Q85" s="31">
        <f>5007</f>
        <v>5007</v>
      </c>
      <c r="R85" s="32" t="s">
        <v>681</v>
      </c>
      <c r="S85" s="33">
        <f>4993.74</f>
        <v>4993.74</v>
      </c>
      <c r="T85" s="30">
        <f>9970</f>
        <v>9970</v>
      </c>
      <c r="U85" s="30" t="str">
        <f>"－"</f>
        <v>－</v>
      </c>
      <c r="V85" s="30">
        <f>49788070</f>
        <v>49788070</v>
      </c>
      <c r="W85" s="30" t="str">
        <f>"－"</f>
        <v>－</v>
      </c>
      <c r="X85" s="34">
        <f>19</f>
        <v>19</v>
      </c>
    </row>
    <row r="86" spans="1:24" x14ac:dyDescent="0.15">
      <c r="A86" s="25" t="s">
        <v>1078</v>
      </c>
      <c r="B86" s="25" t="s">
        <v>237</v>
      </c>
      <c r="C86" s="25" t="s">
        <v>238</v>
      </c>
      <c r="D86" s="25" t="s">
        <v>239</v>
      </c>
      <c r="E86" s="26" t="s">
        <v>43</v>
      </c>
      <c r="F86" s="27" t="s">
        <v>43</v>
      </c>
      <c r="G86" s="28" t="s">
        <v>43</v>
      </c>
      <c r="H86" s="29" t="s">
        <v>761</v>
      </c>
      <c r="I86" s="29"/>
      <c r="J86" s="30">
        <v>1</v>
      </c>
      <c r="K86" s="31">
        <f>416</f>
        <v>416</v>
      </c>
      <c r="L86" s="32" t="s">
        <v>675</v>
      </c>
      <c r="M86" s="31">
        <f>426</f>
        <v>426</v>
      </c>
      <c r="N86" s="32" t="s">
        <v>678</v>
      </c>
      <c r="O86" s="31">
        <f>378</f>
        <v>378</v>
      </c>
      <c r="P86" s="32" t="s">
        <v>677</v>
      </c>
      <c r="Q86" s="31">
        <f>388</f>
        <v>388</v>
      </c>
      <c r="R86" s="32" t="s">
        <v>681</v>
      </c>
      <c r="S86" s="33">
        <f>397.47</f>
        <v>397.47</v>
      </c>
      <c r="T86" s="30">
        <f>23048667</f>
        <v>23048667</v>
      </c>
      <c r="U86" s="30">
        <f>13016</f>
        <v>13016</v>
      </c>
      <c r="V86" s="30">
        <f>9165409148</f>
        <v>9165409148</v>
      </c>
      <c r="W86" s="30">
        <f>5139045</f>
        <v>5139045</v>
      </c>
      <c r="X86" s="34">
        <f>19</f>
        <v>19</v>
      </c>
    </row>
    <row r="87" spans="1:24" x14ac:dyDescent="0.15">
      <c r="A87" s="25" t="s">
        <v>1078</v>
      </c>
      <c r="B87" s="25" t="s">
        <v>241</v>
      </c>
      <c r="C87" s="25" t="s">
        <v>242</v>
      </c>
      <c r="D87" s="25" t="s">
        <v>243</v>
      </c>
      <c r="E87" s="26" t="s">
        <v>43</v>
      </c>
      <c r="F87" s="27" t="s">
        <v>43</v>
      </c>
      <c r="G87" s="28" t="s">
        <v>43</v>
      </c>
      <c r="H87" s="29"/>
      <c r="I87" s="29" t="s">
        <v>44</v>
      </c>
      <c r="J87" s="30">
        <v>10</v>
      </c>
      <c r="K87" s="31">
        <f>3877</f>
        <v>3877</v>
      </c>
      <c r="L87" s="32" t="s">
        <v>675</v>
      </c>
      <c r="M87" s="31">
        <f>4055</f>
        <v>4055</v>
      </c>
      <c r="N87" s="32" t="s">
        <v>777</v>
      </c>
      <c r="O87" s="31">
        <f>3860</f>
        <v>3860</v>
      </c>
      <c r="P87" s="32" t="s">
        <v>675</v>
      </c>
      <c r="Q87" s="31">
        <f>4039</f>
        <v>4039</v>
      </c>
      <c r="R87" s="32" t="s">
        <v>681</v>
      </c>
      <c r="S87" s="33">
        <f>3977.37</f>
        <v>3977.37</v>
      </c>
      <c r="T87" s="30">
        <f>285290</f>
        <v>285290</v>
      </c>
      <c r="U87" s="30">
        <f>40</f>
        <v>40</v>
      </c>
      <c r="V87" s="30">
        <f>1129427990</f>
        <v>1129427990</v>
      </c>
      <c r="W87" s="30">
        <f>157820</f>
        <v>157820</v>
      </c>
      <c r="X87" s="34">
        <f>19</f>
        <v>19</v>
      </c>
    </row>
    <row r="88" spans="1:24" x14ac:dyDescent="0.15">
      <c r="A88" s="25" t="s">
        <v>1078</v>
      </c>
      <c r="B88" s="25" t="s">
        <v>244</v>
      </c>
      <c r="C88" s="25" t="s">
        <v>971</v>
      </c>
      <c r="D88" s="25" t="s">
        <v>245</v>
      </c>
      <c r="E88" s="26" t="s">
        <v>43</v>
      </c>
      <c r="F88" s="27" t="s">
        <v>43</v>
      </c>
      <c r="G88" s="28" t="s">
        <v>43</v>
      </c>
      <c r="H88" s="29"/>
      <c r="I88" s="29" t="s">
        <v>44</v>
      </c>
      <c r="J88" s="30">
        <v>10</v>
      </c>
      <c r="K88" s="31">
        <f>1873.5</f>
        <v>1873.5</v>
      </c>
      <c r="L88" s="32" t="s">
        <v>675</v>
      </c>
      <c r="M88" s="31">
        <f>1949.5</f>
        <v>1949.5</v>
      </c>
      <c r="N88" s="32" t="s">
        <v>681</v>
      </c>
      <c r="O88" s="31">
        <f>1832.5</f>
        <v>1832.5</v>
      </c>
      <c r="P88" s="32" t="s">
        <v>678</v>
      </c>
      <c r="Q88" s="31">
        <f>1949.5</f>
        <v>1949.5</v>
      </c>
      <c r="R88" s="32" t="s">
        <v>681</v>
      </c>
      <c r="S88" s="33">
        <f>1886.29</f>
        <v>1886.29</v>
      </c>
      <c r="T88" s="30">
        <f>142530</f>
        <v>142530</v>
      </c>
      <c r="U88" s="30">
        <f>670</f>
        <v>670</v>
      </c>
      <c r="V88" s="30">
        <f>268913060</f>
        <v>268913060</v>
      </c>
      <c r="W88" s="30">
        <f>1258050</f>
        <v>1258050</v>
      </c>
      <c r="X88" s="34">
        <f>19</f>
        <v>19</v>
      </c>
    </row>
    <row r="89" spans="1:24" x14ac:dyDescent="0.15">
      <c r="A89" s="25" t="s">
        <v>1078</v>
      </c>
      <c r="B89" s="25" t="s">
        <v>246</v>
      </c>
      <c r="C89" s="25" t="s">
        <v>247</v>
      </c>
      <c r="D89" s="25" t="s">
        <v>248</v>
      </c>
      <c r="E89" s="26" t="s">
        <v>43</v>
      </c>
      <c r="F89" s="27" t="s">
        <v>43</v>
      </c>
      <c r="G89" s="28" t="s">
        <v>43</v>
      </c>
      <c r="H89" s="29"/>
      <c r="I89" s="29" t="s">
        <v>44</v>
      </c>
      <c r="J89" s="30">
        <v>1</v>
      </c>
      <c r="K89" s="31">
        <f>67110</f>
        <v>67110</v>
      </c>
      <c r="L89" s="32" t="s">
        <v>675</v>
      </c>
      <c r="M89" s="31">
        <f>72440</f>
        <v>72440</v>
      </c>
      <c r="N89" s="32" t="s">
        <v>777</v>
      </c>
      <c r="O89" s="31">
        <f>66990</f>
        <v>66990</v>
      </c>
      <c r="P89" s="32" t="s">
        <v>675</v>
      </c>
      <c r="Q89" s="31">
        <f>72260</f>
        <v>72260</v>
      </c>
      <c r="R89" s="32" t="s">
        <v>681</v>
      </c>
      <c r="S89" s="33">
        <f>70266.32</f>
        <v>70266.320000000007</v>
      </c>
      <c r="T89" s="30">
        <f>67931</f>
        <v>67931</v>
      </c>
      <c r="U89" s="30" t="str">
        <f>"－"</f>
        <v>－</v>
      </c>
      <c r="V89" s="30">
        <f>4760091450</f>
        <v>4760091450</v>
      </c>
      <c r="W89" s="30" t="str">
        <f>"－"</f>
        <v>－</v>
      </c>
      <c r="X89" s="34">
        <f>19</f>
        <v>19</v>
      </c>
    </row>
    <row r="90" spans="1:24" x14ac:dyDescent="0.15">
      <c r="A90" s="25" t="s">
        <v>1078</v>
      </c>
      <c r="B90" s="25" t="s">
        <v>249</v>
      </c>
      <c r="C90" s="25" t="s">
        <v>250</v>
      </c>
      <c r="D90" s="25" t="s">
        <v>251</v>
      </c>
      <c r="E90" s="26" t="s">
        <v>43</v>
      </c>
      <c r="F90" s="27" t="s">
        <v>43</v>
      </c>
      <c r="G90" s="28" t="s">
        <v>43</v>
      </c>
      <c r="H90" s="29"/>
      <c r="I90" s="29" t="s">
        <v>44</v>
      </c>
      <c r="J90" s="30">
        <v>1</v>
      </c>
      <c r="K90" s="31">
        <f>3300</f>
        <v>3300</v>
      </c>
      <c r="L90" s="32" t="s">
        <v>675</v>
      </c>
      <c r="M90" s="31">
        <f>3330</f>
        <v>3330</v>
      </c>
      <c r="N90" s="32" t="s">
        <v>760</v>
      </c>
      <c r="O90" s="31">
        <f>3245</f>
        <v>3245</v>
      </c>
      <c r="P90" s="32" t="s">
        <v>683</v>
      </c>
      <c r="Q90" s="31">
        <f>3290</f>
        <v>3290</v>
      </c>
      <c r="R90" s="32" t="s">
        <v>681</v>
      </c>
      <c r="S90" s="33">
        <f>3290.79</f>
        <v>3290.79</v>
      </c>
      <c r="T90" s="30">
        <f>8279</f>
        <v>8279</v>
      </c>
      <c r="U90" s="30" t="str">
        <f>"－"</f>
        <v>－</v>
      </c>
      <c r="V90" s="30">
        <f>27169940</f>
        <v>27169940</v>
      </c>
      <c r="W90" s="30" t="str">
        <f>"－"</f>
        <v>－</v>
      </c>
      <c r="X90" s="34">
        <f>19</f>
        <v>19</v>
      </c>
    </row>
    <row r="91" spans="1:24" x14ac:dyDescent="0.15">
      <c r="A91" s="25" t="s">
        <v>1078</v>
      </c>
      <c r="B91" s="25" t="s">
        <v>252</v>
      </c>
      <c r="C91" s="25" t="s">
        <v>253</v>
      </c>
      <c r="D91" s="25" t="s">
        <v>254</v>
      </c>
      <c r="E91" s="26" t="s">
        <v>43</v>
      </c>
      <c r="F91" s="27" t="s">
        <v>43</v>
      </c>
      <c r="G91" s="28" t="s">
        <v>43</v>
      </c>
      <c r="H91" s="29"/>
      <c r="I91" s="29" t="s">
        <v>44</v>
      </c>
      <c r="J91" s="30">
        <v>1</v>
      </c>
      <c r="K91" s="31">
        <f>4500</f>
        <v>4500</v>
      </c>
      <c r="L91" s="32" t="s">
        <v>675</v>
      </c>
      <c r="M91" s="31">
        <f>4570</f>
        <v>4570</v>
      </c>
      <c r="N91" s="32" t="s">
        <v>777</v>
      </c>
      <c r="O91" s="31">
        <f>4450</f>
        <v>4450</v>
      </c>
      <c r="P91" s="32" t="s">
        <v>675</v>
      </c>
      <c r="Q91" s="31">
        <f>4565</f>
        <v>4565</v>
      </c>
      <c r="R91" s="32" t="s">
        <v>681</v>
      </c>
      <c r="S91" s="33">
        <f>4520.26</f>
        <v>4520.26</v>
      </c>
      <c r="T91" s="30">
        <f>5737</f>
        <v>5737</v>
      </c>
      <c r="U91" s="30" t="str">
        <f>"－"</f>
        <v>－</v>
      </c>
      <c r="V91" s="30">
        <f>25890790</f>
        <v>25890790</v>
      </c>
      <c r="W91" s="30" t="str">
        <f>"－"</f>
        <v>－</v>
      </c>
      <c r="X91" s="34">
        <f>19</f>
        <v>19</v>
      </c>
    </row>
    <row r="92" spans="1:24" x14ac:dyDescent="0.15">
      <c r="A92" s="25" t="s">
        <v>1078</v>
      </c>
      <c r="B92" s="25" t="s">
        <v>255</v>
      </c>
      <c r="C92" s="25" t="s">
        <v>856</v>
      </c>
      <c r="D92" s="25" t="s">
        <v>857</v>
      </c>
      <c r="E92" s="26" t="s">
        <v>43</v>
      </c>
      <c r="F92" s="27" t="s">
        <v>43</v>
      </c>
      <c r="G92" s="28" t="s">
        <v>43</v>
      </c>
      <c r="H92" s="29"/>
      <c r="I92" s="29" t="s">
        <v>44</v>
      </c>
      <c r="J92" s="30">
        <v>1</v>
      </c>
      <c r="K92" s="31">
        <f>2501</f>
        <v>2501</v>
      </c>
      <c r="L92" s="32" t="s">
        <v>675</v>
      </c>
      <c r="M92" s="31">
        <f>2665</f>
        <v>2665</v>
      </c>
      <c r="N92" s="32" t="s">
        <v>760</v>
      </c>
      <c r="O92" s="31">
        <f>2480</f>
        <v>2480</v>
      </c>
      <c r="P92" s="32" t="s">
        <v>678</v>
      </c>
      <c r="Q92" s="31">
        <f>2577</f>
        <v>2577</v>
      </c>
      <c r="R92" s="32" t="s">
        <v>681</v>
      </c>
      <c r="S92" s="33">
        <f>2566.68</f>
        <v>2566.6799999999998</v>
      </c>
      <c r="T92" s="30">
        <f>1711203</f>
        <v>1711203</v>
      </c>
      <c r="U92" s="30" t="str">
        <f>"－"</f>
        <v>－</v>
      </c>
      <c r="V92" s="30">
        <f>4390267635</f>
        <v>4390267635</v>
      </c>
      <c r="W92" s="30" t="str">
        <f>"－"</f>
        <v>－</v>
      </c>
      <c r="X92" s="34">
        <f>19</f>
        <v>19</v>
      </c>
    </row>
    <row r="93" spans="1:24" x14ac:dyDescent="0.15">
      <c r="A93" s="25" t="s">
        <v>1078</v>
      </c>
      <c r="B93" s="25" t="s">
        <v>256</v>
      </c>
      <c r="C93" s="25" t="s">
        <v>257</v>
      </c>
      <c r="D93" s="25" t="s">
        <v>258</v>
      </c>
      <c r="E93" s="26" t="s">
        <v>43</v>
      </c>
      <c r="F93" s="27" t="s">
        <v>43</v>
      </c>
      <c r="G93" s="28" t="s">
        <v>43</v>
      </c>
      <c r="H93" s="29"/>
      <c r="I93" s="29" t="s">
        <v>44</v>
      </c>
      <c r="J93" s="30">
        <v>1</v>
      </c>
      <c r="K93" s="31">
        <f>48160</f>
        <v>48160</v>
      </c>
      <c r="L93" s="32" t="s">
        <v>675</v>
      </c>
      <c r="M93" s="31">
        <f>49160</f>
        <v>49160</v>
      </c>
      <c r="N93" s="32" t="s">
        <v>678</v>
      </c>
      <c r="O93" s="31">
        <f>47830</f>
        <v>47830</v>
      </c>
      <c r="P93" s="32" t="s">
        <v>876</v>
      </c>
      <c r="Q93" s="31">
        <f>48690</f>
        <v>48690</v>
      </c>
      <c r="R93" s="32" t="s">
        <v>681</v>
      </c>
      <c r="S93" s="33">
        <f>48653.68</f>
        <v>48653.68</v>
      </c>
      <c r="T93" s="30">
        <f>25854</f>
        <v>25854</v>
      </c>
      <c r="U93" s="30">
        <f>4983</f>
        <v>4983</v>
      </c>
      <c r="V93" s="30">
        <f>1257338277</f>
        <v>1257338277</v>
      </c>
      <c r="W93" s="30">
        <f>242984287</f>
        <v>242984287</v>
      </c>
      <c r="X93" s="34">
        <f>19</f>
        <v>19</v>
      </c>
    </row>
    <row r="94" spans="1:24" x14ac:dyDescent="0.15">
      <c r="A94" s="25" t="s">
        <v>1078</v>
      </c>
      <c r="B94" s="25" t="s">
        <v>259</v>
      </c>
      <c r="C94" s="25" t="s">
        <v>260</v>
      </c>
      <c r="D94" s="25" t="s">
        <v>261</v>
      </c>
      <c r="E94" s="26" t="s">
        <v>43</v>
      </c>
      <c r="F94" s="27" t="s">
        <v>43</v>
      </c>
      <c r="G94" s="28" t="s">
        <v>43</v>
      </c>
      <c r="H94" s="29"/>
      <c r="I94" s="29" t="s">
        <v>44</v>
      </c>
      <c r="J94" s="30">
        <v>10</v>
      </c>
      <c r="K94" s="31">
        <f>36100</f>
        <v>36100</v>
      </c>
      <c r="L94" s="32" t="s">
        <v>675</v>
      </c>
      <c r="M94" s="31">
        <f>42800</f>
        <v>42800</v>
      </c>
      <c r="N94" s="32" t="s">
        <v>778</v>
      </c>
      <c r="O94" s="31">
        <f>35480</f>
        <v>35480</v>
      </c>
      <c r="P94" s="32" t="s">
        <v>675</v>
      </c>
      <c r="Q94" s="31">
        <f>42290</f>
        <v>42290</v>
      </c>
      <c r="R94" s="32" t="s">
        <v>681</v>
      </c>
      <c r="S94" s="33">
        <f>40466.84</f>
        <v>40466.839999999997</v>
      </c>
      <c r="T94" s="30">
        <f>2230390</f>
        <v>2230390</v>
      </c>
      <c r="U94" s="30">
        <f>9460</f>
        <v>9460</v>
      </c>
      <c r="V94" s="30">
        <f>89770069562</f>
        <v>89770069562</v>
      </c>
      <c r="W94" s="30">
        <f>392453362</f>
        <v>392453362</v>
      </c>
      <c r="X94" s="34">
        <f>19</f>
        <v>19</v>
      </c>
    </row>
    <row r="95" spans="1:24" x14ac:dyDescent="0.15">
      <c r="A95" s="25" t="s">
        <v>1078</v>
      </c>
      <c r="B95" s="25" t="s">
        <v>262</v>
      </c>
      <c r="C95" s="25" t="s">
        <v>263</v>
      </c>
      <c r="D95" s="25" t="s">
        <v>264</v>
      </c>
      <c r="E95" s="26" t="s">
        <v>43</v>
      </c>
      <c r="F95" s="27" t="s">
        <v>43</v>
      </c>
      <c r="G95" s="28" t="s">
        <v>43</v>
      </c>
      <c r="H95" s="29"/>
      <c r="I95" s="29" t="s">
        <v>44</v>
      </c>
      <c r="J95" s="30">
        <v>10</v>
      </c>
      <c r="K95" s="31">
        <f>1575</f>
        <v>1575</v>
      </c>
      <c r="L95" s="32" t="s">
        <v>675</v>
      </c>
      <c r="M95" s="31">
        <f>1588</f>
        <v>1588</v>
      </c>
      <c r="N95" s="32" t="s">
        <v>675</v>
      </c>
      <c r="O95" s="31">
        <f>1442.5</f>
        <v>1442.5</v>
      </c>
      <c r="P95" s="32" t="s">
        <v>778</v>
      </c>
      <c r="Q95" s="31">
        <f>1449</f>
        <v>1449</v>
      </c>
      <c r="R95" s="32" t="s">
        <v>681</v>
      </c>
      <c r="S95" s="33">
        <f>1485.82</f>
        <v>1485.82</v>
      </c>
      <c r="T95" s="30">
        <f>639390</f>
        <v>639390</v>
      </c>
      <c r="U95" s="30">
        <f>37900</f>
        <v>37900</v>
      </c>
      <c r="V95" s="30">
        <f>948505125</f>
        <v>948505125</v>
      </c>
      <c r="W95" s="30">
        <f>55760570</f>
        <v>55760570</v>
      </c>
      <c r="X95" s="34">
        <f>19</f>
        <v>19</v>
      </c>
    </row>
    <row r="96" spans="1:24" x14ac:dyDescent="0.15">
      <c r="A96" s="25" t="s">
        <v>1078</v>
      </c>
      <c r="B96" s="25" t="s">
        <v>265</v>
      </c>
      <c r="C96" s="25" t="s">
        <v>266</v>
      </c>
      <c r="D96" s="25" t="s">
        <v>267</v>
      </c>
      <c r="E96" s="26" t="s">
        <v>43</v>
      </c>
      <c r="F96" s="27" t="s">
        <v>43</v>
      </c>
      <c r="G96" s="28" t="s">
        <v>43</v>
      </c>
      <c r="H96" s="29"/>
      <c r="I96" s="29" t="s">
        <v>44</v>
      </c>
      <c r="J96" s="30">
        <v>1</v>
      </c>
      <c r="K96" s="31">
        <f>20375</f>
        <v>20375</v>
      </c>
      <c r="L96" s="32" t="s">
        <v>675</v>
      </c>
      <c r="M96" s="31">
        <f>25730</f>
        <v>25730</v>
      </c>
      <c r="N96" s="32" t="s">
        <v>778</v>
      </c>
      <c r="O96" s="31">
        <f>20125</f>
        <v>20125</v>
      </c>
      <c r="P96" s="32" t="s">
        <v>675</v>
      </c>
      <c r="Q96" s="31">
        <f>24760</f>
        <v>24760</v>
      </c>
      <c r="R96" s="32" t="s">
        <v>681</v>
      </c>
      <c r="S96" s="33">
        <f>23678.95</f>
        <v>23678.95</v>
      </c>
      <c r="T96" s="30">
        <f>132904941</f>
        <v>132904941</v>
      </c>
      <c r="U96" s="30">
        <f>1206528</f>
        <v>1206528</v>
      </c>
      <c r="V96" s="30">
        <f>3147972375709</f>
        <v>3147972375709</v>
      </c>
      <c r="W96" s="30">
        <f>28184831759</f>
        <v>28184831759</v>
      </c>
      <c r="X96" s="34">
        <f>19</f>
        <v>19</v>
      </c>
    </row>
    <row r="97" spans="1:24" x14ac:dyDescent="0.15">
      <c r="A97" s="25" t="s">
        <v>1078</v>
      </c>
      <c r="B97" s="25" t="s">
        <v>268</v>
      </c>
      <c r="C97" s="25" t="s">
        <v>269</v>
      </c>
      <c r="D97" s="25" t="s">
        <v>270</v>
      </c>
      <c r="E97" s="26" t="s">
        <v>43</v>
      </c>
      <c r="F97" s="27" t="s">
        <v>43</v>
      </c>
      <c r="G97" s="28" t="s">
        <v>43</v>
      </c>
      <c r="H97" s="29"/>
      <c r="I97" s="29" t="s">
        <v>44</v>
      </c>
      <c r="J97" s="30">
        <v>1</v>
      </c>
      <c r="K97" s="31">
        <f>753</f>
        <v>753</v>
      </c>
      <c r="L97" s="32" t="s">
        <v>675</v>
      </c>
      <c r="M97" s="31">
        <f>760</f>
        <v>760</v>
      </c>
      <c r="N97" s="32" t="s">
        <v>675</v>
      </c>
      <c r="O97" s="31">
        <f>669</f>
        <v>669</v>
      </c>
      <c r="P97" s="32" t="s">
        <v>778</v>
      </c>
      <c r="Q97" s="31">
        <f>682</f>
        <v>682</v>
      </c>
      <c r="R97" s="32" t="s">
        <v>681</v>
      </c>
      <c r="S97" s="33">
        <f>699.74</f>
        <v>699.74</v>
      </c>
      <c r="T97" s="30">
        <f>75702582</f>
        <v>75702582</v>
      </c>
      <c r="U97" s="30">
        <f>7276208</f>
        <v>7276208</v>
      </c>
      <c r="V97" s="30">
        <f>52734095431</f>
        <v>52734095431</v>
      </c>
      <c r="W97" s="30">
        <f>5049657953</f>
        <v>5049657953</v>
      </c>
      <c r="X97" s="34">
        <f>19</f>
        <v>19</v>
      </c>
    </row>
    <row r="98" spans="1:24" x14ac:dyDescent="0.15">
      <c r="A98" s="25" t="s">
        <v>1078</v>
      </c>
      <c r="B98" s="25" t="s">
        <v>271</v>
      </c>
      <c r="C98" s="25" t="s">
        <v>272</v>
      </c>
      <c r="D98" s="25" t="s">
        <v>273</v>
      </c>
      <c r="E98" s="26" t="s">
        <v>43</v>
      </c>
      <c r="F98" s="27" t="s">
        <v>43</v>
      </c>
      <c r="G98" s="28" t="s">
        <v>43</v>
      </c>
      <c r="H98" s="29"/>
      <c r="I98" s="29" t="s">
        <v>44</v>
      </c>
      <c r="J98" s="30">
        <v>10</v>
      </c>
      <c r="K98" s="31">
        <f>3333</f>
        <v>3333</v>
      </c>
      <c r="L98" s="32" t="s">
        <v>675</v>
      </c>
      <c r="M98" s="31">
        <f>3394</f>
        <v>3394</v>
      </c>
      <c r="N98" s="32" t="s">
        <v>674</v>
      </c>
      <c r="O98" s="31">
        <f>2691</f>
        <v>2691</v>
      </c>
      <c r="P98" s="32" t="s">
        <v>874</v>
      </c>
      <c r="Q98" s="31">
        <f>2874.5</f>
        <v>2874.5</v>
      </c>
      <c r="R98" s="32" t="s">
        <v>681</v>
      </c>
      <c r="S98" s="33">
        <f>3036.26</f>
        <v>3036.26</v>
      </c>
      <c r="T98" s="30">
        <f>925020</f>
        <v>925020</v>
      </c>
      <c r="U98" s="30" t="str">
        <f>"－"</f>
        <v>－</v>
      </c>
      <c r="V98" s="30">
        <f>2783769425</f>
        <v>2783769425</v>
      </c>
      <c r="W98" s="30" t="str">
        <f>"－"</f>
        <v>－</v>
      </c>
      <c r="X98" s="34">
        <f>19</f>
        <v>19</v>
      </c>
    </row>
    <row r="99" spans="1:24" x14ac:dyDescent="0.15">
      <c r="A99" s="25" t="s">
        <v>1078</v>
      </c>
      <c r="B99" s="25" t="s">
        <v>274</v>
      </c>
      <c r="C99" s="25" t="s">
        <v>275</v>
      </c>
      <c r="D99" s="25" t="s">
        <v>276</v>
      </c>
      <c r="E99" s="26" t="s">
        <v>43</v>
      </c>
      <c r="F99" s="27" t="s">
        <v>43</v>
      </c>
      <c r="G99" s="28" t="s">
        <v>43</v>
      </c>
      <c r="H99" s="29"/>
      <c r="I99" s="29" t="s">
        <v>44</v>
      </c>
      <c r="J99" s="30">
        <v>10</v>
      </c>
      <c r="K99" s="31">
        <f>12670</f>
        <v>12670</v>
      </c>
      <c r="L99" s="32" t="s">
        <v>675</v>
      </c>
      <c r="M99" s="31">
        <f>14890</f>
        <v>14890</v>
      </c>
      <c r="N99" s="32" t="s">
        <v>874</v>
      </c>
      <c r="O99" s="31">
        <f>12620</f>
        <v>12620</v>
      </c>
      <c r="P99" s="32" t="s">
        <v>675</v>
      </c>
      <c r="Q99" s="31">
        <f>14320</f>
        <v>14320</v>
      </c>
      <c r="R99" s="32" t="s">
        <v>681</v>
      </c>
      <c r="S99" s="33">
        <f>13847.11</f>
        <v>13847.11</v>
      </c>
      <c r="T99" s="30">
        <f>86580</f>
        <v>86580</v>
      </c>
      <c r="U99" s="30">
        <f>220</f>
        <v>220</v>
      </c>
      <c r="V99" s="30">
        <f>1212906900</f>
        <v>1212906900</v>
      </c>
      <c r="W99" s="30">
        <f>3083950</f>
        <v>3083950</v>
      </c>
      <c r="X99" s="34">
        <f>19</f>
        <v>19</v>
      </c>
    </row>
    <row r="100" spans="1:24" x14ac:dyDescent="0.15">
      <c r="A100" s="25" t="s">
        <v>1078</v>
      </c>
      <c r="B100" s="25" t="s">
        <v>277</v>
      </c>
      <c r="C100" s="25" t="s">
        <v>278</v>
      </c>
      <c r="D100" s="25" t="s">
        <v>972</v>
      </c>
      <c r="E100" s="26" t="s">
        <v>43</v>
      </c>
      <c r="F100" s="27" t="s">
        <v>43</v>
      </c>
      <c r="G100" s="28" t="s">
        <v>43</v>
      </c>
      <c r="H100" s="29"/>
      <c r="I100" s="29" t="s">
        <v>44</v>
      </c>
      <c r="J100" s="30">
        <v>1</v>
      </c>
      <c r="K100" s="31">
        <f>31910</f>
        <v>31910</v>
      </c>
      <c r="L100" s="32" t="s">
        <v>675</v>
      </c>
      <c r="M100" s="31">
        <f>34850</f>
        <v>34850</v>
      </c>
      <c r="N100" s="32" t="s">
        <v>681</v>
      </c>
      <c r="O100" s="31">
        <f>31670</f>
        <v>31670</v>
      </c>
      <c r="P100" s="32" t="s">
        <v>675</v>
      </c>
      <c r="Q100" s="31">
        <f>34840</f>
        <v>34840</v>
      </c>
      <c r="R100" s="32" t="s">
        <v>681</v>
      </c>
      <c r="S100" s="33">
        <f>33886.84</f>
        <v>33886.839999999997</v>
      </c>
      <c r="T100" s="30">
        <f>199829</f>
        <v>199829</v>
      </c>
      <c r="U100" s="30">
        <f>107971</f>
        <v>107971</v>
      </c>
      <c r="V100" s="30">
        <f>6768705157</f>
        <v>6768705157</v>
      </c>
      <c r="W100" s="30">
        <f>3654698057</f>
        <v>3654698057</v>
      </c>
      <c r="X100" s="34">
        <f>19</f>
        <v>19</v>
      </c>
    </row>
    <row r="101" spans="1:24" x14ac:dyDescent="0.15">
      <c r="A101" s="25" t="s">
        <v>1078</v>
      </c>
      <c r="B101" s="25" t="s">
        <v>279</v>
      </c>
      <c r="C101" s="25" t="s">
        <v>280</v>
      </c>
      <c r="D101" s="25" t="s">
        <v>281</v>
      </c>
      <c r="E101" s="26" t="s">
        <v>43</v>
      </c>
      <c r="F101" s="27" t="s">
        <v>43</v>
      </c>
      <c r="G101" s="28" t="s">
        <v>43</v>
      </c>
      <c r="H101" s="29"/>
      <c r="I101" s="29" t="s">
        <v>44</v>
      </c>
      <c r="J101" s="30">
        <v>1</v>
      </c>
      <c r="K101" s="31">
        <f>2628</f>
        <v>2628</v>
      </c>
      <c r="L101" s="32" t="s">
        <v>675</v>
      </c>
      <c r="M101" s="31">
        <f>2946</f>
        <v>2946</v>
      </c>
      <c r="N101" s="32" t="s">
        <v>778</v>
      </c>
      <c r="O101" s="31">
        <f>2606</f>
        <v>2606</v>
      </c>
      <c r="P101" s="32" t="s">
        <v>675</v>
      </c>
      <c r="Q101" s="31">
        <f>2891</f>
        <v>2891</v>
      </c>
      <c r="R101" s="32" t="s">
        <v>681</v>
      </c>
      <c r="S101" s="33">
        <f>2825.05</f>
        <v>2825.05</v>
      </c>
      <c r="T101" s="30">
        <f>361753</f>
        <v>361753</v>
      </c>
      <c r="U101" s="30">
        <f>180000</f>
        <v>180000</v>
      </c>
      <c r="V101" s="30">
        <f>1025284262</f>
        <v>1025284262</v>
      </c>
      <c r="W101" s="30">
        <f>511020000</f>
        <v>511020000</v>
      </c>
      <c r="X101" s="34">
        <f>19</f>
        <v>19</v>
      </c>
    </row>
    <row r="102" spans="1:24" x14ac:dyDescent="0.15">
      <c r="A102" s="25" t="s">
        <v>1078</v>
      </c>
      <c r="B102" s="25" t="s">
        <v>282</v>
      </c>
      <c r="C102" s="25" t="s">
        <v>283</v>
      </c>
      <c r="D102" s="25" t="s">
        <v>284</v>
      </c>
      <c r="E102" s="26" t="s">
        <v>43</v>
      </c>
      <c r="F102" s="27" t="s">
        <v>43</v>
      </c>
      <c r="G102" s="28" t="s">
        <v>43</v>
      </c>
      <c r="H102" s="29"/>
      <c r="I102" s="29" t="s">
        <v>44</v>
      </c>
      <c r="J102" s="30">
        <v>10</v>
      </c>
      <c r="K102" s="31">
        <f>21775</f>
        <v>21775</v>
      </c>
      <c r="L102" s="32" t="s">
        <v>675</v>
      </c>
      <c r="M102" s="31">
        <f>27515</f>
        <v>27515</v>
      </c>
      <c r="N102" s="32" t="s">
        <v>778</v>
      </c>
      <c r="O102" s="31">
        <f>21515</f>
        <v>21515</v>
      </c>
      <c r="P102" s="32" t="s">
        <v>675</v>
      </c>
      <c r="Q102" s="31">
        <f>26445</f>
        <v>26445</v>
      </c>
      <c r="R102" s="32" t="s">
        <v>681</v>
      </c>
      <c r="S102" s="33">
        <f>25313.42</f>
        <v>25313.42</v>
      </c>
      <c r="T102" s="30">
        <f>10759640</f>
        <v>10759640</v>
      </c>
      <c r="U102" s="30">
        <f>29630</f>
        <v>29630</v>
      </c>
      <c r="V102" s="30">
        <f>272445068305</f>
        <v>272445068305</v>
      </c>
      <c r="W102" s="30">
        <f>762241055</f>
        <v>762241055</v>
      </c>
      <c r="X102" s="34">
        <f>19</f>
        <v>19</v>
      </c>
    </row>
    <row r="103" spans="1:24" x14ac:dyDescent="0.15">
      <c r="A103" s="25" t="s">
        <v>1078</v>
      </c>
      <c r="B103" s="25" t="s">
        <v>285</v>
      </c>
      <c r="C103" s="25" t="s">
        <v>286</v>
      </c>
      <c r="D103" s="25" t="s">
        <v>287</v>
      </c>
      <c r="E103" s="26" t="s">
        <v>43</v>
      </c>
      <c r="F103" s="27" t="s">
        <v>43</v>
      </c>
      <c r="G103" s="28" t="s">
        <v>43</v>
      </c>
      <c r="H103" s="29"/>
      <c r="I103" s="29" t="s">
        <v>44</v>
      </c>
      <c r="J103" s="30">
        <v>10</v>
      </c>
      <c r="K103" s="31">
        <f>1997</f>
        <v>1997</v>
      </c>
      <c r="L103" s="32" t="s">
        <v>675</v>
      </c>
      <c r="M103" s="31">
        <f>2015.5</f>
        <v>2015.5</v>
      </c>
      <c r="N103" s="32" t="s">
        <v>675</v>
      </c>
      <c r="O103" s="31">
        <f>1777</f>
        <v>1777</v>
      </c>
      <c r="P103" s="32" t="s">
        <v>778</v>
      </c>
      <c r="Q103" s="31">
        <f>1813</f>
        <v>1813</v>
      </c>
      <c r="R103" s="32" t="s">
        <v>681</v>
      </c>
      <c r="S103" s="33">
        <f>1857</f>
        <v>1857</v>
      </c>
      <c r="T103" s="30">
        <f>3485750</f>
        <v>3485750</v>
      </c>
      <c r="U103" s="30">
        <f>330000</f>
        <v>330000</v>
      </c>
      <c r="V103" s="30">
        <f>6515349850</f>
        <v>6515349850</v>
      </c>
      <c r="W103" s="30">
        <f>633679500</f>
        <v>633679500</v>
      </c>
      <c r="X103" s="34">
        <f>19</f>
        <v>19</v>
      </c>
    </row>
    <row r="104" spans="1:24" x14ac:dyDescent="0.15">
      <c r="A104" s="25" t="s">
        <v>1078</v>
      </c>
      <c r="B104" s="25" t="s">
        <v>288</v>
      </c>
      <c r="C104" s="25" t="s">
        <v>922</v>
      </c>
      <c r="D104" s="25" t="s">
        <v>923</v>
      </c>
      <c r="E104" s="26" t="s">
        <v>43</v>
      </c>
      <c r="F104" s="27" t="s">
        <v>43</v>
      </c>
      <c r="G104" s="28" t="s">
        <v>43</v>
      </c>
      <c r="H104" s="29"/>
      <c r="I104" s="29" t="s">
        <v>44</v>
      </c>
      <c r="J104" s="30">
        <v>10</v>
      </c>
      <c r="K104" s="31">
        <f>1670</f>
        <v>1670</v>
      </c>
      <c r="L104" s="32" t="s">
        <v>675</v>
      </c>
      <c r="M104" s="31">
        <f>1799</f>
        <v>1799</v>
      </c>
      <c r="N104" s="32" t="s">
        <v>778</v>
      </c>
      <c r="O104" s="31">
        <f>1651.5</f>
        <v>1651.5</v>
      </c>
      <c r="P104" s="32" t="s">
        <v>675</v>
      </c>
      <c r="Q104" s="31">
        <f>1765</f>
        <v>1765</v>
      </c>
      <c r="R104" s="32" t="s">
        <v>681</v>
      </c>
      <c r="S104" s="33">
        <f>1747.92</f>
        <v>1747.92</v>
      </c>
      <c r="T104" s="30">
        <f>31860</f>
        <v>31860</v>
      </c>
      <c r="U104" s="30">
        <f>60</f>
        <v>60</v>
      </c>
      <c r="V104" s="30">
        <f>55222215</f>
        <v>55222215</v>
      </c>
      <c r="W104" s="30">
        <f>105345</f>
        <v>105345</v>
      </c>
      <c r="X104" s="34">
        <f>19</f>
        <v>19</v>
      </c>
    </row>
    <row r="105" spans="1:24" x14ac:dyDescent="0.15">
      <c r="A105" s="25" t="s">
        <v>1078</v>
      </c>
      <c r="B105" s="25" t="s">
        <v>289</v>
      </c>
      <c r="C105" s="25" t="s">
        <v>290</v>
      </c>
      <c r="D105" s="25" t="s">
        <v>291</v>
      </c>
      <c r="E105" s="26" t="s">
        <v>43</v>
      </c>
      <c r="F105" s="27" t="s">
        <v>43</v>
      </c>
      <c r="G105" s="28" t="s">
        <v>43</v>
      </c>
      <c r="H105" s="29"/>
      <c r="I105" s="29" t="s">
        <v>44</v>
      </c>
      <c r="J105" s="30">
        <v>1</v>
      </c>
      <c r="K105" s="31">
        <f>1878</f>
        <v>1878</v>
      </c>
      <c r="L105" s="32" t="s">
        <v>675</v>
      </c>
      <c r="M105" s="31">
        <f>2115</f>
        <v>2115</v>
      </c>
      <c r="N105" s="32" t="s">
        <v>883</v>
      </c>
      <c r="O105" s="31">
        <f>1878</f>
        <v>1878</v>
      </c>
      <c r="P105" s="32" t="s">
        <v>675</v>
      </c>
      <c r="Q105" s="31">
        <f>2019</f>
        <v>2019</v>
      </c>
      <c r="R105" s="32" t="s">
        <v>681</v>
      </c>
      <c r="S105" s="33">
        <f>2012.58</f>
        <v>2012.58</v>
      </c>
      <c r="T105" s="30">
        <f>5758</f>
        <v>5758</v>
      </c>
      <c r="U105" s="30" t="str">
        <f>"－"</f>
        <v>－</v>
      </c>
      <c r="V105" s="30">
        <f>11415667</f>
        <v>11415667</v>
      </c>
      <c r="W105" s="30" t="str">
        <f>"－"</f>
        <v>－</v>
      </c>
      <c r="X105" s="34">
        <f>19</f>
        <v>19</v>
      </c>
    </row>
    <row r="106" spans="1:24" x14ac:dyDescent="0.15">
      <c r="A106" s="25" t="s">
        <v>1078</v>
      </c>
      <c r="B106" s="25" t="s">
        <v>292</v>
      </c>
      <c r="C106" s="25" t="s">
        <v>293</v>
      </c>
      <c r="D106" s="25" t="s">
        <v>294</v>
      </c>
      <c r="E106" s="26" t="s">
        <v>43</v>
      </c>
      <c r="F106" s="27" t="s">
        <v>43</v>
      </c>
      <c r="G106" s="28" t="s">
        <v>43</v>
      </c>
      <c r="H106" s="29"/>
      <c r="I106" s="29" t="s">
        <v>44</v>
      </c>
      <c r="J106" s="30">
        <v>1</v>
      </c>
      <c r="K106" s="31">
        <f>21350</f>
        <v>21350</v>
      </c>
      <c r="L106" s="32" t="s">
        <v>675</v>
      </c>
      <c r="M106" s="31">
        <f>23340</f>
        <v>23340</v>
      </c>
      <c r="N106" s="32" t="s">
        <v>778</v>
      </c>
      <c r="O106" s="31">
        <f>21200</f>
        <v>21200</v>
      </c>
      <c r="P106" s="32" t="s">
        <v>675</v>
      </c>
      <c r="Q106" s="31">
        <f>23140</f>
        <v>23140</v>
      </c>
      <c r="R106" s="32" t="s">
        <v>681</v>
      </c>
      <c r="S106" s="33">
        <f>22653.95</f>
        <v>22653.95</v>
      </c>
      <c r="T106" s="30">
        <f>127894</f>
        <v>127894</v>
      </c>
      <c r="U106" s="30">
        <f>42120</f>
        <v>42120</v>
      </c>
      <c r="V106" s="30">
        <f>2909331006</f>
        <v>2909331006</v>
      </c>
      <c r="W106" s="30">
        <f>955862316</f>
        <v>955862316</v>
      </c>
      <c r="X106" s="34">
        <f>19</f>
        <v>19</v>
      </c>
    </row>
    <row r="107" spans="1:24" x14ac:dyDescent="0.15">
      <c r="A107" s="25" t="s">
        <v>1078</v>
      </c>
      <c r="B107" s="25" t="s">
        <v>295</v>
      </c>
      <c r="C107" s="25" t="s">
        <v>296</v>
      </c>
      <c r="D107" s="25" t="s">
        <v>297</v>
      </c>
      <c r="E107" s="26" t="s">
        <v>43</v>
      </c>
      <c r="F107" s="27" t="s">
        <v>43</v>
      </c>
      <c r="G107" s="28" t="s">
        <v>43</v>
      </c>
      <c r="H107" s="29"/>
      <c r="I107" s="29" t="s">
        <v>44</v>
      </c>
      <c r="J107" s="30">
        <v>1</v>
      </c>
      <c r="K107" s="31">
        <f>1958</f>
        <v>1958</v>
      </c>
      <c r="L107" s="32" t="s">
        <v>675</v>
      </c>
      <c r="M107" s="31">
        <f>2132</f>
        <v>2132</v>
      </c>
      <c r="N107" s="32" t="s">
        <v>778</v>
      </c>
      <c r="O107" s="31">
        <f>1931</f>
        <v>1931</v>
      </c>
      <c r="P107" s="32" t="s">
        <v>675</v>
      </c>
      <c r="Q107" s="31">
        <f>2117</f>
        <v>2117</v>
      </c>
      <c r="R107" s="32" t="s">
        <v>681</v>
      </c>
      <c r="S107" s="33">
        <f>2069.21</f>
        <v>2069.21</v>
      </c>
      <c r="T107" s="30">
        <f>174278</f>
        <v>174278</v>
      </c>
      <c r="U107" s="30">
        <f>100000</f>
        <v>100000</v>
      </c>
      <c r="V107" s="30">
        <f>360898817</f>
        <v>360898817</v>
      </c>
      <c r="W107" s="30">
        <f>208510000</f>
        <v>208510000</v>
      </c>
      <c r="X107" s="34">
        <f>19</f>
        <v>19</v>
      </c>
    </row>
    <row r="108" spans="1:24" x14ac:dyDescent="0.15">
      <c r="A108" s="25" t="s">
        <v>1078</v>
      </c>
      <c r="B108" s="25" t="s">
        <v>298</v>
      </c>
      <c r="C108" s="25" t="s">
        <v>299</v>
      </c>
      <c r="D108" s="25" t="s">
        <v>300</v>
      </c>
      <c r="E108" s="26" t="s">
        <v>43</v>
      </c>
      <c r="F108" s="27" t="s">
        <v>43</v>
      </c>
      <c r="G108" s="28" t="s">
        <v>43</v>
      </c>
      <c r="H108" s="29"/>
      <c r="I108" s="29" t="s">
        <v>44</v>
      </c>
      <c r="J108" s="30">
        <v>1</v>
      </c>
      <c r="K108" s="31">
        <f>22015</f>
        <v>22015</v>
      </c>
      <c r="L108" s="32" t="s">
        <v>675</v>
      </c>
      <c r="M108" s="31">
        <f>23810</f>
        <v>23810</v>
      </c>
      <c r="N108" s="32" t="s">
        <v>778</v>
      </c>
      <c r="O108" s="31">
        <f>21850</f>
        <v>21850</v>
      </c>
      <c r="P108" s="32" t="s">
        <v>675</v>
      </c>
      <c r="Q108" s="31">
        <f>23620</f>
        <v>23620</v>
      </c>
      <c r="R108" s="32" t="s">
        <v>681</v>
      </c>
      <c r="S108" s="33">
        <f>23205</f>
        <v>23205</v>
      </c>
      <c r="T108" s="30">
        <f>45880</f>
        <v>45880</v>
      </c>
      <c r="U108" s="30">
        <f>20350</f>
        <v>20350</v>
      </c>
      <c r="V108" s="30">
        <f>1062216015</f>
        <v>1062216015</v>
      </c>
      <c r="W108" s="30">
        <f>468910920</f>
        <v>468910920</v>
      </c>
      <c r="X108" s="34">
        <f>19</f>
        <v>19</v>
      </c>
    </row>
    <row r="109" spans="1:24" x14ac:dyDescent="0.15">
      <c r="A109" s="25" t="s">
        <v>1078</v>
      </c>
      <c r="B109" s="25" t="s">
        <v>301</v>
      </c>
      <c r="C109" s="25" t="s">
        <v>302</v>
      </c>
      <c r="D109" s="25" t="s">
        <v>303</v>
      </c>
      <c r="E109" s="26" t="s">
        <v>43</v>
      </c>
      <c r="F109" s="27" t="s">
        <v>43</v>
      </c>
      <c r="G109" s="28" t="s">
        <v>43</v>
      </c>
      <c r="H109" s="29"/>
      <c r="I109" s="29" t="s">
        <v>44</v>
      </c>
      <c r="J109" s="30">
        <v>10</v>
      </c>
      <c r="K109" s="31">
        <f>1859</f>
        <v>1859</v>
      </c>
      <c r="L109" s="32" t="s">
        <v>675</v>
      </c>
      <c r="M109" s="31">
        <f>1894</f>
        <v>1894</v>
      </c>
      <c r="N109" s="32" t="s">
        <v>778</v>
      </c>
      <c r="O109" s="31">
        <f>1786.5</f>
        <v>1786.5</v>
      </c>
      <c r="P109" s="32" t="s">
        <v>677</v>
      </c>
      <c r="Q109" s="31">
        <f>1837</f>
        <v>1837</v>
      </c>
      <c r="R109" s="32" t="s">
        <v>681</v>
      </c>
      <c r="S109" s="33">
        <f>1852.74</f>
        <v>1852.74</v>
      </c>
      <c r="T109" s="30">
        <f>1010320</f>
        <v>1010320</v>
      </c>
      <c r="U109" s="30">
        <f>10</f>
        <v>10</v>
      </c>
      <c r="V109" s="30">
        <f>1877553720</f>
        <v>1877553720</v>
      </c>
      <c r="W109" s="30">
        <f>17150</f>
        <v>17150</v>
      </c>
      <c r="X109" s="34">
        <f>19</f>
        <v>19</v>
      </c>
    </row>
    <row r="110" spans="1:24" x14ac:dyDescent="0.15">
      <c r="A110" s="25" t="s">
        <v>1078</v>
      </c>
      <c r="B110" s="25" t="s">
        <v>304</v>
      </c>
      <c r="C110" s="25" t="s">
        <v>305</v>
      </c>
      <c r="D110" s="25" t="s">
        <v>306</v>
      </c>
      <c r="E110" s="26" t="s">
        <v>43</v>
      </c>
      <c r="F110" s="27" t="s">
        <v>43</v>
      </c>
      <c r="G110" s="28" t="s">
        <v>43</v>
      </c>
      <c r="H110" s="29"/>
      <c r="I110" s="29" t="s">
        <v>44</v>
      </c>
      <c r="J110" s="30">
        <v>10</v>
      </c>
      <c r="K110" s="31">
        <f>1991</f>
        <v>1991</v>
      </c>
      <c r="L110" s="32" t="s">
        <v>675</v>
      </c>
      <c r="M110" s="31">
        <f>2122</f>
        <v>2122</v>
      </c>
      <c r="N110" s="32" t="s">
        <v>875</v>
      </c>
      <c r="O110" s="31">
        <f>1991</f>
        <v>1991</v>
      </c>
      <c r="P110" s="32" t="s">
        <v>675</v>
      </c>
      <c r="Q110" s="31">
        <f>2121</f>
        <v>2121</v>
      </c>
      <c r="R110" s="32" t="s">
        <v>683</v>
      </c>
      <c r="S110" s="33">
        <f>2079.71</f>
        <v>2079.71</v>
      </c>
      <c r="T110" s="30">
        <f>330</f>
        <v>330</v>
      </c>
      <c r="U110" s="30" t="str">
        <f>"－"</f>
        <v>－</v>
      </c>
      <c r="V110" s="30">
        <f>687090</f>
        <v>687090</v>
      </c>
      <c r="W110" s="30" t="str">
        <f>"－"</f>
        <v>－</v>
      </c>
      <c r="X110" s="34">
        <f>7</f>
        <v>7</v>
      </c>
    </row>
    <row r="111" spans="1:24" x14ac:dyDescent="0.15">
      <c r="A111" s="25" t="s">
        <v>1078</v>
      </c>
      <c r="B111" s="25" t="s">
        <v>307</v>
      </c>
      <c r="C111" s="25" t="s">
        <v>308</v>
      </c>
      <c r="D111" s="25" t="s">
        <v>309</v>
      </c>
      <c r="E111" s="26" t="s">
        <v>43</v>
      </c>
      <c r="F111" s="27" t="s">
        <v>43</v>
      </c>
      <c r="G111" s="28" t="s">
        <v>43</v>
      </c>
      <c r="H111" s="29"/>
      <c r="I111" s="29" t="s">
        <v>44</v>
      </c>
      <c r="J111" s="30">
        <v>10</v>
      </c>
      <c r="K111" s="31">
        <f>1863</f>
        <v>1863</v>
      </c>
      <c r="L111" s="32" t="s">
        <v>675</v>
      </c>
      <c r="M111" s="31">
        <f>1899</f>
        <v>1899</v>
      </c>
      <c r="N111" s="32" t="s">
        <v>778</v>
      </c>
      <c r="O111" s="31">
        <f>1840</f>
        <v>1840</v>
      </c>
      <c r="P111" s="32" t="s">
        <v>675</v>
      </c>
      <c r="Q111" s="31">
        <f>1859.5</f>
        <v>1859.5</v>
      </c>
      <c r="R111" s="32" t="s">
        <v>681</v>
      </c>
      <c r="S111" s="33">
        <f>1870.71</f>
        <v>1870.71</v>
      </c>
      <c r="T111" s="30">
        <f>1252640</f>
        <v>1252640</v>
      </c>
      <c r="U111" s="30">
        <f>589150</f>
        <v>589150</v>
      </c>
      <c r="V111" s="30">
        <f>2346518946</f>
        <v>2346518946</v>
      </c>
      <c r="W111" s="30">
        <f>1106854326</f>
        <v>1106854326</v>
      </c>
      <c r="X111" s="34">
        <f>19</f>
        <v>19</v>
      </c>
    </row>
    <row r="112" spans="1:24" x14ac:dyDescent="0.15">
      <c r="A112" s="25" t="s">
        <v>1078</v>
      </c>
      <c r="B112" s="25" t="s">
        <v>310</v>
      </c>
      <c r="C112" s="25" t="s">
        <v>924</v>
      </c>
      <c r="D112" s="25" t="s">
        <v>925</v>
      </c>
      <c r="E112" s="26" t="s">
        <v>43</v>
      </c>
      <c r="F112" s="27" t="s">
        <v>43</v>
      </c>
      <c r="G112" s="28" t="s">
        <v>43</v>
      </c>
      <c r="H112" s="29"/>
      <c r="I112" s="29" t="s">
        <v>44</v>
      </c>
      <c r="J112" s="30">
        <v>1</v>
      </c>
      <c r="K112" s="31">
        <f>21820</f>
        <v>21820</v>
      </c>
      <c r="L112" s="32" t="s">
        <v>675</v>
      </c>
      <c r="M112" s="31">
        <f>23575</f>
        <v>23575</v>
      </c>
      <c r="N112" s="32" t="s">
        <v>778</v>
      </c>
      <c r="O112" s="31">
        <f>21820</f>
        <v>21820</v>
      </c>
      <c r="P112" s="32" t="s">
        <v>675</v>
      </c>
      <c r="Q112" s="31">
        <f>23350</f>
        <v>23350</v>
      </c>
      <c r="R112" s="32" t="s">
        <v>681</v>
      </c>
      <c r="S112" s="33">
        <f>22909.74</f>
        <v>22909.74</v>
      </c>
      <c r="T112" s="30">
        <f>12968</f>
        <v>12968</v>
      </c>
      <c r="U112" s="30">
        <f>9000</f>
        <v>9000</v>
      </c>
      <c r="V112" s="30">
        <f>299411895</f>
        <v>299411895</v>
      </c>
      <c r="W112" s="30">
        <f>208830600</f>
        <v>208830600</v>
      </c>
      <c r="X112" s="34">
        <f>19</f>
        <v>19</v>
      </c>
    </row>
    <row r="113" spans="1:24" x14ac:dyDescent="0.15">
      <c r="A113" s="25" t="s">
        <v>1078</v>
      </c>
      <c r="B113" s="25" t="s">
        <v>311</v>
      </c>
      <c r="C113" s="25" t="s">
        <v>312</v>
      </c>
      <c r="D113" s="25" t="s">
        <v>313</v>
      </c>
      <c r="E113" s="26" t="s">
        <v>43</v>
      </c>
      <c r="F113" s="27" t="s">
        <v>43</v>
      </c>
      <c r="G113" s="28" t="s">
        <v>43</v>
      </c>
      <c r="H113" s="29"/>
      <c r="I113" s="29" t="s">
        <v>44</v>
      </c>
      <c r="J113" s="30">
        <v>100</v>
      </c>
      <c r="K113" s="31">
        <f>262</f>
        <v>262</v>
      </c>
      <c r="L113" s="32" t="s">
        <v>675</v>
      </c>
      <c r="M113" s="31">
        <f>292.5</f>
        <v>292.5</v>
      </c>
      <c r="N113" s="32" t="s">
        <v>679</v>
      </c>
      <c r="O113" s="31">
        <f>259.7</f>
        <v>259.7</v>
      </c>
      <c r="P113" s="32" t="s">
        <v>675</v>
      </c>
      <c r="Q113" s="31">
        <f>292.1</f>
        <v>292.10000000000002</v>
      </c>
      <c r="R113" s="32" t="s">
        <v>681</v>
      </c>
      <c r="S113" s="33">
        <f>278.27</f>
        <v>278.27</v>
      </c>
      <c r="T113" s="30">
        <f>118110300</f>
        <v>118110300</v>
      </c>
      <c r="U113" s="30">
        <f>31135400</f>
        <v>31135400</v>
      </c>
      <c r="V113" s="30">
        <f>33179599540</f>
        <v>33179599540</v>
      </c>
      <c r="W113" s="30">
        <f>8867114380</f>
        <v>8867114380</v>
      </c>
      <c r="X113" s="34">
        <f>19</f>
        <v>19</v>
      </c>
    </row>
    <row r="114" spans="1:24" x14ac:dyDescent="0.15">
      <c r="A114" s="25" t="s">
        <v>1078</v>
      </c>
      <c r="B114" s="25" t="s">
        <v>314</v>
      </c>
      <c r="C114" s="25" t="s">
        <v>315</v>
      </c>
      <c r="D114" s="25" t="s">
        <v>316</v>
      </c>
      <c r="E114" s="26" t="s">
        <v>43</v>
      </c>
      <c r="F114" s="27" t="s">
        <v>43</v>
      </c>
      <c r="G114" s="28" t="s">
        <v>43</v>
      </c>
      <c r="H114" s="29"/>
      <c r="I114" s="29" t="s">
        <v>44</v>
      </c>
      <c r="J114" s="30">
        <v>1</v>
      </c>
      <c r="K114" s="31">
        <f>35610</f>
        <v>35610</v>
      </c>
      <c r="L114" s="32" t="s">
        <v>675</v>
      </c>
      <c r="M114" s="31">
        <f>37670</f>
        <v>37670</v>
      </c>
      <c r="N114" s="32" t="s">
        <v>778</v>
      </c>
      <c r="O114" s="31">
        <f>35500</f>
        <v>35500</v>
      </c>
      <c r="P114" s="32" t="s">
        <v>675</v>
      </c>
      <c r="Q114" s="31">
        <f>37370</f>
        <v>37370</v>
      </c>
      <c r="R114" s="32" t="s">
        <v>681</v>
      </c>
      <c r="S114" s="33">
        <f>37019.47</f>
        <v>37019.47</v>
      </c>
      <c r="T114" s="30">
        <f>3441</f>
        <v>3441</v>
      </c>
      <c r="U114" s="30" t="str">
        <f t="shared" ref="U114:U119" si="0">"－"</f>
        <v>－</v>
      </c>
      <c r="V114" s="30">
        <f>127719670</f>
        <v>127719670</v>
      </c>
      <c r="W114" s="30" t="str">
        <f t="shared" ref="W114:W119" si="1">"－"</f>
        <v>－</v>
      </c>
      <c r="X114" s="34">
        <f>19</f>
        <v>19</v>
      </c>
    </row>
    <row r="115" spans="1:24" x14ac:dyDescent="0.15">
      <c r="A115" s="25" t="s">
        <v>1078</v>
      </c>
      <c r="B115" s="25" t="s">
        <v>317</v>
      </c>
      <c r="C115" s="25" t="s">
        <v>318</v>
      </c>
      <c r="D115" s="25" t="s">
        <v>319</v>
      </c>
      <c r="E115" s="26" t="s">
        <v>43</v>
      </c>
      <c r="F115" s="27" t="s">
        <v>43</v>
      </c>
      <c r="G115" s="28" t="s">
        <v>43</v>
      </c>
      <c r="H115" s="29"/>
      <c r="I115" s="29" t="s">
        <v>44</v>
      </c>
      <c r="J115" s="30">
        <v>1</v>
      </c>
      <c r="K115" s="31">
        <f>17260</f>
        <v>17260</v>
      </c>
      <c r="L115" s="32" t="s">
        <v>675</v>
      </c>
      <c r="M115" s="31">
        <f>18930</f>
        <v>18930</v>
      </c>
      <c r="N115" s="32" t="s">
        <v>883</v>
      </c>
      <c r="O115" s="31">
        <f>17260</f>
        <v>17260</v>
      </c>
      <c r="P115" s="32" t="s">
        <v>675</v>
      </c>
      <c r="Q115" s="31">
        <f>18575</f>
        <v>18575</v>
      </c>
      <c r="R115" s="32" t="s">
        <v>681</v>
      </c>
      <c r="S115" s="33">
        <f>18413.42</f>
        <v>18413.419999999998</v>
      </c>
      <c r="T115" s="30">
        <f>9020</f>
        <v>9020</v>
      </c>
      <c r="U115" s="30" t="str">
        <f t="shared" si="0"/>
        <v>－</v>
      </c>
      <c r="V115" s="30">
        <f>166164540</f>
        <v>166164540</v>
      </c>
      <c r="W115" s="30" t="str">
        <f t="shared" si="1"/>
        <v>－</v>
      </c>
      <c r="X115" s="34">
        <f>19</f>
        <v>19</v>
      </c>
    </row>
    <row r="116" spans="1:24" x14ac:dyDescent="0.15">
      <c r="A116" s="25" t="s">
        <v>1078</v>
      </c>
      <c r="B116" s="25" t="s">
        <v>320</v>
      </c>
      <c r="C116" s="25" t="s">
        <v>321</v>
      </c>
      <c r="D116" s="25" t="s">
        <v>322</v>
      </c>
      <c r="E116" s="26" t="s">
        <v>43</v>
      </c>
      <c r="F116" s="27" t="s">
        <v>43</v>
      </c>
      <c r="G116" s="28" t="s">
        <v>43</v>
      </c>
      <c r="H116" s="29"/>
      <c r="I116" s="29" t="s">
        <v>44</v>
      </c>
      <c r="J116" s="30">
        <v>1</v>
      </c>
      <c r="K116" s="31">
        <f>27510</f>
        <v>27510</v>
      </c>
      <c r="L116" s="32" t="s">
        <v>675</v>
      </c>
      <c r="M116" s="31">
        <f>28760</f>
        <v>28760</v>
      </c>
      <c r="N116" s="32" t="s">
        <v>778</v>
      </c>
      <c r="O116" s="31">
        <f>26780</f>
        <v>26780</v>
      </c>
      <c r="P116" s="32" t="s">
        <v>675</v>
      </c>
      <c r="Q116" s="31">
        <f>28365</f>
        <v>28365</v>
      </c>
      <c r="R116" s="32" t="s">
        <v>681</v>
      </c>
      <c r="S116" s="33">
        <f>28009.74</f>
        <v>28009.74</v>
      </c>
      <c r="T116" s="30">
        <f>11551</f>
        <v>11551</v>
      </c>
      <c r="U116" s="30" t="str">
        <f t="shared" si="0"/>
        <v>－</v>
      </c>
      <c r="V116" s="30">
        <f>319290920</f>
        <v>319290920</v>
      </c>
      <c r="W116" s="30" t="str">
        <f t="shared" si="1"/>
        <v>－</v>
      </c>
      <c r="X116" s="34">
        <f>19</f>
        <v>19</v>
      </c>
    </row>
    <row r="117" spans="1:24" x14ac:dyDescent="0.15">
      <c r="A117" s="25" t="s">
        <v>1078</v>
      </c>
      <c r="B117" s="25" t="s">
        <v>323</v>
      </c>
      <c r="C117" s="25" t="s">
        <v>324</v>
      </c>
      <c r="D117" s="25" t="s">
        <v>325</v>
      </c>
      <c r="E117" s="26" t="s">
        <v>43</v>
      </c>
      <c r="F117" s="27" t="s">
        <v>43</v>
      </c>
      <c r="G117" s="28" t="s">
        <v>43</v>
      </c>
      <c r="H117" s="29"/>
      <c r="I117" s="29" t="s">
        <v>44</v>
      </c>
      <c r="J117" s="30">
        <v>1</v>
      </c>
      <c r="K117" s="31">
        <f>28685</f>
        <v>28685</v>
      </c>
      <c r="L117" s="32" t="s">
        <v>675</v>
      </c>
      <c r="M117" s="31">
        <f>29930</f>
        <v>29930</v>
      </c>
      <c r="N117" s="32" t="s">
        <v>875</v>
      </c>
      <c r="O117" s="31">
        <f>28420</f>
        <v>28420</v>
      </c>
      <c r="P117" s="32" t="s">
        <v>675</v>
      </c>
      <c r="Q117" s="31">
        <f>29605</f>
        <v>29605</v>
      </c>
      <c r="R117" s="32" t="s">
        <v>681</v>
      </c>
      <c r="S117" s="33">
        <f>29333.16</f>
        <v>29333.16</v>
      </c>
      <c r="T117" s="30">
        <f>3237</f>
        <v>3237</v>
      </c>
      <c r="U117" s="30" t="str">
        <f t="shared" si="0"/>
        <v>－</v>
      </c>
      <c r="V117" s="30">
        <f>94600505</f>
        <v>94600505</v>
      </c>
      <c r="W117" s="30" t="str">
        <f t="shared" si="1"/>
        <v>－</v>
      </c>
      <c r="X117" s="34">
        <f>19</f>
        <v>19</v>
      </c>
    </row>
    <row r="118" spans="1:24" x14ac:dyDescent="0.15">
      <c r="A118" s="25" t="s">
        <v>1078</v>
      </c>
      <c r="B118" s="25" t="s">
        <v>326</v>
      </c>
      <c r="C118" s="25" t="s">
        <v>327</v>
      </c>
      <c r="D118" s="25" t="s">
        <v>328</v>
      </c>
      <c r="E118" s="26" t="s">
        <v>43</v>
      </c>
      <c r="F118" s="27" t="s">
        <v>43</v>
      </c>
      <c r="G118" s="28" t="s">
        <v>43</v>
      </c>
      <c r="H118" s="29"/>
      <c r="I118" s="29" t="s">
        <v>44</v>
      </c>
      <c r="J118" s="30">
        <v>1</v>
      </c>
      <c r="K118" s="31">
        <f>25655</f>
        <v>25655</v>
      </c>
      <c r="L118" s="32" t="s">
        <v>675</v>
      </c>
      <c r="M118" s="31">
        <f>28050</f>
        <v>28050</v>
      </c>
      <c r="N118" s="32" t="s">
        <v>677</v>
      </c>
      <c r="O118" s="31">
        <f>25570</f>
        <v>25570</v>
      </c>
      <c r="P118" s="32" t="s">
        <v>675</v>
      </c>
      <c r="Q118" s="31">
        <f>27040</f>
        <v>27040</v>
      </c>
      <c r="R118" s="32" t="s">
        <v>681</v>
      </c>
      <c r="S118" s="33">
        <f>27156.58</f>
        <v>27156.58</v>
      </c>
      <c r="T118" s="30">
        <f>9436</f>
        <v>9436</v>
      </c>
      <c r="U118" s="30" t="str">
        <f t="shared" si="0"/>
        <v>－</v>
      </c>
      <c r="V118" s="30">
        <f>253726430</f>
        <v>253726430</v>
      </c>
      <c r="W118" s="30" t="str">
        <f t="shared" si="1"/>
        <v>－</v>
      </c>
      <c r="X118" s="34">
        <f>19</f>
        <v>19</v>
      </c>
    </row>
    <row r="119" spans="1:24" x14ac:dyDescent="0.15">
      <c r="A119" s="25" t="s">
        <v>1078</v>
      </c>
      <c r="B119" s="25" t="s">
        <v>329</v>
      </c>
      <c r="C119" s="25" t="s">
        <v>330</v>
      </c>
      <c r="D119" s="25" t="s">
        <v>331</v>
      </c>
      <c r="E119" s="26" t="s">
        <v>43</v>
      </c>
      <c r="F119" s="27" t="s">
        <v>43</v>
      </c>
      <c r="G119" s="28" t="s">
        <v>43</v>
      </c>
      <c r="H119" s="29"/>
      <c r="I119" s="29" t="s">
        <v>44</v>
      </c>
      <c r="J119" s="30">
        <v>1</v>
      </c>
      <c r="K119" s="31">
        <f>28580</f>
        <v>28580</v>
      </c>
      <c r="L119" s="32" t="s">
        <v>675</v>
      </c>
      <c r="M119" s="31">
        <f>32400</f>
        <v>32400</v>
      </c>
      <c r="N119" s="32" t="s">
        <v>778</v>
      </c>
      <c r="O119" s="31">
        <f>28400</f>
        <v>28400</v>
      </c>
      <c r="P119" s="32" t="s">
        <v>675</v>
      </c>
      <c r="Q119" s="31">
        <f>32140</f>
        <v>32140</v>
      </c>
      <c r="R119" s="32" t="s">
        <v>681</v>
      </c>
      <c r="S119" s="33">
        <f>31034.74</f>
        <v>31034.74</v>
      </c>
      <c r="T119" s="30">
        <f>11298</f>
        <v>11298</v>
      </c>
      <c r="U119" s="30" t="str">
        <f t="shared" si="0"/>
        <v>－</v>
      </c>
      <c r="V119" s="30">
        <f>349884365</f>
        <v>349884365</v>
      </c>
      <c r="W119" s="30" t="str">
        <f t="shared" si="1"/>
        <v>－</v>
      </c>
      <c r="X119" s="34">
        <f>19</f>
        <v>19</v>
      </c>
    </row>
    <row r="120" spans="1:24" x14ac:dyDescent="0.15">
      <c r="A120" s="25" t="s">
        <v>1078</v>
      </c>
      <c r="B120" s="25" t="s">
        <v>332</v>
      </c>
      <c r="C120" s="25" t="s">
        <v>333</v>
      </c>
      <c r="D120" s="25" t="s">
        <v>334</v>
      </c>
      <c r="E120" s="26" t="s">
        <v>43</v>
      </c>
      <c r="F120" s="27" t="s">
        <v>43</v>
      </c>
      <c r="G120" s="28" t="s">
        <v>43</v>
      </c>
      <c r="H120" s="29"/>
      <c r="I120" s="29" t="s">
        <v>44</v>
      </c>
      <c r="J120" s="30">
        <v>1</v>
      </c>
      <c r="K120" s="31">
        <f>23040</f>
        <v>23040</v>
      </c>
      <c r="L120" s="32" t="s">
        <v>675</v>
      </c>
      <c r="M120" s="31">
        <f>24815</f>
        <v>24815</v>
      </c>
      <c r="N120" s="32" t="s">
        <v>681</v>
      </c>
      <c r="O120" s="31">
        <f>22965</f>
        <v>22965</v>
      </c>
      <c r="P120" s="32" t="s">
        <v>675</v>
      </c>
      <c r="Q120" s="31">
        <f>24815</f>
        <v>24815</v>
      </c>
      <c r="R120" s="32" t="s">
        <v>681</v>
      </c>
      <c r="S120" s="33">
        <f>24109.74</f>
        <v>24109.74</v>
      </c>
      <c r="T120" s="30">
        <f>6114</f>
        <v>6114</v>
      </c>
      <c r="U120" s="30">
        <f>19</f>
        <v>19</v>
      </c>
      <c r="V120" s="30">
        <f>146686630</f>
        <v>146686630</v>
      </c>
      <c r="W120" s="30">
        <f>454860</f>
        <v>454860</v>
      </c>
      <c r="X120" s="34">
        <f>19</f>
        <v>19</v>
      </c>
    </row>
    <row r="121" spans="1:24" x14ac:dyDescent="0.15">
      <c r="A121" s="25" t="s">
        <v>1078</v>
      </c>
      <c r="B121" s="25" t="s">
        <v>335</v>
      </c>
      <c r="C121" s="25" t="s">
        <v>336</v>
      </c>
      <c r="D121" s="25" t="s">
        <v>337</v>
      </c>
      <c r="E121" s="26" t="s">
        <v>43</v>
      </c>
      <c r="F121" s="27" t="s">
        <v>43</v>
      </c>
      <c r="G121" s="28" t="s">
        <v>43</v>
      </c>
      <c r="H121" s="29"/>
      <c r="I121" s="29" t="s">
        <v>44</v>
      </c>
      <c r="J121" s="30">
        <v>1</v>
      </c>
      <c r="K121" s="31">
        <f>47870</f>
        <v>47870</v>
      </c>
      <c r="L121" s="32" t="s">
        <v>675</v>
      </c>
      <c r="M121" s="31">
        <f>53080</f>
        <v>53080</v>
      </c>
      <c r="N121" s="32" t="s">
        <v>778</v>
      </c>
      <c r="O121" s="31">
        <f>47320</f>
        <v>47320</v>
      </c>
      <c r="P121" s="32" t="s">
        <v>675</v>
      </c>
      <c r="Q121" s="31">
        <f>52680</f>
        <v>52680</v>
      </c>
      <c r="R121" s="32" t="s">
        <v>681</v>
      </c>
      <c r="S121" s="33">
        <f>51135.79</f>
        <v>51135.79</v>
      </c>
      <c r="T121" s="30">
        <f>1376</f>
        <v>1376</v>
      </c>
      <c r="U121" s="30" t="str">
        <f>"－"</f>
        <v>－</v>
      </c>
      <c r="V121" s="30">
        <f>70442190</f>
        <v>70442190</v>
      </c>
      <c r="W121" s="30" t="str">
        <f>"－"</f>
        <v>－</v>
      </c>
      <c r="X121" s="34">
        <f>19</f>
        <v>19</v>
      </c>
    </row>
    <row r="122" spans="1:24" x14ac:dyDescent="0.15">
      <c r="A122" s="25" t="s">
        <v>1078</v>
      </c>
      <c r="B122" s="25" t="s">
        <v>338</v>
      </c>
      <c r="C122" s="25" t="s">
        <v>339</v>
      </c>
      <c r="D122" s="25" t="s">
        <v>340</v>
      </c>
      <c r="E122" s="26" t="s">
        <v>43</v>
      </c>
      <c r="F122" s="27" t="s">
        <v>43</v>
      </c>
      <c r="G122" s="28" t="s">
        <v>43</v>
      </c>
      <c r="H122" s="29"/>
      <c r="I122" s="29" t="s">
        <v>44</v>
      </c>
      <c r="J122" s="30">
        <v>1</v>
      </c>
      <c r="K122" s="31">
        <f>32830</f>
        <v>32830</v>
      </c>
      <c r="L122" s="32" t="s">
        <v>675</v>
      </c>
      <c r="M122" s="31">
        <f>36450</f>
        <v>36450</v>
      </c>
      <c r="N122" s="32" t="s">
        <v>778</v>
      </c>
      <c r="O122" s="31">
        <f>32280</f>
        <v>32280</v>
      </c>
      <c r="P122" s="32" t="s">
        <v>675</v>
      </c>
      <c r="Q122" s="31">
        <f>35560</f>
        <v>35560</v>
      </c>
      <c r="R122" s="32" t="s">
        <v>681</v>
      </c>
      <c r="S122" s="33">
        <f>34797.89</f>
        <v>34797.89</v>
      </c>
      <c r="T122" s="30">
        <f>25878</f>
        <v>25878</v>
      </c>
      <c r="U122" s="30">
        <f>3017</f>
        <v>3017</v>
      </c>
      <c r="V122" s="30">
        <f>896925220</f>
        <v>896925220</v>
      </c>
      <c r="W122" s="30">
        <f>98860390</f>
        <v>98860390</v>
      </c>
      <c r="X122" s="34">
        <f>19</f>
        <v>19</v>
      </c>
    </row>
    <row r="123" spans="1:24" x14ac:dyDescent="0.15">
      <c r="A123" s="25" t="s">
        <v>1078</v>
      </c>
      <c r="B123" s="25" t="s">
        <v>341</v>
      </c>
      <c r="C123" s="25" t="s">
        <v>342</v>
      </c>
      <c r="D123" s="25" t="s">
        <v>343</v>
      </c>
      <c r="E123" s="26" t="s">
        <v>43</v>
      </c>
      <c r="F123" s="27" t="s">
        <v>43</v>
      </c>
      <c r="G123" s="28" t="s">
        <v>43</v>
      </c>
      <c r="H123" s="29"/>
      <c r="I123" s="29" t="s">
        <v>44</v>
      </c>
      <c r="J123" s="30">
        <v>1</v>
      </c>
      <c r="K123" s="31">
        <f>31340</f>
        <v>31340</v>
      </c>
      <c r="L123" s="32" t="s">
        <v>675</v>
      </c>
      <c r="M123" s="31">
        <f>34010</f>
        <v>34010</v>
      </c>
      <c r="N123" s="32" t="s">
        <v>778</v>
      </c>
      <c r="O123" s="31">
        <f>31180</f>
        <v>31180</v>
      </c>
      <c r="P123" s="32" t="s">
        <v>675</v>
      </c>
      <c r="Q123" s="31">
        <f>33280</f>
        <v>33280</v>
      </c>
      <c r="R123" s="32" t="s">
        <v>681</v>
      </c>
      <c r="S123" s="33">
        <f>33047.37</f>
        <v>33047.370000000003</v>
      </c>
      <c r="T123" s="30">
        <f>5025</f>
        <v>5025</v>
      </c>
      <c r="U123" s="30">
        <f>2000</f>
        <v>2000</v>
      </c>
      <c r="V123" s="30">
        <f>165693560</f>
        <v>165693560</v>
      </c>
      <c r="W123" s="30">
        <f>65370200</f>
        <v>65370200</v>
      </c>
      <c r="X123" s="34">
        <f>19</f>
        <v>19</v>
      </c>
    </row>
    <row r="124" spans="1:24" x14ac:dyDescent="0.15">
      <c r="A124" s="25" t="s">
        <v>1078</v>
      </c>
      <c r="B124" s="25" t="s">
        <v>344</v>
      </c>
      <c r="C124" s="25" t="s">
        <v>345</v>
      </c>
      <c r="D124" s="25" t="s">
        <v>346</v>
      </c>
      <c r="E124" s="26" t="s">
        <v>43</v>
      </c>
      <c r="F124" s="27" t="s">
        <v>43</v>
      </c>
      <c r="G124" s="28" t="s">
        <v>43</v>
      </c>
      <c r="H124" s="29"/>
      <c r="I124" s="29" t="s">
        <v>44</v>
      </c>
      <c r="J124" s="30">
        <v>1</v>
      </c>
      <c r="K124" s="31">
        <f>7886</f>
        <v>7886</v>
      </c>
      <c r="L124" s="32" t="s">
        <v>675</v>
      </c>
      <c r="M124" s="31">
        <f>8664</f>
        <v>8664</v>
      </c>
      <c r="N124" s="32" t="s">
        <v>760</v>
      </c>
      <c r="O124" s="31">
        <f>7777</f>
        <v>7777</v>
      </c>
      <c r="P124" s="32" t="s">
        <v>675</v>
      </c>
      <c r="Q124" s="31">
        <f>8440</f>
        <v>8440</v>
      </c>
      <c r="R124" s="32" t="s">
        <v>681</v>
      </c>
      <c r="S124" s="33">
        <f>8357.95</f>
        <v>8357.9500000000007</v>
      </c>
      <c r="T124" s="30">
        <f>31485</f>
        <v>31485</v>
      </c>
      <c r="U124" s="30">
        <f>2</f>
        <v>2</v>
      </c>
      <c r="V124" s="30">
        <f>261900009</f>
        <v>261900009</v>
      </c>
      <c r="W124" s="30">
        <f>16576</f>
        <v>16576</v>
      </c>
      <c r="X124" s="34">
        <f>19</f>
        <v>19</v>
      </c>
    </row>
    <row r="125" spans="1:24" x14ac:dyDescent="0.15">
      <c r="A125" s="25" t="s">
        <v>1078</v>
      </c>
      <c r="B125" s="25" t="s">
        <v>347</v>
      </c>
      <c r="C125" s="25" t="s">
        <v>348</v>
      </c>
      <c r="D125" s="25" t="s">
        <v>349</v>
      </c>
      <c r="E125" s="26" t="s">
        <v>43</v>
      </c>
      <c r="F125" s="27" t="s">
        <v>43</v>
      </c>
      <c r="G125" s="28" t="s">
        <v>43</v>
      </c>
      <c r="H125" s="29"/>
      <c r="I125" s="29" t="s">
        <v>44</v>
      </c>
      <c r="J125" s="30">
        <v>1</v>
      </c>
      <c r="K125" s="31">
        <f>18575</f>
        <v>18575</v>
      </c>
      <c r="L125" s="32" t="s">
        <v>675</v>
      </c>
      <c r="M125" s="31">
        <f>20045</f>
        <v>20045</v>
      </c>
      <c r="N125" s="32" t="s">
        <v>682</v>
      </c>
      <c r="O125" s="31">
        <f>18575</f>
        <v>18575</v>
      </c>
      <c r="P125" s="32" t="s">
        <v>675</v>
      </c>
      <c r="Q125" s="31">
        <f>19530</f>
        <v>19530</v>
      </c>
      <c r="R125" s="32" t="s">
        <v>681</v>
      </c>
      <c r="S125" s="33">
        <f>19416.05</f>
        <v>19416.05</v>
      </c>
      <c r="T125" s="30">
        <f>12172</f>
        <v>12172</v>
      </c>
      <c r="U125" s="30">
        <f>3</f>
        <v>3</v>
      </c>
      <c r="V125" s="30">
        <f>235123100</f>
        <v>235123100</v>
      </c>
      <c r="W125" s="30">
        <f>59520</f>
        <v>59520</v>
      </c>
      <c r="X125" s="34">
        <f>19</f>
        <v>19</v>
      </c>
    </row>
    <row r="126" spans="1:24" x14ac:dyDescent="0.15">
      <c r="A126" s="25" t="s">
        <v>1078</v>
      </c>
      <c r="B126" s="25" t="s">
        <v>350</v>
      </c>
      <c r="C126" s="25" t="s">
        <v>351</v>
      </c>
      <c r="D126" s="25" t="s">
        <v>352</v>
      </c>
      <c r="E126" s="26" t="s">
        <v>43</v>
      </c>
      <c r="F126" s="27" t="s">
        <v>43</v>
      </c>
      <c r="G126" s="28" t="s">
        <v>43</v>
      </c>
      <c r="H126" s="29"/>
      <c r="I126" s="29" t="s">
        <v>44</v>
      </c>
      <c r="J126" s="30">
        <v>1</v>
      </c>
      <c r="K126" s="31">
        <f>70210</f>
        <v>70210</v>
      </c>
      <c r="L126" s="32" t="s">
        <v>675</v>
      </c>
      <c r="M126" s="31">
        <f>79290</f>
        <v>79290</v>
      </c>
      <c r="N126" s="32" t="s">
        <v>778</v>
      </c>
      <c r="O126" s="31">
        <f>69500</f>
        <v>69500</v>
      </c>
      <c r="P126" s="32" t="s">
        <v>675</v>
      </c>
      <c r="Q126" s="31">
        <f>78790</f>
        <v>78790</v>
      </c>
      <c r="R126" s="32" t="s">
        <v>681</v>
      </c>
      <c r="S126" s="33">
        <f>76250</f>
        <v>76250</v>
      </c>
      <c r="T126" s="30">
        <f>21238</f>
        <v>21238</v>
      </c>
      <c r="U126" s="30">
        <f>1</f>
        <v>1</v>
      </c>
      <c r="V126" s="30">
        <f>1629310850</f>
        <v>1629310850</v>
      </c>
      <c r="W126" s="30">
        <f>77210</f>
        <v>77210</v>
      </c>
      <c r="X126" s="34">
        <f>19</f>
        <v>19</v>
      </c>
    </row>
    <row r="127" spans="1:24" x14ac:dyDescent="0.15">
      <c r="A127" s="25" t="s">
        <v>1078</v>
      </c>
      <c r="B127" s="25" t="s">
        <v>353</v>
      </c>
      <c r="C127" s="25" t="s">
        <v>354</v>
      </c>
      <c r="D127" s="25" t="s">
        <v>355</v>
      </c>
      <c r="E127" s="26" t="s">
        <v>43</v>
      </c>
      <c r="F127" s="27" t="s">
        <v>43</v>
      </c>
      <c r="G127" s="28" t="s">
        <v>43</v>
      </c>
      <c r="H127" s="29"/>
      <c r="I127" s="29" t="s">
        <v>44</v>
      </c>
      <c r="J127" s="30">
        <v>1</v>
      </c>
      <c r="K127" s="31">
        <f>26405</f>
        <v>26405</v>
      </c>
      <c r="L127" s="32" t="s">
        <v>675</v>
      </c>
      <c r="M127" s="31">
        <f>28170</f>
        <v>28170</v>
      </c>
      <c r="N127" s="32" t="s">
        <v>682</v>
      </c>
      <c r="O127" s="31">
        <f>26270</f>
        <v>26270</v>
      </c>
      <c r="P127" s="32" t="s">
        <v>675</v>
      </c>
      <c r="Q127" s="31">
        <f>27865</f>
        <v>27865</v>
      </c>
      <c r="R127" s="32" t="s">
        <v>681</v>
      </c>
      <c r="S127" s="33">
        <f>27602.37</f>
        <v>27602.37</v>
      </c>
      <c r="T127" s="30">
        <f>9706</f>
        <v>9706</v>
      </c>
      <c r="U127" s="30">
        <f>3007</f>
        <v>3007</v>
      </c>
      <c r="V127" s="30">
        <f>267312025</f>
        <v>267312025</v>
      </c>
      <c r="W127" s="30">
        <f>82048820</f>
        <v>82048820</v>
      </c>
      <c r="X127" s="34">
        <f>19</f>
        <v>19</v>
      </c>
    </row>
    <row r="128" spans="1:24" x14ac:dyDescent="0.15">
      <c r="A128" s="25" t="s">
        <v>1078</v>
      </c>
      <c r="B128" s="25" t="s">
        <v>356</v>
      </c>
      <c r="C128" s="25" t="s">
        <v>357</v>
      </c>
      <c r="D128" s="25" t="s">
        <v>358</v>
      </c>
      <c r="E128" s="26" t="s">
        <v>43</v>
      </c>
      <c r="F128" s="27" t="s">
        <v>43</v>
      </c>
      <c r="G128" s="28" t="s">
        <v>43</v>
      </c>
      <c r="H128" s="29"/>
      <c r="I128" s="29" t="s">
        <v>44</v>
      </c>
      <c r="J128" s="30">
        <v>1</v>
      </c>
      <c r="K128" s="31">
        <f>13730</f>
        <v>13730</v>
      </c>
      <c r="L128" s="32" t="s">
        <v>675</v>
      </c>
      <c r="M128" s="31">
        <f>15355</f>
        <v>15355</v>
      </c>
      <c r="N128" s="32" t="s">
        <v>679</v>
      </c>
      <c r="O128" s="31">
        <f>13625</f>
        <v>13625</v>
      </c>
      <c r="P128" s="32" t="s">
        <v>675</v>
      </c>
      <c r="Q128" s="31">
        <f>15345</f>
        <v>15345</v>
      </c>
      <c r="R128" s="32" t="s">
        <v>681</v>
      </c>
      <c r="S128" s="33">
        <f>14589.47</f>
        <v>14589.47</v>
      </c>
      <c r="T128" s="30">
        <f>81101</f>
        <v>81101</v>
      </c>
      <c r="U128" s="30">
        <f>18515</f>
        <v>18515</v>
      </c>
      <c r="V128" s="30">
        <f>1193569290</f>
        <v>1193569290</v>
      </c>
      <c r="W128" s="30">
        <f>277592500</f>
        <v>277592500</v>
      </c>
      <c r="X128" s="34">
        <f>19</f>
        <v>19</v>
      </c>
    </row>
    <row r="129" spans="1:24" x14ac:dyDescent="0.15">
      <c r="A129" s="25" t="s">
        <v>1078</v>
      </c>
      <c r="B129" s="25" t="s">
        <v>359</v>
      </c>
      <c r="C129" s="25" t="s">
        <v>360</v>
      </c>
      <c r="D129" s="25" t="s">
        <v>361</v>
      </c>
      <c r="E129" s="26" t="s">
        <v>43</v>
      </c>
      <c r="F129" s="27" t="s">
        <v>43</v>
      </c>
      <c r="G129" s="28" t="s">
        <v>43</v>
      </c>
      <c r="H129" s="29"/>
      <c r="I129" s="29" t="s">
        <v>44</v>
      </c>
      <c r="J129" s="30">
        <v>1</v>
      </c>
      <c r="K129" s="31">
        <f>19600</f>
        <v>19600</v>
      </c>
      <c r="L129" s="32" t="s">
        <v>675</v>
      </c>
      <c r="M129" s="31">
        <f>21800</f>
        <v>21800</v>
      </c>
      <c r="N129" s="32" t="s">
        <v>681</v>
      </c>
      <c r="O129" s="31">
        <f>19445</f>
        <v>19445</v>
      </c>
      <c r="P129" s="32" t="s">
        <v>675</v>
      </c>
      <c r="Q129" s="31">
        <f>21800</f>
        <v>21800</v>
      </c>
      <c r="R129" s="32" t="s">
        <v>681</v>
      </c>
      <c r="S129" s="33">
        <f>21013.68</f>
        <v>21013.68</v>
      </c>
      <c r="T129" s="30">
        <f>13413</f>
        <v>13413</v>
      </c>
      <c r="U129" s="30">
        <f>23</f>
        <v>23</v>
      </c>
      <c r="V129" s="30">
        <f>275095415</f>
        <v>275095415</v>
      </c>
      <c r="W129" s="30">
        <f>486335</f>
        <v>486335</v>
      </c>
      <c r="X129" s="34">
        <f>19</f>
        <v>19</v>
      </c>
    </row>
    <row r="130" spans="1:24" x14ac:dyDescent="0.15">
      <c r="A130" s="25" t="s">
        <v>1078</v>
      </c>
      <c r="B130" s="25" t="s">
        <v>362</v>
      </c>
      <c r="C130" s="25" t="s">
        <v>363</v>
      </c>
      <c r="D130" s="25" t="s">
        <v>364</v>
      </c>
      <c r="E130" s="26" t="s">
        <v>43</v>
      </c>
      <c r="F130" s="27" t="s">
        <v>43</v>
      </c>
      <c r="G130" s="28" t="s">
        <v>43</v>
      </c>
      <c r="H130" s="29"/>
      <c r="I130" s="29" t="s">
        <v>44</v>
      </c>
      <c r="J130" s="30">
        <v>1</v>
      </c>
      <c r="K130" s="31">
        <f>33750</f>
        <v>33750</v>
      </c>
      <c r="L130" s="32" t="s">
        <v>675</v>
      </c>
      <c r="M130" s="31">
        <f>37030</f>
        <v>37030</v>
      </c>
      <c r="N130" s="32" t="s">
        <v>778</v>
      </c>
      <c r="O130" s="31">
        <f>33590</f>
        <v>33590</v>
      </c>
      <c r="P130" s="32" t="s">
        <v>675</v>
      </c>
      <c r="Q130" s="31">
        <f>36340</f>
        <v>36340</v>
      </c>
      <c r="R130" s="32" t="s">
        <v>681</v>
      </c>
      <c r="S130" s="33">
        <f>35795.26</f>
        <v>35795.26</v>
      </c>
      <c r="T130" s="30">
        <f>7619</f>
        <v>7619</v>
      </c>
      <c r="U130" s="30">
        <f>5000</f>
        <v>5000</v>
      </c>
      <c r="V130" s="30">
        <f>272319910</f>
        <v>272319910</v>
      </c>
      <c r="W130" s="30">
        <f>178120800</f>
        <v>178120800</v>
      </c>
      <c r="X130" s="34">
        <f>19</f>
        <v>19</v>
      </c>
    </row>
    <row r="131" spans="1:24" x14ac:dyDescent="0.15">
      <c r="A131" s="25" t="s">
        <v>1078</v>
      </c>
      <c r="B131" s="25" t="s">
        <v>365</v>
      </c>
      <c r="C131" s="25" t="s">
        <v>926</v>
      </c>
      <c r="D131" s="25" t="s">
        <v>927</v>
      </c>
      <c r="E131" s="26" t="s">
        <v>43</v>
      </c>
      <c r="F131" s="27" t="s">
        <v>43</v>
      </c>
      <c r="G131" s="28" t="s">
        <v>43</v>
      </c>
      <c r="H131" s="29"/>
      <c r="I131" s="29" t="s">
        <v>44</v>
      </c>
      <c r="J131" s="30">
        <v>10</v>
      </c>
      <c r="K131" s="31">
        <f>1627.5</f>
        <v>1627.5</v>
      </c>
      <c r="L131" s="32" t="s">
        <v>675</v>
      </c>
      <c r="M131" s="31">
        <f>1836</f>
        <v>1836</v>
      </c>
      <c r="N131" s="32" t="s">
        <v>681</v>
      </c>
      <c r="O131" s="31">
        <f>1625</f>
        <v>1625</v>
      </c>
      <c r="P131" s="32" t="s">
        <v>675</v>
      </c>
      <c r="Q131" s="31">
        <f>1836</f>
        <v>1836</v>
      </c>
      <c r="R131" s="32" t="s">
        <v>681</v>
      </c>
      <c r="S131" s="33">
        <f>1772.16</f>
        <v>1772.16</v>
      </c>
      <c r="T131" s="30">
        <f>2643830</f>
        <v>2643830</v>
      </c>
      <c r="U131" s="30">
        <f>1878460</f>
        <v>1878460</v>
      </c>
      <c r="V131" s="30">
        <f>4556511064</f>
        <v>4556511064</v>
      </c>
      <c r="W131" s="30">
        <f>3201496184</f>
        <v>3201496184</v>
      </c>
      <c r="X131" s="34">
        <f>19</f>
        <v>19</v>
      </c>
    </row>
    <row r="132" spans="1:24" x14ac:dyDescent="0.15">
      <c r="A132" s="25" t="s">
        <v>1078</v>
      </c>
      <c r="B132" s="25" t="s">
        <v>366</v>
      </c>
      <c r="C132" s="25" t="s">
        <v>928</v>
      </c>
      <c r="D132" s="25" t="s">
        <v>929</v>
      </c>
      <c r="E132" s="26" t="s">
        <v>43</v>
      </c>
      <c r="F132" s="27" t="s">
        <v>43</v>
      </c>
      <c r="G132" s="28" t="s">
        <v>43</v>
      </c>
      <c r="H132" s="29"/>
      <c r="I132" s="29" t="s">
        <v>44</v>
      </c>
      <c r="J132" s="30">
        <v>10</v>
      </c>
      <c r="K132" s="31">
        <f>2717</f>
        <v>2717</v>
      </c>
      <c r="L132" s="32" t="s">
        <v>675</v>
      </c>
      <c r="M132" s="31">
        <f>2920.5</f>
        <v>2920.5</v>
      </c>
      <c r="N132" s="32" t="s">
        <v>778</v>
      </c>
      <c r="O132" s="31">
        <f>2704</f>
        <v>2704</v>
      </c>
      <c r="P132" s="32" t="s">
        <v>675</v>
      </c>
      <c r="Q132" s="31">
        <f>2906</f>
        <v>2906</v>
      </c>
      <c r="R132" s="32" t="s">
        <v>681</v>
      </c>
      <c r="S132" s="33">
        <f>2849</f>
        <v>2849</v>
      </c>
      <c r="T132" s="30">
        <f>60370</f>
        <v>60370</v>
      </c>
      <c r="U132" s="30" t="str">
        <f>"－"</f>
        <v>－</v>
      </c>
      <c r="V132" s="30">
        <f>172668920</f>
        <v>172668920</v>
      </c>
      <c r="W132" s="30" t="str">
        <f>"－"</f>
        <v>－</v>
      </c>
      <c r="X132" s="34">
        <f>19</f>
        <v>19</v>
      </c>
    </row>
    <row r="133" spans="1:24" x14ac:dyDescent="0.15">
      <c r="A133" s="25" t="s">
        <v>1078</v>
      </c>
      <c r="B133" s="25" t="s">
        <v>367</v>
      </c>
      <c r="C133" s="25" t="s">
        <v>930</v>
      </c>
      <c r="D133" s="25" t="s">
        <v>931</v>
      </c>
      <c r="E133" s="26" t="s">
        <v>43</v>
      </c>
      <c r="F133" s="27" t="s">
        <v>43</v>
      </c>
      <c r="G133" s="28" t="s">
        <v>43</v>
      </c>
      <c r="H133" s="29"/>
      <c r="I133" s="29" t="s">
        <v>44</v>
      </c>
      <c r="J133" s="30">
        <v>10</v>
      </c>
      <c r="K133" s="31">
        <f>2993.5</f>
        <v>2993.5</v>
      </c>
      <c r="L133" s="32" t="s">
        <v>675</v>
      </c>
      <c r="M133" s="31">
        <f>3220</f>
        <v>3220</v>
      </c>
      <c r="N133" s="32" t="s">
        <v>778</v>
      </c>
      <c r="O133" s="31">
        <f>2993.5</f>
        <v>2993.5</v>
      </c>
      <c r="P133" s="32" t="s">
        <v>675</v>
      </c>
      <c r="Q133" s="31">
        <f>3194</f>
        <v>3194</v>
      </c>
      <c r="R133" s="32" t="s">
        <v>777</v>
      </c>
      <c r="S133" s="33">
        <f>3139.67</f>
        <v>3139.67</v>
      </c>
      <c r="T133" s="30">
        <f>176010</f>
        <v>176010</v>
      </c>
      <c r="U133" s="30">
        <f>147000</f>
        <v>147000</v>
      </c>
      <c r="V133" s="30">
        <f>562034350</f>
        <v>562034350</v>
      </c>
      <c r="W133" s="30">
        <f>471198300</f>
        <v>471198300</v>
      </c>
      <c r="X133" s="34">
        <f>18</f>
        <v>18</v>
      </c>
    </row>
    <row r="134" spans="1:24" x14ac:dyDescent="0.15">
      <c r="A134" s="25" t="s">
        <v>1078</v>
      </c>
      <c r="B134" s="25" t="s">
        <v>368</v>
      </c>
      <c r="C134" s="25" t="s">
        <v>932</v>
      </c>
      <c r="D134" s="25" t="s">
        <v>933</v>
      </c>
      <c r="E134" s="26" t="s">
        <v>43</v>
      </c>
      <c r="F134" s="27" t="s">
        <v>43</v>
      </c>
      <c r="G134" s="28" t="s">
        <v>43</v>
      </c>
      <c r="H134" s="29"/>
      <c r="I134" s="29" t="s">
        <v>44</v>
      </c>
      <c r="J134" s="30">
        <v>10</v>
      </c>
      <c r="K134" s="31">
        <f>1866</f>
        <v>1866</v>
      </c>
      <c r="L134" s="32" t="s">
        <v>675</v>
      </c>
      <c r="M134" s="31">
        <f>2030.5</f>
        <v>2030.5</v>
      </c>
      <c r="N134" s="32" t="s">
        <v>778</v>
      </c>
      <c r="O134" s="31">
        <f>1866</f>
        <v>1866</v>
      </c>
      <c r="P134" s="32" t="s">
        <v>675</v>
      </c>
      <c r="Q134" s="31">
        <f>2002</f>
        <v>2002</v>
      </c>
      <c r="R134" s="32" t="s">
        <v>777</v>
      </c>
      <c r="S134" s="33">
        <f>1969.86</f>
        <v>1969.86</v>
      </c>
      <c r="T134" s="30">
        <f>36170</f>
        <v>36170</v>
      </c>
      <c r="U134" s="30">
        <f>25000</f>
        <v>25000</v>
      </c>
      <c r="V134" s="30">
        <f>71453995</f>
        <v>71453995</v>
      </c>
      <c r="W134" s="30">
        <f>49635000</f>
        <v>49635000</v>
      </c>
      <c r="X134" s="34">
        <f>18</f>
        <v>18</v>
      </c>
    </row>
    <row r="135" spans="1:24" x14ac:dyDescent="0.15">
      <c r="A135" s="25" t="s">
        <v>1078</v>
      </c>
      <c r="B135" s="25" t="s">
        <v>369</v>
      </c>
      <c r="C135" s="25" t="s">
        <v>370</v>
      </c>
      <c r="D135" s="25" t="s">
        <v>371</v>
      </c>
      <c r="E135" s="26" t="s">
        <v>43</v>
      </c>
      <c r="F135" s="27" t="s">
        <v>43</v>
      </c>
      <c r="G135" s="28" t="s">
        <v>43</v>
      </c>
      <c r="H135" s="29"/>
      <c r="I135" s="29" t="s">
        <v>44</v>
      </c>
      <c r="J135" s="30">
        <v>10</v>
      </c>
      <c r="K135" s="31">
        <f>486.6</f>
        <v>486.6</v>
      </c>
      <c r="L135" s="32" t="s">
        <v>675</v>
      </c>
      <c r="M135" s="31">
        <f>525.2</f>
        <v>525.20000000000005</v>
      </c>
      <c r="N135" s="32" t="s">
        <v>777</v>
      </c>
      <c r="O135" s="31">
        <f>485.8</f>
        <v>485.8</v>
      </c>
      <c r="P135" s="32" t="s">
        <v>675</v>
      </c>
      <c r="Q135" s="31">
        <f>523.9</f>
        <v>523.9</v>
      </c>
      <c r="R135" s="32" t="s">
        <v>681</v>
      </c>
      <c r="S135" s="33">
        <f>509.49</f>
        <v>509.49</v>
      </c>
      <c r="T135" s="30">
        <f>43252130</f>
        <v>43252130</v>
      </c>
      <c r="U135" s="30">
        <f>1202770</f>
        <v>1202770</v>
      </c>
      <c r="V135" s="30">
        <f>22030656588</f>
        <v>22030656588</v>
      </c>
      <c r="W135" s="30">
        <f>617769493</f>
        <v>617769493</v>
      </c>
      <c r="X135" s="34">
        <f>19</f>
        <v>19</v>
      </c>
    </row>
    <row r="136" spans="1:24" x14ac:dyDescent="0.15">
      <c r="A136" s="25" t="s">
        <v>1078</v>
      </c>
      <c r="B136" s="25" t="s">
        <v>372</v>
      </c>
      <c r="C136" s="25" t="s">
        <v>373</v>
      </c>
      <c r="D136" s="25" t="s">
        <v>374</v>
      </c>
      <c r="E136" s="26" t="s">
        <v>43</v>
      </c>
      <c r="F136" s="27" t="s">
        <v>43</v>
      </c>
      <c r="G136" s="28" t="s">
        <v>43</v>
      </c>
      <c r="H136" s="29"/>
      <c r="I136" s="29" t="s">
        <v>44</v>
      </c>
      <c r="J136" s="30">
        <v>10</v>
      </c>
      <c r="K136" s="31">
        <f>288.2</f>
        <v>288.2</v>
      </c>
      <c r="L136" s="32" t="s">
        <v>675</v>
      </c>
      <c r="M136" s="31">
        <f>294.7</f>
        <v>294.7</v>
      </c>
      <c r="N136" s="32" t="s">
        <v>681</v>
      </c>
      <c r="O136" s="31">
        <f>287.1</f>
        <v>287.10000000000002</v>
      </c>
      <c r="P136" s="32" t="s">
        <v>876</v>
      </c>
      <c r="Q136" s="31">
        <f>294.7</f>
        <v>294.7</v>
      </c>
      <c r="R136" s="32" t="s">
        <v>681</v>
      </c>
      <c r="S136" s="33">
        <f>291.67</f>
        <v>291.67</v>
      </c>
      <c r="T136" s="30">
        <f>32046690</f>
        <v>32046690</v>
      </c>
      <c r="U136" s="30">
        <f>24988100</f>
        <v>24988100</v>
      </c>
      <c r="V136" s="30">
        <f>9351280043</f>
        <v>9351280043</v>
      </c>
      <c r="W136" s="30">
        <f>7296914202</f>
        <v>7296914202</v>
      </c>
      <c r="X136" s="34">
        <f>19</f>
        <v>19</v>
      </c>
    </row>
    <row r="137" spans="1:24" x14ac:dyDescent="0.15">
      <c r="A137" s="25" t="s">
        <v>1078</v>
      </c>
      <c r="B137" s="25" t="s">
        <v>375</v>
      </c>
      <c r="C137" s="25" t="s">
        <v>973</v>
      </c>
      <c r="D137" s="25" t="s">
        <v>376</v>
      </c>
      <c r="E137" s="26" t="s">
        <v>43</v>
      </c>
      <c r="F137" s="27" t="s">
        <v>43</v>
      </c>
      <c r="G137" s="28" t="s">
        <v>43</v>
      </c>
      <c r="H137" s="29"/>
      <c r="I137" s="29" t="s">
        <v>44</v>
      </c>
      <c r="J137" s="30">
        <v>1</v>
      </c>
      <c r="K137" s="31">
        <f>4155</f>
        <v>4155</v>
      </c>
      <c r="L137" s="32" t="s">
        <v>675</v>
      </c>
      <c r="M137" s="31">
        <f>4450</f>
        <v>4450</v>
      </c>
      <c r="N137" s="32" t="s">
        <v>777</v>
      </c>
      <c r="O137" s="31">
        <f>4130</f>
        <v>4130</v>
      </c>
      <c r="P137" s="32" t="s">
        <v>677</v>
      </c>
      <c r="Q137" s="31">
        <f>4440</f>
        <v>4440</v>
      </c>
      <c r="R137" s="32" t="s">
        <v>681</v>
      </c>
      <c r="S137" s="33">
        <f>4323.68</f>
        <v>4323.68</v>
      </c>
      <c r="T137" s="30">
        <f>236023</f>
        <v>236023</v>
      </c>
      <c r="U137" s="30">
        <f>141475</f>
        <v>141475</v>
      </c>
      <c r="V137" s="30">
        <f>1034230184</f>
        <v>1034230184</v>
      </c>
      <c r="W137" s="30">
        <f>628453939</f>
        <v>628453939</v>
      </c>
      <c r="X137" s="34">
        <f>19</f>
        <v>19</v>
      </c>
    </row>
    <row r="138" spans="1:24" x14ac:dyDescent="0.15">
      <c r="A138" s="25" t="s">
        <v>1078</v>
      </c>
      <c r="B138" s="25" t="s">
        <v>377</v>
      </c>
      <c r="C138" s="25" t="s">
        <v>378</v>
      </c>
      <c r="D138" s="25" t="s">
        <v>379</v>
      </c>
      <c r="E138" s="26" t="s">
        <v>43</v>
      </c>
      <c r="F138" s="27" t="s">
        <v>43</v>
      </c>
      <c r="G138" s="28" t="s">
        <v>43</v>
      </c>
      <c r="H138" s="29"/>
      <c r="I138" s="29" t="s">
        <v>44</v>
      </c>
      <c r="J138" s="30">
        <v>1</v>
      </c>
      <c r="K138" s="31">
        <f>2421</f>
        <v>2421</v>
      </c>
      <c r="L138" s="32" t="s">
        <v>675</v>
      </c>
      <c r="M138" s="31">
        <f>2480</f>
        <v>2480</v>
      </c>
      <c r="N138" s="32" t="s">
        <v>777</v>
      </c>
      <c r="O138" s="31">
        <f>2341</f>
        <v>2341</v>
      </c>
      <c r="P138" s="32" t="s">
        <v>759</v>
      </c>
      <c r="Q138" s="31">
        <f>2437</f>
        <v>2437</v>
      </c>
      <c r="R138" s="32" t="s">
        <v>681</v>
      </c>
      <c r="S138" s="33">
        <f>2436.89</f>
        <v>2436.89</v>
      </c>
      <c r="T138" s="30">
        <f>98284</f>
        <v>98284</v>
      </c>
      <c r="U138" s="30">
        <f>4106</f>
        <v>4106</v>
      </c>
      <c r="V138" s="30">
        <f>239247382</f>
        <v>239247382</v>
      </c>
      <c r="W138" s="30">
        <f>9993993</f>
        <v>9993993</v>
      </c>
      <c r="X138" s="34">
        <f>19</f>
        <v>19</v>
      </c>
    </row>
    <row r="139" spans="1:24" x14ac:dyDescent="0.15">
      <c r="A139" s="25" t="s">
        <v>1078</v>
      </c>
      <c r="B139" s="25" t="s">
        <v>380</v>
      </c>
      <c r="C139" s="25" t="s">
        <v>381</v>
      </c>
      <c r="D139" s="25" t="s">
        <v>382</v>
      </c>
      <c r="E139" s="26" t="s">
        <v>43</v>
      </c>
      <c r="F139" s="27" t="s">
        <v>43</v>
      </c>
      <c r="G139" s="28" t="s">
        <v>43</v>
      </c>
      <c r="H139" s="29"/>
      <c r="I139" s="29" t="s">
        <v>44</v>
      </c>
      <c r="J139" s="30">
        <v>1</v>
      </c>
      <c r="K139" s="31">
        <f>2872</f>
        <v>2872</v>
      </c>
      <c r="L139" s="32" t="s">
        <v>675</v>
      </c>
      <c r="M139" s="31">
        <f>2954</f>
        <v>2954</v>
      </c>
      <c r="N139" s="32" t="s">
        <v>682</v>
      </c>
      <c r="O139" s="31">
        <f>2866</f>
        <v>2866</v>
      </c>
      <c r="P139" s="32" t="s">
        <v>675</v>
      </c>
      <c r="Q139" s="31">
        <f>2920</f>
        <v>2920</v>
      </c>
      <c r="R139" s="32" t="s">
        <v>681</v>
      </c>
      <c r="S139" s="33">
        <f>2918.84</f>
        <v>2918.84</v>
      </c>
      <c r="T139" s="30">
        <f>194533</f>
        <v>194533</v>
      </c>
      <c r="U139" s="30">
        <f>18</f>
        <v>18</v>
      </c>
      <c r="V139" s="30">
        <f>567560010</f>
        <v>567560010</v>
      </c>
      <c r="W139" s="30">
        <f>49591</f>
        <v>49591</v>
      </c>
      <c r="X139" s="34">
        <f>19</f>
        <v>19</v>
      </c>
    </row>
    <row r="140" spans="1:24" x14ac:dyDescent="0.15">
      <c r="A140" s="25" t="s">
        <v>1078</v>
      </c>
      <c r="B140" s="25" t="s">
        <v>383</v>
      </c>
      <c r="C140" s="25" t="s">
        <v>384</v>
      </c>
      <c r="D140" s="25" t="s">
        <v>385</v>
      </c>
      <c r="E140" s="26" t="s">
        <v>43</v>
      </c>
      <c r="F140" s="27" t="s">
        <v>43</v>
      </c>
      <c r="G140" s="28" t="s">
        <v>43</v>
      </c>
      <c r="H140" s="29"/>
      <c r="I140" s="29" t="s">
        <v>44</v>
      </c>
      <c r="J140" s="30">
        <v>1</v>
      </c>
      <c r="K140" s="31">
        <f>10435</f>
        <v>10435</v>
      </c>
      <c r="L140" s="32" t="s">
        <v>675</v>
      </c>
      <c r="M140" s="31">
        <f>10545</f>
        <v>10545</v>
      </c>
      <c r="N140" s="32" t="s">
        <v>778</v>
      </c>
      <c r="O140" s="31">
        <f>10300</f>
        <v>10300</v>
      </c>
      <c r="P140" s="32" t="s">
        <v>678</v>
      </c>
      <c r="Q140" s="31">
        <f>10375</f>
        <v>10375</v>
      </c>
      <c r="R140" s="32" t="s">
        <v>681</v>
      </c>
      <c r="S140" s="33">
        <f>10411.32</f>
        <v>10411.32</v>
      </c>
      <c r="T140" s="30">
        <f>183777</f>
        <v>183777</v>
      </c>
      <c r="U140" s="30">
        <f>122162</f>
        <v>122162</v>
      </c>
      <c r="V140" s="30">
        <f>1915893523</f>
        <v>1915893523</v>
      </c>
      <c r="W140" s="30">
        <f>1274165793</f>
        <v>1274165793</v>
      </c>
      <c r="X140" s="34">
        <f>19</f>
        <v>19</v>
      </c>
    </row>
    <row r="141" spans="1:24" x14ac:dyDescent="0.15">
      <c r="A141" s="25" t="s">
        <v>1078</v>
      </c>
      <c r="B141" s="25" t="s">
        <v>386</v>
      </c>
      <c r="C141" s="25" t="s">
        <v>387</v>
      </c>
      <c r="D141" s="25" t="s">
        <v>388</v>
      </c>
      <c r="E141" s="26" t="s">
        <v>43</v>
      </c>
      <c r="F141" s="27" t="s">
        <v>43</v>
      </c>
      <c r="G141" s="28" t="s">
        <v>43</v>
      </c>
      <c r="H141" s="29"/>
      <c r="I141" s="29" t="s">
        <v>44</v>
      </c>
      <c r="J141" s="30">
        <v>1</v>
      </c>
      <c r="K141" s="31">
        <f>2685</f>
        <v>2685</v>
      </c>
      <c r="L141" s="32" t="s">
        <v>675</v>
      </c>
      <c r="M141" s="31">
        <f>3010</f>
        <v>3010</v>
      </c>
      <c r="N141" s="32" t="s">
        <v>883</v>
      </c>
      <c r="O141" s="31">
        <f>2618</f>
        <v>2618</v>
      </c>
      <c r="P141" s="32" t="s">
        <v>876</v>
      </c>
      <c r="Q141" s="31">
        <f>2952</f>
        <v>2952</v>
      </c>
      <c r="R141" s="32" t="s">
        <v>681</v>
      </c>
      <c r="S141" s="33">
        <f>2796.84</f>
        <v>2796.84</v>
      </c>
      <c r="T141" s="30">
        <f>5764598</f>
        <v>5764598</v>
      </c>
      <c r="U141" s="30">
        <f>521</f>
        <v>521</v>
      </c>
      <c r="V141" s="30">
        <f>16137674433</f>
        <v>16137674433</v>
      </c>
      <c r="W141" s="30">
        <f>1394964</f>
        <v>1394964</v>
      </c>
      <c r="X141" s="34">
        <f>19</f>
        <v>19</v>
      </c>
    </row>
    <row r="142" spans="1:24" x14ac:dyDescent="0.15">
      <c r="A142" s="25" t="s">
        <v>1078</v>
      </c>
      <c r="B142" s="25" t="s">
        <v>389</v>
      </c>
      <c r="C142" s="25" t="s">
        <v>390</v>
      </c>
      <c r="D142" s="25" t="s">
        <v>391</v>
      </c>
      <c r="E142" s="26" t="s">
        <v>43</v>
      </c>
      <c r="F142" s="27" t="s">
        <v>43</v>
      </c>
      <c r="G142" s="28" t="s">
        <v>43</v>
      </c>
      <c r="H142" s="29"/>
      <c r="I142" s="29" t="s">
        <v>44</v>
      </c>
      <c r="J142" s="30">
        <v>1</v>
      </c>
      <c r="K142" s="31">
        <f>27345</f>
        <v>27345</v>
      </c>
      <c r="L142" s="32" t="s">
        <v>675</v>
      </c>
      <c r="M142" s="31">
        <f>28165</f>
        <v>28165</v>
      </c>
      <c r="N142" s="32" t="s">
        <v>778</v>
      </c>
      <c r="O142" s="31">
        <f>27290</f>
        <v>27290</v>
      </c>
      <c r="P142" s="32" t="s">
        <v>675</v>
      </c>
      <c r="Q142" s="31">
        <f>28145</f>
        <v>28145</v>
      </c>
      <c r="R142" s="32" t="s">
        <v>681</v>
      </c>
      <c r="S142" s="33">
        <f>27872.37</f>
        <v>27872.37</v>
      </c>
      <c r="T142" s="30">
        <f>5661</f>
        <v>5661</v>
      </c>
      <c r="U142" s="30" t="str">
        <f>"－"</f>
        <v>－</v>
      </c>
      <c r="V142" s="30">
        <f>157484030</f>
        <v>157484030</v>
      </c>
      <c r="W142" s="30" t="str">
        <f>"－"</f>
        <v>－</v>
      </c>
      <c r="X142" s="34">
        <f>19</f>
        <v>19</v>
      </c>
    </row>
    <row r="143" spans="1:24" x14ac:dyDescent="0.15">
      <c r="A143" s="25" t="s">
        <v>1078</v>
      </c>
      <c r="B143" s="25" t="s">
        <v>392</v>
      </c>
      <c r="C143" s="25" t="s">
        <v>393</v>
      </c>
      <c r="D143" s="25" t="s">
        <v>394</v>
      </c>
      <c r="E143" s="26" t="s">
        <v>43</v>
      </c>
      <c r="F143" s="27" t="s">
        <v>43</v>
      </c>
      <c r="G143" s="28" t="s">
        <v>43</v>
      </c>
      <c r="H143" s="29"/>
      <c r="I143" s="29" t="s">
        <v>44</v>
      </c>
      <c r="J143" s="30">
        <v>10</v>
      </c>
      <c r="K143" s="31">
        <f>3055</f>
        <v>3055</v>
      </c>
      <c r="L143" s="32" t="s">
        <v>675</v>
      </c>
      <c r="M143" s="31">
        <f>3150</f>
        <v>3150</v>
      </c>
      <c r="N143" s="32" t="s">
        <v>777</v>
      </c>
      <c r="O143" s="31">
        <f>3002</f>
        <v>3002</v>
      </c>
      <c r="P143" s="32" t="s">
        <v>675</v>
      </c>
      <c r="Q143" s="31">
        <f>3130</f>
        <v>3130</v>
      </c>
      <c r="R143" s="32" t="s">
        <v>681</v>
      </c>
      <c r="S143" s="33">
        <f>3088.26</f>
        <v>3088.26</v>
      </c>
      <c r="T143" s="30">
        <f>38740</f>
        <v>38740</v>
      </c>
      <c r="U143" s="30" t="str">
        <f>"－"</f>
        <v>－</v>
      </c>
      <c r="V143" s="30">
        <f>119336860</f>
        <v>119336860</v>
      </c>
      <c r="W143" s="30" t="str">
        <f>"－"</f>
        <v>－</v>
      </c>
      <c r="X143" s="34">
        <f>19</f>
        <v>19</v>
      </c>
    </row>
    <row r="144" spans="1:24" x14ac:dyDescent="0.15">
      <c r="A144" s="25" t="s">
        <v>1078</v>
      </c>
      <c r="B144" s="25" t="s">
        <v>395</v>
      </c>
      <c r="C144" s="25" t="s">
        <v>396</v>
      </c>
      <c r="D144" s="25" t="s">
        <v>397</v>
      </c>
      <c r="E144" s="26" t="s">
        <v>43</v>
      </c>
      <c r="F144" s="27" t="s">
        <v>43</v>
      </c>
      <c r="G144" s="28" t="s">
        <v>43</v>
      </c>
      <c r="H144" s="29"/>
      <c r="I144" s="29" t="s">
        <v>44</v>
      </c>
      <c r="J144" s="30">
        <v>1</v>
      </c>
      <c r="K144" s="31">
        <f>12895</f>
        <v>12895</v>
      </c>
      <c r="L144" s="32" t="s">
        <v>675</v>
      </c>
      <c r="M144" s="31">
        <f>12895</f>
        <v>12895</v>
      </c>
      <c r="N144" s="32" t="s">
        <v>675</v>
      </c>
      <c r="O144" s="31">
        <f>12090</f>
        <v>12090</v>
      </c>
      <c r="P144" s="32" t="s">
        <v>678</v>
      </c>
      <c r="Q144" s="31">
        <f>12475</f>
        <v>12475</v>
      </c>
      <c r="R144" s="32" t="s">
        <v>681</v>
      </c>
      <c r="S144" s="33">
        <f>12417.37</f>
        <v>12417.37</v>
      </c>
      <c r="T144" s="30">
        <f>12176</f>
        <v>12176</v>
      </c>
      <c r="U144" s="30" t="str">
        <f>"－"</f>
        <v>－</v>
      </c>
      <c r="V144" s="30">
        <f>150909275</f>
        <v>150909275</v>
      </c>
      <c r="W144" s="30" t="str">
        <f>"－"</f>
        <v>－</v>
      </c>
      <c r="X144" s="34">
        <f>19</f>
        <v>19</v>
      </c>
    </row>
    <row r="145" spans="1:24" x14ac:dyDescent="0.15">
      <c r="A145" s="25" t="s">
        <v>1078</v>
      </c>
      <c r="B145" s="25" t="s">
        <v>398</v>
      </c>
      <c r="C145" s="25" t="s">
        <v>399</v>
      </c>
      <c r="D145" s="25" t="s">
        <v>400</v>
      </c>
      <c r="E145" s="26" t="s">
        <v>43</v>
      </c>
      <c r="F145" s="27" t="s">
        <v>43</v>
      </c>
      <c r="G145" s="28" t="s">
        <v>43</v>
      </c>
      <c r="H145" s="29"/>
      <c r="I145" s="29" t="s">
        <v>44</v>
      </c>
      <c r="J145" s="30">
        <v>1</v>
      </c>
      <c r="K145" s="31">
        <f>14460</f>
        <v>14460</v>
      </c>
      <c r="L145" s="32" t="s">
        <v>675</v>
      </c>
      <c r="M145" s="31">
        <f>15075</f>
        <v>15075</v>
      </c>
      <c r="N145" s="32" t="s">
        <v>675</v>
      </c>
      <c r="O145" s="31">
        <f>12900</f>
        <v>12900</v>
      </c>
      <c r="P145" s="32" t="s">
        <v>678</v>
      </c>
      <c r="Q145" s="31">
        <f>13370</f>
        <v>13370</v>
      </c>
      <c r="R145" s="32" t="s">
        <v>681</v>
      </c>
      <c r="S145" s="33">
        <f>13472.63</f>
        <v>13472.63</v>
      </c>
      <c r="T145" s="30">
        <f>14638</f>
        <v>14638</v>
      </c>
      <c r="U145" s="30" t="str">
        <f>"－"</f>
        <v>－</v>
      </c>
      <c r="V145" s="30">
        <f>196501060</f>
        <v>196501060</v>
      </c>
      <c r="W145" s="30" t="str">
        <f>"－"</f>
        <v>－</v>
      </c>
      <c r="X145" s="34">
        <f>19</f>
        <v>19</v>
      </c>
    </row>
    <row r="146" spans="1:24" x14ac:dyDescent="0.15">
      <c r="A146" s="25" t="s">
        <v>1078</v>
      </c>
      <c r="B146" s="25" t="s">
        <v>401</v>
      </c>
      <c r="C146" s="25" t="s">
        <v>402</v>
      </c>
      <c r="D146" s="25" t="s">
        <v>403</v>
      </c>
      <c r="E146" s="26" t="s">
        <v>43</v>
      </c>
      <c r="F146" s="27" t="s">
        <v>43</v>
      </c>
      <c r="G146" s="28" t="s">
        <v>43</v>
      </c>
      <c r="H146" s="29"/>
      <c r="I146" s="29" t="s">
        <v>44</v>
      </c>
      <c r="J146" s="30">
        <v>1</v>
      </c>
      <c r="K146" s="31">
        <f>18315</f>
        <v>18315</v>
      </c>
      <c r="L146" s="32" t="s">
        <v>675</v>
      </c>
      <c r="M146" s="31">
        <f>19825</f>
        <v>19825</v>
      </c>
      <c r="N146" s="32" t="s">
        <v>675</v>
      </c>
      <c r="O146" s="31">
        <f>18305</f>
        <v>18305</v>
      </c>
      <c r="P146" s="32" t="s">
        <v>675</v>
      </c>
      <c r="Q146" s="31">
        <f>19140</f>
        <v>19140</v>
      </c>
      <c r="R146" s="32" t="s">
        <v>681</v>
      </c>
      <c r="S146" s="33">
        <f>18890.77</f>
        <v>18890.77</v>
      </c>
      <c r="T146" s="30">
        <f>194</f>
        <v>194</v>
      </c>
      <c r="U146" s="30" t="str">
        <f>"－"</f>
        <v>－</v>
      </c>
      <c r="V146" s="30">
        <f>3682655</f>
        <v>3682655</v>
      </c>
      <c r="W146" s="30" t="str">
        <f>"－"</f>
        <v>－</v>
      </c>
      <c r="X146" s="34">
        <f>13</f>
        <v>13</v>
      </c>
    </row>
    <row r="147" spans="1:24" x14ac:dyDescent="0.15">
      <c r="A147" s="25" t="s">
        <v>1078</v>
      </c>
      <c r="B147" s="25" t="s">
        <v>404</v>
      </c>
      <c r="C147" s="25" t="s">
        <v>405</v>
      </c>
      <c r="D147" s="25" t="s">
        <v>406</v>
      </c>
      <c r="E147" s="26" t="s">
        <v>43</v>
      </c>
      <c r="F147" s="27" t="s">
        <v>43</v>
      </c>
      <c r="G147" s="28" t="s">
        <v>43</v>
      </c>
      <c r="H147" s="29"/>
      <c r="I147" s="29" t="s">
        <v>44</v>
      </c>
      <c r="J147" s="30">
        <v>10</v>
      </c>
      <c r="K147" s="31">
        <f>53290</f>
        <v>53290</v>
      </c>
      <c r="L147" s="32" t="s">
        <v>675</v>
      </c>
      <c r="M147" s="31">
        <f>54890</f>
        <v>54890</v>
      </c>
      <c r="N147" s="32" t="s">
        <v>778</v>
      </c>
      <c r="O147" s="31">
        <f>53290</f>
        <v>53290</v>
      </c>
      <c r="P147" s="32" t="s">
        <v>675</v>
      </c>
      <c r="Q147" s="31">
        <f>54790</f>
        <v>54790</v>
      </c>
      <c r="R147" s="32" t="s">
        <v>681</v>
      </c>
      <c r="S147" s="33">
        <f>54332.11</f>
        <v>54332.11</v>
      </c>
      <c r="T147" s="30">
        <f>22180</f>
        <v>22180</v>
      </c>
      <c r="U147" s="30">
        <f>17030</f>
        <v>17030</v>
      </c>
      <c r="V147" s="30">
        <f>1209802800</f>
        <v>1209802800</v>
      </c>
      <c r="W147" s="30">
        <f>931054800</f>
        <v>931054800</v>
      </c>
      <c r="X147" s="34">
        <f>19</f>
        <v>19</v>
      </c>
    </row>
    <row r="148" spans="1:24" x14ac:dyDescent="0.15">
      <c r="A148" s="25" t="s">
        <v>1078</v>
      </c>
      <c r="B148" s="25" t="s">
        <v>407</v>
      </c>
      <c r="C148" s="25" t="s">
        <v>974</v>
      </c>
      <c r="D148" s="25" t="s">
        <v>408</v>
      </c>
      <c r="E148" s="26" t="s">
        <v>43</v>
      </c>
      <c r="F148" s="27" t="s">
        <v>43</v>
      </c>
      <c r="G148" s="28" t="s">
        <v>43</v>
      </c>
      <c r="H148" s="29"/>
      <c r="I148" s="29" t="s">
        <v>44</v>
      </c>
      <c r="J148" s="30">
        <v>10</v>
      </c>
      <c r="K148" s="31">
        <f>327.1</f>
        <v>327.10000000000002</v>
      </c>
      <c r="L148" s="32" t="s">
        <v>675</v>
      </c>
      <c r="M148" s="31">
        <f>343.3</f>
        <v>343.3</v>
      </c>
      <c r="N148" s="32" t="s">
        <v>760</v>
      </c>
      <c r="O148" s="31">
        <f>324.9</f>
        <v>324.89999999999998</v>
      </c>
      <c r="P148" s="32" t="s">
        <v>675</v>
      </c>
      <c r="Q148" s="31">
        <f>339.3</f>
        <v>339.3</v>
      </c>
      <c r="R148" s="32" t="s">
        <v>681</v>
      </c>
      <c r="S148" s="33">
        <f>336.32</f>
        <v>336.32</v>
      </c>
      <c r="T148" s="30">
        <f>54061320</f>
        <v>54061320</v>
      </c>
      <c r="U148" s="30">
        <f>445640</f>
        <v>445640</v>
      </c>
      <c r="V148" s="30">
        <f>18162966698</f>
        <v>18162966698</v>
      </c>
      <c r="W148" s="30">
        <f>147933730</f>
        <v>147933730</v>
      </c>
      <c r="X148" s="34">
        <f>19</f>
        <v>19</v>
      </c>
    </row>
    <row r="149" spans="1:24" x14ac:dyDescent="0.15">
      <c r="A149" s="25" t="s">
        <v>1078</v>
      </c>
      <c r="B149" s="25" t="s">
        <v>409</v>
      </c>
      <c r="C149" s="25" t="s">
        <v>975</v>
      </c>
      <c r="D149" s="25" t="s">
        <v>410</v>
      </c>
      <c r="E149" s="26" t="s">
        <v>43</v>
      </c>
      <c r="F149" s="27" t="s">
        <v>43</v>
      </c>
      <c r="G149" s="28" t="s">
        <v>43</v>
      </c>
      <c r="H149" s="29"/>
      <c r="I149" s="29" t="s">
        <v>44</v>
      </c>
      <c r="J149" s="30">
        <v>10</v>
      </c>
      <c r="K149" s="31">
        <f>44850</f>
        <v>44850</v>
      </c>
      <c r="L149" s="32" t="s">
        <v>675</v>
      </c>
      <c r="M149" s="31">
        <f>47500</f>
        <v>47500</v>
      </c>
      <c r="N149" s="32" t="s">
        <v>681</v>
      </c>
      <c r="O149" s="31">
        <f>44690</f>
        <v>44690</v>
      </c>
      <c r="P149" s="32" t="s">
        <v>675</v>
      </c>
      <c r="Q149" s="31">
        <f>47500</f>
        <v>47500</v>
      </c>
      <c r="R149" s="32" t="s">
        <v>681</v>
      </c>
      <c r="S149" s="33">
        <f>46230.53</f>
        <v>46230.53</v>
      </c>
      <c r="T149" s="30">
        <f>2960</f>
        <v>2960</v>
      </c>
      <c r="U149" s="30">
        <f>10</f>
        <v>10</v>
      </c>
      <c r="V149" s="30">
        <f>135779000</f>
        <v>135779000</v>
      </c>
      <c r="W149" s="30">
        <f>453000</f>
        <v>453000</v>
      </c>
      <c r="X149" s="34">
        <f>19</f>
        <v>19</v>
      </c>
    </row>
    <row r="150" spans="1:24" x14ac:dyDescent="0.15">
      <c r="A150" s="25" t="s">
        <v>1078</v>
      </c>
      <c r="B150" s="25" t="s">
        <v>411</v>
      </c>
      <c r="C150" s="25" t="s">
        <v>412</v>
      </c>
      <c r="D150" s="25" t="s">
        <v>976</v>
      </c>
      <c r="E150" s="26" t="s">
        <v>43</v>
      </c>
      <c r="F150" s="27" t="s">
        <v>43</v>
      </c>
      <c r="G150" s="28" t="s">
        <v>43</v>
      </c>
      <c r="H150" s="29"/>
      <c r="I150" s="29" t="s">
        <v>44</v>
      </c>
      <c r="J150" s="30">
        <v>10</v>
      </c>
      <c r="K150" s="31">
        <f>4770</f>
        <v>4770</v>
      </c>
      <c r="L150" s="32" t="s">
        <v>675</v>
      </c>
      <c r="M150" s="31">
        <f>5040</f>
        <v>5040</v>
      </c>
      <c r="N150" s="32" t="s">
        <v>777</v>
      </c>
      <c r="O150" s="31">
        <f>4758</f>
        <v>4758</v>
      </c>
      <c r="P150" s="32" t="s">
        <v>675</v>
      </c>
      <c r="Q150" s="31">
        <f>5024</f>
        <v>5024</v>
      </c>
      <c r="R150" s="32" t="s">
        <v>681</v>
      </c>
      <c r="S150" s="33">
        <f>4933.74</f>
        <v>4933.74</v>
      </c>
      <c r="T150" s="30">
        <f>107930</f>
        <v>107930</v>
      </c>
      <c r="U150" s="30">
        <f>200</f>
        <v>200</v>
      </c>
      <c r="V150" s="30">
        <f>530021810</f>
        <v>530021810</v>
      </c>
      <c r="W150" s="30">
        <f>1007000</f>
        <v>1007000</v>
      </c>
      <c r="X150" s="34">
        <f>19</f>
        <v>19</v>
      </c>
    </row>
    <row r="151" spans="1:24" x14ac:dyDescent="0.15">
      <c r="A151" s="25" t="s">
        <v>1078</v>
      </c>
      <c r="B151" s="25" t="s">
        <v>413</v>
      </c>
      <c r="C151" s="25" t="s">
        <v>977</v>
      </c>
      <c r="D151" s="25" t="s">
        <v>978</v>
      </c>
      <c r="E151" s="26" t="s">
        <v>43</v>
      </c>
      <c r="F151" s="27" t="s">
        <v>43</v>
      </c>
      <c r="G151" s="28" t="s">
        <v>43</v>
      </c>
      <c r="H151" s="29"/>
      <c r="I151" s="29" t="s">
        <v>44</v>
      </c>
      <c r="J151" s="30">
        <v>10</v>
      </c>
      <c r="K151" s="31">
        <f>1839</f>
        <v>1839</v>
      </c>
      <c r="L151" s="32" t="s">
        <v>675</v>
      </c>
      <c r="M151" s="31">
        <f>1848.5</f>
        <v>1848.5</v>
      </c>
      <c r="N151" s="32" t="s">
        <v>684</v>
      </c>
      <c r="O151" s="31">
        <f>1757.5</f>
        <v>1757.5</v>
      </c>
      <c r="P151" s="32" t="s">
        <v>678</v>
      </c>
      <c r="Q151" s="31">
        <f>1793.5</f>
        <v>1793.5</v>
      </c>
      <c r="R151" s="32" t="s">
        <v>681</v>
      </c>
      <c r="S151" s="33">
        <f>1810</f>
        <v>1810</v>
      </c>
      <c r="T151" s="30">
        <f>207870</f>
        <v>207870</v>
      </c>
      <c r="U151" s="30">
        <f>450</f>
        <v>450</v>
      </c>
      <c r="V151" s="30">
        <f>375320305</f>
        <v>375320305</v>
      </c>
      <c r="W151" s="30">
        <f>816075</f>
        <v>816075</v>
      </c>
      <c r="X151" s="34">
        <f>19</f>
        <v>19</v>
      </c>
    </row>
    <row r="152" spans="1:24" x14ac:dyDescent="0.15">
      <c r="A152" s="25" t="s">
        <v>1078</v>
      </c>
      <c r="B152" s="25" t="s">
        <v>414</v>
      </c>
      <c r="C152" s="25" t="s">
        <v>415</v>
      </c>
      <c r="D152" s="25" t="s">
        <v>416</v>
      </c>
      <c r="E152" s="26" t="s">
        <v>43</v>
      </c>
      <c r="F152" s="27" t="s">
        <v>43</v>
      </c>
      <c r="G152" s="28" t="s">
        <v>43</v>
      </c>
      <c r="H152" s="29"/>
      <c r="I152" s="29" t="s">
        <v>44</v>
      </c>
      <c r="J152" s="30">
        <v>100</v>
      </c>
      <c r="K152" s="31">
        <f>239.8</f>
        <v>239.8</v>
      </c>
      <c r="L152" s="32" t="s">
        <v>675</v>
      </c>
      <c r="M152" s="31">
        <f>239.8</f>
        <v>239.8</v>
      </c>
      <c r="N152" s="32" t="s">
        <v>675</v>
      </c>
      <c r="O152" s="31">
        <f>228.3</f>
        <v>228.3</v>
      </c>
      <c r="P152" s="32" t="s">
        <v>875</v>
      </c>
      <c r="Q152" s="31">
        <f>234.4</f>
        <v>234.4</v>
      </c>
      <c r="R152" s="32" t="s">
        <v>681</v>
      </c>
      <c r="S152" s="33">
        <f>232.41</f>
        <v>232.41</v>
      </c>
      <c r="T152" s="30">
        <f>123000</f>
        <v>123000</v>
      </c>
      <c r="U152" s="30">
        <f>400</f>
        <v>400</v>
      </c>
      <c r="V152" s="30">
        <f>28612340</f>
        <v>28612340</v>
      </c>
      <c r="W152" s="30">
        <f>93080</f>
        <v>93080</v>
      </c>
      <c r="X152" s="34">
        <f>19</f>
        <v>19</v>
      </c>
    </row>
    <row r="153" spans="1:24" x14ac:dyDescent="0.15">
      <c r="A153" s="25" t="s">
        <v>1078</v>
      </c>
      <c r="B153" s="25" t="s">
        <v>417</v>
      </c>
      <c r="C153" s="25" t="s">
        <v>418</v>
      </c>
      <c r="D153" s="25" t="s">
        <v>419</v>
      </c>
      <c r="E153" s="26" t="s">
        <v>43</v>
      </c>
      <c r="F153" s="27" t="s">
        <v>43</v>
      </c>
      <c r="G153" s="28" t="s">
        <v>43</v>
      </c>
      <c r="H153" s="29"/>
      <c r="I153" s="29" t="s">
        <v>44</v>
      </c>
      <c r="J153" s="30">
        <v>10</v>
      </c>
      <c r="K153" s="31">
        <f>1561.5</f>
        <v>1561.5</v>
      </c>
      <c r="L153" s="32" t="s">
        <v>675</v>
      </c>
      <c r="M153" s="31">
        <f>1635</f>
        <v>1635</v>
      </c>
      <c r="N153" s="32" t="s">
        <v>876</v>
      </c>
      <c r="O153" s="31">
        <f>1513.5</f>
        <v>1513.5</v>
      </c>
      <c r="P153" s="32" t="s">
        <v>759</v>
      </c>
      <c r="Q153" s="31">
        <f>1579</f>
        <v>1579</v>
      </c>
      <c r="R153" s="32" t="s">
        <v>676</v>
      </c>
      <c r="S153" s="33">
        <f>1548.56</f>
        <v>1548.56</v>
      </c>
      <c r="T153" s="30">
        <f>1250</f>
        <v>1250</v>
      </c>
      <c r="U153" s="30" t="str">
        <f t="shared" ref="U153:U166" si="2">"－"</f>
        <v>－</v>
      </c>
      <c r="V153" s="30">
        <f>1927235</f>
        <v>1927235</v>
      </c>
      <c r="W153" s="30" t="str">
        <f t="shared" ref="W153:W166" si="3">"－"</f>
        <v>－</v>
      </c>
      <c r="X153" s="34">
        <f>9</f>
        <v>9</v>
      </c>
    </row>
    <row r="154" spans="1:24" x14ac:dyDescent="0.15">
      <c r="A154" s="25" t="s">
        <v>1078</v>
      </c>
      <c r="B154" s="25" t="s">
        <v>420</v>
      </c>
      <c r="C154" s="25" t="s">
        <v>421</v>
      </c>
      <c r="D154" s="25" t="s">
        <v>422</v>
      </c>
      <c r="E154" s="26" t="s">
        <v>43</v>
      </c>
      <c r="F154" s="27" t="s">
        <v>43</v>
      </c>
      <c r="G154" s="28" t="s">
        <v>43</v>
      </c>
      <c r="H154" s="29"/>
      <c r="I154" s="29" t="s">
        <v>44</v>
      </c>
      <c r="J154" s="30">
        <v>10</v>
      </c>
      <c r="K154" s="31">
        <f>534.2</f>
        <v>534.20000000000005</v>
      </c>
      <c r="L154" s="32" t="s">
        <v>675</v>
      </c>
      <c r="M154" s="31">
        <f>562.1</f>
        <v>562.1</v>
      </c>
      <c r="N154" s="32" t="s">
        <v>883</v>
      </c>
      <c r="O154" s="31">
        <f>519.7</f>
        <v>519.70000000000005</v>
      </c>
      <c r="P154" s="32" t="s">
        <v>876</v>
      </c>
      <c r="Q154" s="31">
        <f>548.5</f>
        <v>548.5</v>
      </c>
      <c r="R154" s="32" t="s">
        <v>681</v>
      </c>
      <c r="S154" s="33">
        <f>540.55</f>
        <v>540.54999999999995</v>
      </c>
      <c r="T154" s="30">
        <f>56080</f>
        <v>56080</v>
      </c>
      <c r="U154" s="30" t="str">
        <f t="shared" si="2"/>
        <v>－</v>
      </c>
      <c r="V154" s="30">
        <f>30361552</f>
        <v>30361552</v>
      </c>
      <c r="W154" s="30" t="str">
        <f t="shared" si="3"/>
        <v>－</v>
      </c>
      <c r="X154" s="34">
        <f>19</f>
        <v>19</v>
      </c>
    </row>
    <row r="155" spans="1:24" x14ac:dyDescent="0.15">
      <c r="A155" s="25" t="s">
        <v>1078</v>
      </c>
      <c r="B155" s="25" t="s">
        <v>423</v>
      </c>
      <c r="C155" s="25" t="s">
        <v>424</v>
      </c>
      <c r="D155" s="25" t="s">
        <v>425</v>
      </c>
      <c r="E155" s="26" t="s">
        <v>43</v>
      </c>
      <c r="F155" s="27" t="s">
        <v>43</v>
      </c>
      <c r="G155" s="28" t="s">
        <v>43</v>
      </c>
      <c r="H155" s="29"/>
      <c r="I155" s="29" t="s">
        <v>44</v>
      </c>
      <c r="J155" s="30">
        <v>10</v>
      </c>
      <c r="K155" s="31">
        <f>1989.5</f>
        <v>1989.5</v>
      </c>
      <c r="L155" s="32" t="s">
        <v>675</v>
      </c>
      <c r="M155" s="31">
        <f>2097.5</f>
        <v>2097.5</v>
      </c>
      <c r="N155" s="32" t="s">
        <v>681</v>
      </c>
      <c r="O155" s="31">
        <f>1970</f>
        <v>1970</v>
      </c>
      <c r="P155" s="32" t="s">
        <v>759</v>
      </c>
      <c r="Q155" s="31">
        <f>2097.5</f>
        <v>2097.5</v>
      </c>
      <c r="R155" s="32" t="s">
        <v>681</v>
      </c>
      <c r="S155" s="33">
        <f>2047.57</f>
        <v>2047.57</v>
      </c>
      <c r="T155" s="30">
        <f>1960</f>
        <v>1960</v>
      </c>
      <c r="U155" s="30" t="str">
        <f t="shared" si="2"/>
        <v>－</v>
      </c>
      <c r="V155" s="30">
        <f>4010590</f>
        <v>4010590</v>
      </c>
      <c r="W155" s="30" t="str">
        <f t="shared" si="3"/>
        <v>－</v>
      </c>
      <c r="X155" s="34">
        <f>15</f>
        <v>15</v>
      </c>
    </row>
    <row r="156" spans="1:24" x14ac:dyDescent="0.15">
      <c r="A156" s="25" t="s">
        <v>1078</v>
      </c>
      <c r="B156" s="25" t="s">
        <v>426</v>
      </c>
      <c r="C156" s="25" t="s">
        <v>427</v>
      </c>
      <c r="D156" s="25" t="s">
        <v>428</v>
      </c>
      <c r="E156" s="26" t="s">
        <v>43</v>
      </c>
      <c r="F156" s="27" t="s">
        <v>43</v>
      </c>
      <c r="G156" s="28" t="s">
        <v>43</v>
      </c>
      <c r="H156" s="29"/>
      <c r="I156" s="29" t="s">
        <v>44</v>
      </c>
      <c r="J156" s="30">
        <v>10</v>
      </c>
      <c r="K156" s="31">
        <f>896.1</f>
        <v>896.1</v>
      </c>
      <c r="L156" s="32" t="s">
        <v>675</v>
      </c>
      <c r="M156" s="31">
        <f>936.7</f>
        <v>936.7</v>
      </c>
      <c r="N156" s="32" t="s">
        <v>679</v>
      </c>
      <c r="O156" s="31">
        <f>888.3</f>
        <v>888.3</v>
      </c>
      <c r="P156" s="32" t="s">
        <v>876</v>
      </c>
      <c r="Q156" s="31">
        <f>921.6</f>
        <v>921.6</v>
      </c>
      <c r="R156" s="32" t="s">
        <v>681</v>
      </c>
      <c r="S156" s="33">
        <f>911.23</f>
        <v>911.23</v>
      </c>
      <c r="T156" s="30">
        <f>38500</f>
        <v>38500</v>
      </c>
      <c r="U156" s="30" t="str">
        <f t="shared" si="2"/>
        <v>－</v>
      </c>
      <c r="V156" s="30">
        <f>35062808</f>
        <v>35062808</v>
      </c>
      <c r="W156" s="30" t="str">
        <f t="shared" si="3"/>
        <v>－</v>
      </c>
      <c r="X156" s="34">
        <f>19</f>
        <v>19</v>
      </c>
    </row>
    <row r="157" spans="1:24" x14ac:dyDescent="0.15">
      <c r="A157" s="25" t="s">
        <v>1078</v>
      </c>
      <c r="B157" s="25" t="s">
        <v>429</v>
      </c>
      <c r="C157" s="25" t="s">
        <v>430</v>
      </c>
      <c r="D157" s="25" t="s">
        <v>431</v>
      </c>
      <c r="E157" s="26" t="s">
        <v>43</v>
      </c>
      <c r="F157" s="27" t="s">
        <v>43</v>
      </c>
      <c r="G157" s="28" t="s">
        <v>43</v>
      </c>
      <c r="H157" s="29"/>
      <c r="I157" s="29" t="s">
        <v>44</v>
      </c>
      <c r="J157" s="30">
        <v>10</v>
      </c>
      <c r="K157" s="31">
        <f>593.7</f>
        <v>593.70000000000005</v>
      </c>
      <c r="L157" s="32" t="s">
        <v>675</v>
      </c>
      <c r="M157" s="31">
        <f>604</f>
        <v>604</v>
      </c>
      <c r="N157" s="32" t="s">
        <v>679</v>
      </c>
      <c r="O157" s="31">
        <f>580</f>
        <v>580</v>
      </c>
      <c r="P157" s="32" t="s">
        <v>777</v>
      </c>
      <c r="Q157" s="31">
        <f>592.5</f>
        <v>592.5</v>
      </c>
      <c r="R157" s="32" t="s">
        <v>681</v>
      </c>
      <c r="S157" s="33">
        <f>592.18</f>
        <v>592.17999999999995</v>
      </c>
      <c r="T157" s="30">
        <f>131370</f>
        <v>131370</v>
      </c>
      <c r="U157" s="30" t="str">
        <f t="shared" si="2"/>
        <v>－</v>
      </c>
      <c r="V157" s="30">
        <f>77615765</f>
        <v>77615765</v>
      </c>
      <c r="W157" s="30" t="str">
        <f t="shared" si="3"/>
        <v>－</v>
      </c>
      <c r="X157" s="34">
        <f>19</f>
        <v>19</v>
      </c>
    </row>
    <row r="158" spans="1:24" x14ac:dyDescent="0.15">
      <c r="A158" s="25" t="s">
        <v>1078</v>
      </c>
      <c r="B158" s="25" t="s">
        <v>432</v>
      </c>
      <c r="C158" s="25" t="s">
        <v>433</v>
      </c>
      <c r="D158" s="25" t="s">
        <v>434</v>
      </c>
      <c r="E158" s="26" t="s">
        <v>43</v>
      </c>
      <c r="F158" s="27" t="s">
        <v>43</v>
      </c>
      <c r="G158" s="28" t="s">
        <v>43</v>
      </c>
      <c r="H158" s="29"/>
      <c r="I158" s="29" t="s">
        <v>44</v>
      </c>
      <c r="J158" s="30">
        <v>1</v>
      </c>
      <c r="K158" s="31">
        <f>1636</f>
        <v>1636</v>
      </c>
      <c r="L158" s="32" t="s">
        <v>675</v>
      </c>
      <c r="M158" s="31">
        <f>1813</f>
        <v>1813</v>
      </c>
      <c r="N158" s="32" t="s">
        <v>759</v>
      </c>
      <c r="O158" s="31">
        <f>1414</f>
        <v>1414</v>
      </c>
      <c r="P158" s="32" t="s">
        <v>777</v>
      </c>
      <c r="Q158" s="31">
        <f>1421</f>
        <v>1421</v>
      </c>
      <c r="R158" s="32" t="s">
        <v>681</v>
      </c>
      <c r="S158" s="33">
        <f>1608.95</f>
        <v>1608.95</v>
      </c>
      <c r="T158" s="30">
        <f>1035885</f>
        <v>1035885</v>
      </c>
      <c r="U158" s="30" t="str">
        <f t="shared" si="2"/>
        <v>－</v>
      </c>
      <c r="V158" s="30">
        <f>1643791066</f>
        <v>1643791066</v>
      </c>
      <c r="W158" s="30" t="str">
        <f t="shared" si="3"/>
        <v>－</v>
      </c>
      <c r="X158" s="34">
        <f>19</f>
        <v>19</v>
      </c>
    </row>
    <row r="159" spans="1:24" x14ac:dyDescent="0.15">
      <c r="A159" s="25" t="s">
        <v>1078</v>
      </c>
      <c r="B159" s="25" t="s">
        <v>435</v>
      </c>
      <c r="C159" s="25" t="s">
        <v>436</v>
      </c>
      <c r="D159" s="25" t="s">
        <v>437</v>
      </c>
      <c r="E159" s="26" t="s">
        <v>43</v>
      </c>
      <c r="F159" s="27" t="s">
        <v>43</v>
      </c>
      <c r="G159" s="28" t="s">
        <v>43</v>
      </c>
      <c r="H159" s="29"/>
      <c r="I159" s="29" t="s">
        <v>44</v>
      </c>
      <c r="J159" s="30">
        <v>10</v>
      </c>
      <c r="K159" s="31">
        <f>1308</f>
        <v>1308</v>
      </c>
      <c r="L159" s="32" t="s">
        <v>675</v>
      </c>
      <c r="M159" s="31">
        <f>1460</f>
        <v>1460</v>
      </c>
      <c r="N159" s="32" t="s">
        <v>883</v>
      </c>
      <c r="O159" s="31">
        <f>1274</f>
        <v>1274</v>
      </c>
      <c r="P159" s="32" t="s">
        <v>876</v>
      </c>
      <c r="Q159" s="31">
        <f>1428.5</f>
        <v>1428.5</v>
      </c>
      <c r="R159" s="32" t="s">
        <v>681</v>
      </c>
      <c r="S159" s="33">
        <f>1359.45</f>
        <v>1359.45</v>
      </c>
      <c r="T159" s="30">
        <f>60840</f>
        <v>60840</v>
      </c>
      <c r="U159" s="30" t="str">
        <f t="shared" si="2"/>
        <v>－</v>
      </c>
      <c r="V159" s="30">
        <f>82995285</f>
        <v>82995285</v>
      </c>
      <c r="W159" s="30" t="str">
        <f t="shared" si="3"/>
        <v>－</v>
      </c>
      <c r="X159" s="34">
        <f>19</f>
        <v>19</v>
      </c>
    </row>
    <row r="160" spans="1:24" x14ac:dyDescent="0.15">
      <c r="A160" s="25" t="s">
        <v>1078</v>
      </c>
      <c r="B160" s="25" t="s">
        <v>438</v>
      </c>
      <c r="C160" s="25" t="s">
        <v>439</v>
      </c>
      <c r="D160" s="25" t="s">
        <v>440</v>
      </c>
      <c r="E160" s="26" t="s">
        <v>43</v>
      </c>
      <c r="F160" s="27" t="s">
        <v>43</v>
      </c>
      <c r="G160" s="28" t="s">
        <v>43</v>
      </c>
      <c r="H160" s="29"/>
      <c r="I160" s="29" t="s">
        <v>44</v>
      </c>
      <c r="J160" s="30">
        <v>1</v>
      </c>
      <c r="K160" s="31">
        <f>7090</f>
        <v>7090</v>
      </c>
      <c r="L160" s="32" t="s">
        <v>675</v>
      </c>
      <c r="M160" s="31">
        <f>8034</f>
        <v>8034</v>
      </c>
      <c r="N160" s="32" t="s">
        <v>883</v>
      </c>
      <c r="O160" s="31">
        <f>6851</f>
        <v>6851</v>
      </c>
      <c r="P160" s="32" t="s">
        <v>876</v>
      </c>
      <c r="Q160" s="31">
        <f>7830</f>
        <v>7830</v>
      </c>
      <c r="R160" s="32" t="s">
        <v>681</v>
      </c>
      <c r="S160" s="33">
        <f>7462.61</f>
        <v>7462.61</v>
      </c>
      <c r="T160" s="30">
        <f>2704</f>
        <v>2704</v>
      </c>
      <c r="U160" s="30" t="str">
        <f t="shared" si="2"/>
        <v>－</v>
      </c>
      <c r="V160" s="30">
        <f>20104743</f>
        <v>20104743</v>
      </c>
      <c r="W160" s="30" t="str">
        <f t="shared" si="3"/>
        <v>－</v>
      </c>
      <c r="X160" s="34">
        <f>18</f>
        <v>18</v>
      </c>
    </row>
    <row r="161" spans="1:24" x14ac:dyDescent="0.15">
      <c r="A161" s="25" t="s">
        <v>1078</v>
      </c>
      <c r="B161" s="25" t="s">
        <v>441</v>
      </c>
      <c r="C161" s="25" t="s">
        <v>442</v>
      </c>
      <c r="D161" s="25" t="s">
        <v>443</v>
      </c>
      <c r="E161" s="26" t="s">
        <v>43</v>
      </c>
      <c r="F161" s="27" t="s">
        <v>43</v>
      </c>
      <c r="G161" s="28" t="s">
        <v>43</v>
      </c>
      <c r="H161" s="29"/>
      <c r="I161" s="29" t="s">
        <v>44</v>
      </c>
      <c r="J161" s="30">
        <v>100</v>
      </c>
      <c r="K161" s="31">
        <f>433</f>
        <v>433</v>
      </c>
      <c r="L161" s="32" t="s">
        <v>675</v>
      </c>
      <c r="M161" s="31">
        <f>449.2</f>
        <v>449.2</v>
      </c>
      <c r="N161" s="32" t="s">
        <v>675</v>
      </c>
      <c r="O161" s="31">
        <f>424</f>
        <v>424</v>
      </c>
      <c r="P161" s="32" t="s">
        <v>778</v>
      </c>
      <c r="Q161" s="31">
        <f>442.4</f>
        <v>442.4</v>
      </c>
      <c r="R161" s="32" t="s">
        <v>681</v>
      </c>
      <c r="S161" s="33">
        <f>432.1</f>
        <v>432.1</v>
      </c>
      <c r="T161" s="30">
        <f>79100</f>
        <v>79100</v>
      </c>
      <c r="U161" s="30" t="str">
        <f t="shared" si="2"/>
        <v>－</v>
      </c>
      <c r="V161" s="30">
        <f>34550500</f>
        <v>34550500</v>
      </c>
      <c r="W161" s="30" t="str">
        <f t="shared" si="3"/>
        <v>－</v>
      </c>
      <c r="X161" s="34">
        <f>19</f>
        <v>19</v>
      </c>
    </row>
    <row r="162" spans="1:24" x14ac:dyDescent="0.15">
      <c r="A162" s="25" t="s">
        <v>1078</v>
      </c>
      <c r="B162" s="25" t="s">
        <v>444</v>
      </c>
      <c r="C162" s="25" t="s">
        <v>445</v>
      </c>
      <c r="D162" s="25" t="s">
        <v>446</v>
      </c>
      <c r="E162" s="26" t="s">
        <v>43</v>
      </c>
      <c r="F162" s="27" t="s">
        <v>43</v>
      </c>
      <c r="G162" s="28" t="s">
        <v>43</v>
      </c>
      <c r="H162" s="29"/>
      <c r="I162" s="29" t="s">
        <v>44</v>
      </c>
      <c r="J162" s="30">
        <v>10</v>
      </c>
      <c r="K162" s="31">
        <f>4930</f>
        <v>4930</v>
      </c>
      <c r="L162" s="32" t="s">
        <v>675</v>
      </c>
      <c r="M162" s="31">
        <f>5150</f>
        <v>5150</v>
      </c>
      <c r="N162" s="32" t="s">
        <v>681</v>
      </c>
      <c r="O162" s="31">
        <f>4851</f>
        <v>4851</v>
      </c>
      <c r="P162" s="32" t="s">
        <v>759</v>
      </c>
      <c r="Q162" s="31">
        <f>5126</f>
        <v>5126</v>
      </c>
      <c r="R162" s="32" t="s">
        <v>681</v>
      </c>
      <c r="S162" s="33">
        <f>4980.16</f>
        <v>4980.16</v>
      </c>
      <c r="T162" s="30">
        <f>24730</f>
        <v>24730</v>
      </c>
      <c r="U162" s="30" t="str">
        <f t="shared" si="2"/>
        <v>－</v>
      </c>
      <c r="V162" s="30">
        <f>122724750</f>
        <v>122724750</v>
      </c>
      <c r="W162" s="30" t="str">
        <f t="shared" si="3"/>
        <v>－</v>
      </c>
      <c r="X162" s="34">
        <f>19</f>
        <v>19</v>
      </c>
    </row>
    <row r="163" spans="1:24" x14ac:dyDescent="0.15">
      <c r="A163" s="25" t="s">
        <v>1078</v>
      </c>
      <c r="B163" s="25" t="s">
        <v>447</v>
      </c>
      <c r="C163" s="25" t="s">
        <v>448</v>
      </c>
      <c r="D163" s="25" t="s">
        <v>449</v>
      </c>
      <c r="E163" s="26" t="s">
        <v>43</v>
      </c>
      <c r="F163" s="27" t="s">
        <v>43</v>
      </c>
      <c r="G163" s="28" t="s">
        <v>43</v>
      </c>
      <c r="H163" s="29"/>
      <c r="I163" s="29" t="s">
        <v>44</v>
      </c>
      <c r="J163" s="30">
        <v>10</v>
      </c>
      <c r="K163" s="31">
        <f>2105</f>
        <v>2105</v>
      </c>
      <c r="L163" s="32" t="s">
        <v>675</v>
      </c>
      <c r="M163" s="31">
        <f>2276</f>
        <v>2276</v>
      </c>
      <c r="N163" s="32" t="s">
        <v>883</v>
      </c>
      <c r="O163" s="31">
        <f>2103</f>
        <v>2103</v>
      </c>
      <c r="P163" s="32" t="s">
        <v>675</v>
      </c>
      <c r="Q163" s="31">
        <f>2223</f>
        <v>2223</v>
      </c>
      <c r="R163" s="32" t="s">
        <v>681</v>
      </c>
      <c r="S163" s="33">
        <f>2192.11</f>
        <v>2192.11</v>
      </c>
      <c r="T163" s="30">
        <f>21080</f>
        <v>21080</v>
      </c>
      <c r="U163" s="30" t="str">
        <f t="shared" si="2"/>
        <v>－</v>
      </c>
      <c r="V163" s="30">
        <f>46306775</f>
        <v>46306775</v>
      </c>
      <c r="W163" s="30" t="str">
        <f t="shared" si="3"/>
        <v>－</v>
      </c>
      <c r="X163" s="34">
        <f>19</f>
        <v>19</v>
      </c>
    </row>
    <row r="164" spans="1:24" x14ac:dyDescent="0.15">
      <c r="A164" s="25" t="s">
        <v>1078</v>
      </c>
      <c r="B164" s="25" t="s">
        <v>450</v>
      </c>
      <c r="C164" s="25" t="s">
        <v>451</v>
      </c>
      <c r="D164" s="25" t="s">
        <v>452</v>
      </c>
      <c r="E164" s="26" t="s">
        <v>43</v>
      </c>
      <c r="F164" s="27" t="s">
        <v>43</v>
      </c>
      <c r="G164" s="28" t="s">
        <v>43</v>
      </c>
      <c r="H164" s="29"/>
      <c r="I164" s="29" t="s">
        <v>44</v>
      </c>
      <c r="J164" s="30">
        <v>1</v>
      </c>
      <c r="K164" s="31">
        <f>3595</f>
        <v>3595</v>
      </c>
      <c r="L164" s="32" t="s">
        <v>675</v>
      </c>
      <c r="M164" s="31">
        <f>3765</f>
        <v>3765</v>
      </c>
      <c r="N164" s="32" t="s">
        <v>679</v>
      </c>
      <c r="O164" s="31">
        <f>3530</f>
        <v>3530</v>
      </c>
      <c r="P164" s="32" t="s">
        <v>876</v>
      </c>
      <c r="Q164" s="31">
        <f>3685</f>
        <v>3685</v>
      </c>
      <c r="R164" s="32" t="s">
        <v>681</v>
      </c>
      <c r="S164" s="33">
        <f>3634.74</f>
        <v>3634.74</v>
      </c>
      <c r="T164" s="30">
        <f>150741</f>
        <v>150741</v>
      </c>
      <c r="U164" s="30" t="str">
        <f t="shared" si="2"/>
        <v>－</v>
      </c>
      <c r="V164" s="30">
        <f>547039495</f>
        <v>547039495</v>
      </c>
      <c r="W164" s="30" t="str">
        <f t="shared" si="3"/>
        <v>－</v>
      </c>
      <c r="X164" s="34">
        <f>19</f>
        <v>19</v>
      </c>
    </row>
    <row r="165" spans="1:24" x14ac:dyDescent="0.15">
      <c r="A165" s="25" t="s">
        <v>1078</v>
      </c>
      <c r="B165" s="25" t="s">
        <v>453</v>
      </c>
      <c r="C165" s="25" t="s">
        <v>454</v>
      </c>
      <c r="D165" s="25" t="s">
        <v>455</v>
      </c>
      <c r="E165" s="26" t="s">
        <v>43</v>
      </c>
      <c r="F165" s="27" t="s">
        <v>43</v>
      </c>
      <c r="G165" s="28" t="s">
        <v>43</v>
      </c>
      <c r="H165" s="29"/>
      <c r="I165" s="29" t="s">
        <v>44</v>
      </c>
      <c r="J165" s="30">
        <v>1</v>
      </c>
      <c r="K165" s="31">
        <f>3380</f>
        <v>3380</v>
      </c>
      <c r="L165" s="32" t="s">
        <v>675</v>
      </c>
      <c r="M165" s="31">
        <f>3450</f>
        <v>3450</v>
      </c>
      <c r="N165" s="32" t="s">
        <v>674</v>
      </c>
      <c r="O165" s="31">
        <f>3290</f>
        <v>3290</v>
      </c>
      <c r="P165" s="32" t="s">
        <v>777</v>
      </c>
      <c r="Q165" s="31">
        <f>3375</f>
        <v>3375</v>
      </c>
      <c r="R165" s="32" t="s">
        <v>681</v>
      </c>
      <c r="S165" s="33">
        <f>3369.47</f>
        <v>3369.47</v>
      </c>
      <c r="T165" s="30">
        <f>22947</f>
        <v>22947</v>
      </c>
      <c r="U165" s="30" t="str">
        <f t="shared" si="2"/>
        <v>－</v>
      </c>
      <c r="V165" s="30">
        <f>77243730</f>
        <v>77243730</v>
      </c>
      <c r="W165" s="30" t="str">
        <f t="shared" si="3"/>
        <v>－</v>
      </c>
      <c r="X165" s="34">
        <f>19</f>
        <v>19</v>
      </c>
    </row>
    <row r="166" spans="1:24" x14ac:dyDescent="0.15">
      <c r="A166" s="25" t="s">
        <v>1078</v>
      </c>
      <c r="B166" s="25" t="s">
        <v>456</v>
      </c>
      <c r="C166" s="25" t="s">
        <v>457</v>
      </c>
      <c r="D166" s="25" t="s">
        <v>458</v>
      </c>
      <c r="E166" s="26" t="s">
        <v>43</v>
      </c>
      <c r="F166" s="27" t="s">
        <v>43</v>
      </c>
      <c r="G166" s="28" t="s">
        <v>43</v>
      </c>
      <c r="H166" s="29"/>
      <c r="I166" s="29" t="s">
        <v>44</v>
      </c>
      <c r="J166" s="30">
        <v>10</v>
      </c>
      <c r="K166" s="31">
        <f>4350</f>
        <v>4350</v>
      </c>
      <c r="L166" s="32" t="s">
        <v>675</v>
      </c>
      <c r="M166" s="31">
        <f>4408</f>
        <v>4408</v>
      </c>
      <c r="N166" s="32" t="s">
        <v>679</v>
      </c>
      <c r="O166" s="31">
        <f>4206</f>
        <v>4206</v>
      </c>
      <c r="P166" s="32" t="s">
        <v>777</v>
      </c>
      <c r="Q166" s="31">
        <f>4285</f>
        <v>4285</v>
      </c>
      <c r="R166" s="32" t="s">
        <v>681</v>
      </c>
      <c r="S166" s="33">
        <f>4327.42</f>
        <v>4327.42</v>
      </c>
      <c r="T166" s="30">
        <f>9840</f>
        <v>9840</v>
      </c>
      <c r="U166" s="30" t="str">
        <f t="shared" si="2"/>
        <v>－</v>
      </c>
      <c r="V166" s="30">
        <f>42491290</f>
        <v>42491290</v>
      </c>
      <c r="W166" s="30" t="str">
        <f t="shared" si="3"/>
        <v>－</v>
      </c>
      <c r="X166" s="34">
        <f>19</f>
        <v>19</v>
      </c>
    </row>
    <row r="167" spans="1:24" x14ac:dyDescent="0.15">
      <c r="A167" s="25" t="s">
        <v>1078</v>
      </c>
      <c r="B167" s="25" t="s">
        <v>459</v>
      </c>
      <c r="C167" s="25" t="s">
        <v>460</v>
      </c>
      <c r="D167" s="25" t="s">
        <v>979</v>
      </c>
      <c r="E167" s="26" t="s">
        <v>43</v>
      </c>
      <c r="F167" s="27" t="s">
        <v>43</v>
      </c>
      <c r="G167" s="28" t="s">
        <v>43</v>
      </c>
      <c r="H167" s="29"/>
      <c r="I167" s="29" t="s">
        <v>44</v>
      </c>
      <c r="J167" s="30">
        <v>10</v>
      </c>
      <c r="K167" s="31">
        <f>2582.5</f>
        <v>2582.5</v>
      </c>
      <c r="L167" s="32" t="s">
        <v>675</v>
      </c>
      <c r="M167" s="31">
        <f>2796</f>
        <v>2796</v>
      </c>
      <c r="N167" s="32" t="s">
        <v>681</v>
      </c>
      <c r="O167" s="31">
        <f>2570</f>
        <v>2570</v>
      </c>
      <c r="P167" s="32" t="s">
        <v>675</v>
      </c>
      <c r="Q167" s="31">
        <f>2796</f>
        <v>2796</v>
      </c>
      <c r="R167" s="32" t="s">
        <v>681</v>
      </c>
      <c r="S167" s="33">
        <f>2724.18</f>
        <v>2724.18</v>
      </c>
      <c r="T167" s="30">
        <f>450720</f>
        <v>450720</v>
      </c>
      <c r="U167" s="30">
        <f>208300</f>
        <v>208300</v>
      </c>
      <c r="V167" s="30">
        <f>1222622616</f>
        <v>1222622616</v>
      </c>
      <c r="W167" s="30">
        <f>565871816</f>
        <v>565871816</v>
      </c>
      <c r="X167" s="34">
        <f>19</f>
        <v>19</v>
      </c>
    </row>
    <row r="168" spans="1:24" x14ac:dyDescent="0.15">
      <c r="A168" s="25" t="s">
        <v>1078</v>
      </c>
      <c r="B168" s="25" t="s">
        <v>461</v>
      </c>
      <c r="C168" s="25" t="s">
        <v>980</v>
      </c>
      <c r="D168" s="25" t="s">
        <v>981</v>
      </c>
      <c r="E168" s="26" t="s">
        <v>43</v>
      </c>
      <c r="F168" s="27" t="s">
        <v>43</v>
      </c>
      <c r="G168" s="28" t="s">
        <v>43</v>
      </c>
      <c r="H168" s="29"/>
      <c r="I168" s="29" t="s">
        <v>44</v>
      </c>
      <c r="J168" s="30">
        <v>10</v>
      </c>
      <c r="K168" s="31">
        <f>361.6</f>
        <v>361.6</v>
      </c>
      <c r="L168" s="32" t="s">
        <v>675</v>
      </c>
      <c r="M168" s="31">
        <f>402.3</f>
        <v>402.3</v>
      </c>
      <c r="N168" s="32" t="s">
        <v>883</v>
      </c>
      <c r="O168" s="31">
        <f>351.5</f>
        <v>351.5</v>
      </c>
      <c r="P168" s="32" t="s">
        <v>876</v>
      </c>
      <c r="Q168" s="31">
        <f>394.8</f>
        <v>394.8</v>
      </c>
      <c r="R168" s="32" t="s">
        <v>681</v>
      </c>
      <c r="S168" s="33">
        <f>374.84</f>
        <v>374.84</v>
      </c>
      <c r="T168" s="30">
        <f>17148920</f>
        <v>17148920</v>
      </c>
      <c r="U168" s="30">
        <f>6580</f>
        <v>6580</v>
      </c>
      <c r="V168" s="30">
        <f>6426041501</f>
        <v>6426041501</v>
      </c>
      <c r="W168" s="30">
        <f>2492776</f>
        <v>2492776</v>
      </c>
      <c r="X168" s="34">
        <f>19</f>
        <v>19</v>
      </c>
    </row>
    <row r="169" spans="1:24" x14ac:dyDescent="0.15">
      <c r="A169" s="25" t="s">
        <v>1078</v>
      </c>
      <c r="B169" s="25" t="s">
        <v>1054</v>
      </c>
      <c r="C169" s="25" t="s">
        <v>1055</v>
      </c>
      <c r="D169" s="25" t="s">
        <v>1056</v>
      </c>
      <c r="E169" s="26" t="s">
        <v>43</v>
      </c>
      <c r="F169" s="27" t="s">
        <v>43</v>
      </c>
      <c r="G169" s="28" t="s">
        <v>43</v>
      </c>
      <c r="H169" s="29"/>
      <c r="I169" s="29" t="s">
        <v>44</v>
      </c>
      <c r="J169" s="30">
        <v>10</v>
      </c>
      <c r="K169" s="31">
        <f>503.4</f>
        <v>503.4</v>
      </c>
      <c r="L169" s="32" t="s">
        <v>675</v>
      </c>
      <c r="M169" s="31">
        <f>539</f>
        <v>539</v>
      </c>
      <c r="N169" s="32" t="s">
        <v>778</v>
      </c>
      <c r="O169" s="31">
        <f>498.3</f>
        <v>498.3</v>
      </c>
      <c r="P169" s="32" t="s">
        <v>675</v>
      </c>
      <c r="Q169" s="31">
        <f>533.3</f>
        <v>533.29999999999995</v>
      </c>
      <c r="R169" s="32" t="s">
        <v>681</v>
      </c>
      <c r="S169" s="33">
        <f>523.87</f>
        <v>523.87</v>
      </c>
      <c r="T169" s="30">
        <f>1181460</f>
        <v>1181460</v>
      </c>
      <c r="U169" s="30">
        <f>85000</f>
        <v>85000</v>
      </c>
      <c r="V169" s="30">
        <f>616190334</f>
        <v>616190334</v>
      </c>
      <c r="W169" s="30">
        <f>44150417</f>
        <v>44150417</v>
      </c>
      <c r="X169" s="34">
        <f>19</f>
        <v>19</v>
      </c>
    </row>
    <row r="170" spans="1:24" x14ac:dyDescent="0.15">
      <c r="A170" s="25" t="s">
        <v>1078</v>
      </c>
      <c r="B170" s="25" t="s">
        <v>1083</v>
      </c>
      <c r="C170" s="25" t="s">
        <v>1084</v>
      </c>
      <c r="D170" s="25" t="s">
        <v>1085</v>
      </c>
      <c r="E170" s="26" t="s">
        <v>672</v>
      </c>
      <c r="F170" s="27" t="s">
        <v>673</v>
      </c>
      <c r="G170" s="28" t="s">
        <v>1086</v>
      </c>
      <c r="H170" s="29"/>
      <c r="I170" s="29" t="s">
        <v>44</v>
      </c>
      <c r="J170" s="30">
        <v>10</v>
      </c>
      <c r="K170" s="31">
        <f>202.5</f>
        <v>202.5</v>
      </c>
      <c r="L170" s="32" t="s">
        <v>678</v>
      </c>
      <c r="M170" s="31">
        <f>210.1</f>
        <v>210.1</v>
      </c>
      <c r="N170" s="32" t="s">
        <v>874</v>
      </c>
      <c r="O170" s="31">
        <f>195.1</f>
        <v>195.1</v>
      </c>
      <c r="P170" s="32" t="s">
        <v>676</v>
      </c>
      <c r="Q170" s="31">
        <f>200.7</f>
        <v>200.7</v>
      </c>
      <c r="R170" s="32" t="s">
        <v>681</v>
      </c>
      <c r="S170" s="33">
        <f>200.96</f>
        <v>200.96</v>
      </c>
      <c r="T170" s="30">
        <f>6484450</f>
        <v>6484450</v>
      </c>
      <c r="U170" s="30" t="str">
        <f>"－"</f>
        <v>－</v>
      </c>
      <c r="V170" s="30">
        <f>1302277355</f>
        <v>1302277355</v>
      </c>
      <c r="W170" s="30" t="str">
        <f>"－"</f>
        <v>－</v>
      </c>
      <c r="X170" s="34">
        <f>10</f>
        <v>10</v>
      </c>
    </row>
    <row r="171" spans="1:24" x14ac:dyDescent="0.15">
      <c r="A171" s="25" t="s">
        <v>1078</v>
      </c>
      <c r="B171" s="25" t="s">
        <v>1087</v>
      </c>
      <c r="C171" s="25" t="s">
        <v>1088</v>
      </c>
      <c r="D171" s="25" t="s">
        <v>1089</v>
      </c>
      <c r="E171" s="26" t="s">
        <v>672</v>
      </c>
      <c r="F171" s="27" t="s">
        <v>673</v>
      </c>
      <c r="G171" s="28" t="s">
        <v>1086</v>
      </c>
      <c r="H171" s="29"/>
      <c r="I171" s="29" t="s">
        <v>44</v>
      </c>
      <c r="J171" s="30">
        <v>10</v>
      </c>
      <c r="K171" s="31">
        <f>208</f>
        <v>208</v>
      </c>
      <c r="L171" s="32" t="s">
        <v>678</v>
      </c>
      <c r="M171" s="31">
        <f>210</f>
        <v>210</v>
      </c>
      <c r="N171" s="32" t="s">
        <v>678</v>
      </c>
      <c r="O171" s="31">
        <f>200.6</f>
        <v>200.6</v>
      </c>
      <c r="P171" s="32" t="s">
        <v>680</v>
      </c>
      <c r="Q171" s="31">
        <f>205.9</f>
        <v>205.9</v>
      </c>
      <c r="R171" s="32" t="s">
        <v>681</v>
      </c>
      <c r="S171" s="33">
        <f>203</f>
        <v>203</v>
      </c>
      <c r="T171" s="30">
        <f>7764210</f>
        <v>7764210</v>
      </c>
      <c r="U171" s="30">
        <f>2260</f>
        <v>2260</v>
      </c>
      <c r="V171" s="30">
        <f>1575477258</f>
        <v>1575477258</v>
      </c>
      <c r="W171" s="30">
        <f>452444</f>
        <v>452444</v>
      </c>
      <c r="X171" s="34">
        <f>10</f>
        <v>10</v>
      </c>
    </row>
    <row r="172" spans="1:24" x14ac:dyDescent="0.15">
      <c r="A172" s="25" t="s">
        <v>1078</v>
      </c>
      <c r="B172" s="25" t="s">
        <v>1090</v>
      </c>
      <c r="C172" s="25" t="s">
        <v>1091</v>
      </c>
      <c r="D172" s="25" t="s">
        <v>1092</v>
      </c>
      <c r="E172" s="26" t="s">
        <v>672</v>
      </c>
      <c r="F172" s="27" t="s">
        <v>673</v>
      </c>
      <c r="G172" s="28" t="s">
        <v>1086</v>
      </c>
      <c r="H172" s="29"/>
      <c r="I172" s="29" t="s">
        <v>44</v>
      </c>
      <c r="J172" s="30">
        <v>10</v>
      </c>
      <c r="K172" s="31">
        <f>208</f>
        <v>208</v>
      </c>
      <c r="L172" s="32" t="s">
        <v>678</v>
      </c>
      <c r="M172" s="31">
        <f>208.9</f>
        <v>208.9</v>
      </c>
      <c r="N172" s="32" t="s">
        <v>678</v>
      </c>
      <c r="O172" s="31">
        <f>201.1</f>
        <v>201.1</v>
      </c>
      <c r="P172" s="32" t="s">
        <v>678</v>
      </c>
      <c r="Q172" s="31">
        <f>207.3</f>
        <v>207.3</v>
      </c>
      <c r="R172" s="32" t="s">
        <v>681</v>
      </c>
      <c r="S172" s="33">
        <f>204.7</f>
        <v>204.7</v>
      </c>
      <c r="T172" s="30">
        <f>12351890</f>
        <v>12351890</v>
      </c>
      <c r="U172" s="30">
        <f>50500</f>
        <v>50500</v>
      </c>
      <c r="V172" s="30">
        <f>2522568459</f>
        <v>2522568459</v>
      </c>
      <c r="W172" s="30">
        <f>10160160</f>
        <v>10160160</v>
      </c>
      <c r="X172" s="34">
        <f>10</f>
        <v>10</v>
      </c>
    </row>
    <row r="173" spans="1:24" x14ac:dyDescent="0.15">
      <c r="A173" s="25" t="s">
        <v>1078</v>
      </c>
      <c r="B173" s="25" t="s">
        <v>1093</v>
      </c>
      <c r="C173" s="25" t="s">
        <v>1094</v>
      </c>
      <c r="D173" s="25" t="s">
        <v>1095</v>
      </c>
      <c r="E173" s="26" t="s">
        <v>672</v>
      </c>
      <c r="F173" s="27" t="s">
        <v>673</v>
      </c>
      <c r="G173" s="28" t="s">
        <v>1086</v>
      </c>
      <c r="H173" s="29"/>
      <c r="I173" s="29" t="s">
        <v>44</v>
      </c>
      <c r="J173" s="30">
        <v>1</v>
      </c>
      <c r="K173" s="31">
        <f>2007</f>
        <v>2007</v>
      </c>
      <c r="L173" s="32" t="s">
        <v>678</v>
      </c>
      <c r="M173" s="31">
        <f>2014</f>
        <v>2014</v>
      </c>
      <c r="N173" s="32" t="s">
        <v>681</v>
      </c>
      <c r="O173" s="31">
        <f>1984</f>
        <v>1984</v>
      </c>
      <c r="P173" s="32" t="s">
        <v>679</v>
      </c>
      <c r="Q173" s="31">
        <f>2014</f>
        <v>2014</v>
      </c>
      <c r="R173" s="32" t="s">
        <v>681</v>
      </c>
      <c r="S173" s="33">
        <f>2002.1</f>
        <v>2002.1</v>
      </c>
      <c r="T173" s="30">
        <f>220922</f>
        <v>220922</v>
      </c>
      <c r="U173" s="30" t="str">
        <f>"－"</f>
        <v>－</v>
      </c>
      <c r="V173" s="30">
        <f>441955595</f>
        <v>441955595</v>
      </c>
      <c r="W173" s="30" t="str">
        <f>"－"</f>
        <v>－</v>
      </c>
      <c r="X173" s="34">
        <f>10</f>
        <v>10</v>
      </c>
    </row>
    <row r="174" spans="1:24" x14ac:dyDescent="0.15">
      <c r="A174" s="25" t="s">
        <v>1078</v>
      </c>
      <c r="B174" s="25" t="s">
        <v>1096</v>
      </c>
      <c r="C174" s="25" t="s">
        <v>1097</v>
      </c>
      <c r="D174" s="25" t="s">
        <v>1098</v>
      </c>
      <c r="E174" s="26" t="s">
        <v>672</v>
      </c>
      <c r="F174" s="27" t="s">
        <v>673</v>
      </c>
      <c r="G174" s="28" t="s">
        <v>1086</v>
      </c>
      <c r="H174" s="29"/>
      <c r="I174" s="29" t="s">
        <v>44</v>
      </c>
      <c r="J174" s="30">
        <v>1</v>
      </c>
      <c r="K174" s="31">
        <f>1997</f>
        <v>1997</v>
      </c>
      <c r="L174" s="32" t="s">
        <v>678</v>
      </c>
      <c r="M174" s="31">
        <f>2005</f>
        <v>2005</v>
      </c>
      <c r="N174" s="32" t="s">
        <v>681</v>
      </c>
      <c r="O174" s="31">
        <f>1980</f>
        <v>1980</v>
      </c>
      <c r="P174" s="32" t="s">
        <v>679</v>
      </c>
      <c r="Q174" s="31">
        <f>2003</f>
        <v>2003</v>
      </c>
      <c r="R174" s="32" t="s">
        <v>681</v>
      </c>
      <c r="S174" s="33">
        <f>1993</f>
        <v>1993</v>
      </c>
      <c r="T174" s="30">
        <f>70454</f>
        <v>70454</v>
      </c>
      <c r="U174" s="30" t="str">
        <f>"－"</f>
        <v>－</v>
      </c>
      <c r="V174" s="30">
        <f>140482219</f>
        <v>140482219</v>
      </c>
      <c r="W174" s="30" t="str">
        <f>"－"</f>
        <v>－</v>
      </c>
      <c r="X174" s="34">
        <f>10</f>
        <v>10</v>
      </c>
    </row>
    <row r="175" spans="1:24" x14ac:dyDescent="0.15">
      <c r="A175" s="25" t="s">
        <v>1078</v>
      </c>
      <c r="B175" s="25" t="s">
        <v>1099</v>
      </c>
      <c r="C175" s="25" t="s">
        <v>1100</v>
      </c>
      <c r="D175" s="25" t="s">
        <v>1101</v>
      </c>
      <c r="E175" s="26" t="s">
        <v>672</v>
      </c>
      <c r="F175" s="27" t="s">
        <v>673</v>
      </c>
      <c r="G175" s="28" t="s">
        <v>1102</v>
      </c>
      <c r="H175" s="29"/>
      <c r="I175" s="29" t="s">
        <v>44</v>
      </c>
      <c r="J175" s="30">
        <v>1</v>
      </c>
      <c r="K175" s="31">
        <f>1018</f>
        <v>1018</v>
      </c>
      <c r="L175" s="32" t="s">
        <v>683</v>
      </c>
      <c r="M175" s="31">
        <f>1039</f>
        <v>1039</v>
      </c>
      <c r="N175" s="32" t="s">
        <v>683</v>
      </c>
      <c r="O175" s="31">
        <f>991</f>
        <v>991</v>
      </c>
      <c r="P175" s="32" t="s">
        <v>676</v>
      </c>
      <c r="Q175" s="31">
        <f>1012</f>
        <v>1012</v>
      </c>
      <c r="R175" s="32" t="s">
        <v>681</v>
      </c>
      <c r="S175" s="33">
        <f>1004.67</f>
        <v>1004.67</v>
      </c>
      <c r="T175" s="30">
        <f>5719601</f>
        <v>5719601</v>
      </c>
      <c r="U175" s="30">
        <f>650790</f>
        <v>650790</v>
      </c>
      <c r="V175" s="30">
        <f>5739671532</f>
        <v>5739671532</v>
      </c>
      <c r="W175" s="30">
        <f>651587464</f>
        <v>651587464</v>
      </c>
      <c r="X175" s="34">
        <f>6</f>
        <v>6</v>
      </c>
    </row>
    <row r="176" spans="1:24" x14ac:dyDescent="0.15">
      <c r="A176" s="25" t="s">
        <v>1078</v>
      </c>
      <c r="B176" s="25" t="s">
        <v>1103</v>
      </c>
      <c r="C176" s="25" t="s">
        <v>1104</v>
      </c>
      <c r="D176" s="25" t="s">
        <v>1105</v>
      </c>
      <c r="E176" s="26" t="s">
        <v>672</v>
      </c>
      <c r="F176" s="27" t="s">
        <v>673</v>
      </c>
      <c r="G176" s="28" t="s">
        <v>1082</v>
      </c>
      <c r="H176" s="29"/>
      <c r="I176" s="29" t="s">
        <v>44</v>
      </c>
      <c r="J176" s="30">
        <v>1</v>
      </c>
      <c r="K176" s="31">
        <f>996</f>
        <v>996</v>
      </c>
      <c r="L176" s="32" t="s">
        <v>681</v>
      </c>
      <c r="M176" s="31">
        <f>1030</f>
        <v>1030</v>
      </c>
      <c r="N176" s="32" t="s">
        <v>681</v>
      </c>
      <c r="O176" s="31">
        <f>994</f>
        <v>994</v>
      </c>
      <c r="P176" s="32" t="s">
        <v>681</v>
      </c>
      <c r="Q176" s="31">
        <f>1000</f>
        <v>1000</v>
      </c>
      <c r="R176" s="32" t="s">
        <v>681</v>
      </c>
      <c r="S176" s="33">
        <f>1000</f>
        <v>1000</v>
      </c>
      <c r="T176" s="30">
        <f>11188</f>
        <v>11188</v>
      </c>
      <c r="U176" s="30">
        <f>1</f>
        <v>1</v>
      </c>
      <c r="V176" s="30">
        <f>11169640</f>
        <v>11169640</v>
      </c>
      <c r="W176" s="30">
        <f>999</f>
        <v>999</v>
      </c>
      <c r="X176" s="34">
        <f>1</f>
        <v>1</v>
      </c>
    </row>
    <row r="177" spans="1:24" x14ac:dyDescent="0.15">
      <c r="A177" s="25" t="s">
        <v>1078</v>
      </c>
      <c r="B177" s="25" t="s">
        <v>1106</v>
      </c>
      <c r="C177" s="25" t="s">
        <v>1107</v>
      </c>
      <c r="D177" s="25" t="s">
        <v>1108</v>
      </c>
      <c r="E177" s="26" t="s">
        <v>672</v>
      </c>
      <c r="F177" s="27" t="s">
        <v>673</v>
      </c>
      <c r="G177" s="28" t="s">
        <v>1082</v>
      </c>
      <c r="H177" s="29"/>
      <c r="I177" s="29" t="s">
        <v>44</v>
      </c>
      <c r="J177" s="30">
        <v>1</v>
      </c>
      <c r="K177" s="31">
        <f>1004</f>
        <v>1004</v>
      </c>
      <c r="L177" s="32" t="s">
        <v>681</v>
      </c>
      <c r="M177" s="31">
        <f>1023</f>
        <v>1023</v>
      </c>
      <c r="N177" s="32" t="s">
        <v>681</v>
      </c>
      <c r="O177" s="31">
        <f>1000</f>
        <v>1000</v>
      </c>
      <c r="P177" s="32" t="s">
        <v>681</v>
      </c>
      <c r="Q177" s="31">
        <f>1006</f>
        <v>1006</v>
      </c>
      <c r="R177" s="32" t="s">
        <v>681</v>
      </c>
      <c r="S177" s="33">
        <f>1006</f>
        <v>1006</v>
      </c>
      <c r="T177" s="30">
        <f>90982</f>
        <v>90982</v>
      </c>
      <c r="U177" s="30" t="str">
        <f>"－"</f>
        <v>－</v>
      </c>
      <c r="V177" s="30">
        <f>91284401</f>
        <v>91284401</v>
      </c>
      <c r="W177" s="30" t="str">
        <f>"－"</f>
        <v>－</v>
      </c>
      <c r="X177" s="34">
        <f>1</f>
        <v>1</v>
      </c>
    </row>
    <row r="178" spans="1:24" x14ac:dyDescent="0.15">
      <c r="A178" s="25" t="s">
        <v>1078</v>
      </c>
      <c r="B178" s="25" t="s">
        <v>462</v>
      </c>
      <c r="C178" s="25" t="s">
        <v>463</v>
      </c>
      <c r="D178" s="25" t="s">
        <v>464</v>
      </c>
      <c r="E178" s="26" t="s">
        <v>43</v>
      </c>
      <c r="F178" s="27" t="s">
        <v>43</v>
      </c>
      <c r="G178" s="28" t="s">
        <v>43</v>
      </c>
      <c r="H178" s="29"/>
      <c r="I178" s="29" t="s">
        <v>465</v>
      </c>
      <c r="J178" s="30">
        <v>1</v>
      </c>
      <c r="K178" s="31">
        <f>3995</f>
        <v>3995</v>
      </c>
      <c r="L178" s="32" t="s">
        <v>675</v>
      </c>
      <c r="M178" s="31">
        <f>4070</f>
        <v>4070</v>
      </c>
      <c r="N178" s="32" t="s">
        <v>674</v>
      </c>
      <c r="O178" s="31">
        <f>3360</f>
        <v>3360</v>
      </c>
      <c r="P178" s="32" t="s">
        <v>874</v>
      </c>
      <c r="Q178" s="31">
        <f>3550</f>
        <v>3550</v>
      </c>
      <c r="R178" s="32" t="s">
        <v>681</v>
      </c>
      <c r="S178" s="33">
        <f>3761.05</f>
        <v>3761.05</v>
      </c>
      <c r="T178" s="30">
        <f>264986</f>
        <v>264986</v>
      </c>
      <c r="U178" s="30" t="str">
        <f>"－"</f>
        <v>－</v>
      </c>
      <c r="V178" s="30">
        <f>981292590</f>
        <v>981292590</v>
      </c>
      <c r="W178" s="30" t="str">
        <f>"－"</f>
        <v>－</v>
      </c>
      <c r="X178" s="34">
        <f>19</f>
        <v>19</v>
      </c>
    </row>
    <row r="179" spans="1:24" x14ac:dyDescent="0.15">
      <c r="A179" s="25" t="s">
        <v>1078</v>
      </c>
      <c r="B179" s="25" t="s">
        <v>466</v>
      </c>
      <c r="C179" s="25" t="s">
        <v>467</v>
      </c>
      <c r="D179" s="25" t="s">
        <v>468</v>
      </c>
      <c r="E179" s="26" t="s">
        <v>43</v>
      </c>
      <c r="F179" s="27" t="s">
        <v>43</v>
      </c>
      <c r="G179" s="28" t="s">
        <v>43</v>
      </c>
      <c r="H179" s="29"/>
      <c r="I179" s="29" t="s">
        <v>465</v>
      </c>
      <c r="J179" s="30">
        <v>1</v>
      </c>
      <c r="K179" s="31">
        <f>9301</f>
        <v>9301</v>
      </c>
      <c r="L179" s="32" t="s">
        <v>675</v>
      </c>
      <c r="M179" s="31">
        <f>10925</f>
        <v>10925</v>
      </c>
      <c r="N179" s="32" t="s">
        <v>874</v>
      </c>
      <c r="O179" s="31">
        <f>9279</f>
        <v>9279</v>
      </c>
      <c r="P179" s="32" t="s">
        <v>675</v>
      </c>
      <c r="Q179" s="31">
        <f>10455</f>
        <v>10455</v>
      </c>
      <c r="R179" s="32" t="s">
        <v>681</v>
      </c>
      <c r="S179" s="33">
        <f>10117</f>
        <v>10117</v>
      </c>
      <c r="T179" s="30">
        <f>22127</f>
        <v>22127</v>
      </c>
      <c r="U179" s="30" t="str">
        <f>"－"</f>
        <v>－</v>
      </c>
      <c r="V179" s="30">
        <f>226513625</f>
        <v>226513625</v>
      </c>
      <c r="W179" s="30" t="str">
        <f>"－"</f>
        <v>－</v>
      </c>
      <c r="X179" s="34">
        <f>19</f>
        <v>19</v>
      </c>
    </row>
    <row r="180" spans="1:24" x14ac:dyDescent="0.15">
      <c r="A180" s="25" t="s">
        <v>1078</v>
      </c>
      <c r="B180" s="25" t="s">
        <v>469</v>
      </c>
      <c r="C180" s="25" t="s">
        <v>470</v>
      </c>
      <c r="D180" s="25" t="s">
        <v>471</v>
      </c>
      <c r="E180" s="26" t="s">
        <v>43</v>
      </c>
      <c r="F180" s="27" t="s">
        <v>43</v>
      </c>
      <c r="G180" s="28" t="s">
        <v>43</v>
      </c>
      <c r="H180" s="29"/>
      <c r="I180" s="29" t="s">
        <v>465</v>
      </c>
      <c r="J180" s="30">
        <v>1</v>
      </c>
      <c r="K180" s="31">
        <f>12945</f>
        <v>12945</v>
      </c>
      <c r="L180" s="32" t="s">
        <v>675</v>
      </c>
      <c r="M180" s="31">
        <f>12945</f>
        <v>12945</v>
      </c>
      <c r="N180" s="32" t="s">
        <v>675</v>
      </c>
      <c r="O180" s="31">
        <f>11270</f>
        <v>11270</v>
      </c>
      <c r="P180" s="32" t="s">
        <v>682</v>
      </c>
      <c r="Q180" s="31">
        <f>11860</f>
        <v>11860</v>
      </c>
      <c r="R180" s="32" t="s">
        <v>681</v>
      </c>
      <c r="S180" s="33">
        <f>12013.06</f>
        <v>12013.06</v>
      </c>
      <c r="T180" s="30">
        <f>1162</f>
        <v>1162</v>
      </c>
      <c r="U180" s="30" t="str">
        <f>"－"</f>
        <v>－</v>
      </c>
      <c r="V180" s="30">
        <f>13725245</f>
        <v>13725245</v>
      </c>
      <c r="W180" s="30" t="str">
        <f>"－"</f>
        <v>－</v>
      </c>
      <c r="X180" s="34">
        <f>18</f>
        <v>18</v>
      </c>
    </row>
    <row r="181" spans="1:24" x14ac:dyDescent="0.15">
      <c r="A181" s="25" t="s">
        <v>1078</v>
      </c>
      <c r="B181" s="25" t="s">
        <v>472</v>
      </c>
      <c r="C181" s="25" t="s">
        <v>473</v>
      </c>
      <c r="D181" s="25" t="s">
        <v>474</v>
      </c>
      <c r="E181" s="26" t="s">
        <v>43</v>
      </c>
      <c r="F181" s="27" t="s">
        <v>43</v>
      </c>
      <c r="G181" s="28" t="s">
        <v>43</v>
      </c>
      <c r="H181" s="29"/>
      <c r="I181" s="29" t="s">
        <v>465</v>
      </c>
      <c r="J181" s="30">
        <v>1</v>
      </c>
      <c r="K181" s="31">
        <f>7575</f>
        <v>7575</v>
      </c>
      <c r="L181" s="32" t="s">
        <v>675</v>
      </c>
      <c r="M181" s="31">
        <f>8377</f>
        <v>8377</v>
      </c>
      <c r="N181" s="32" t="s">
        <v>678</v>
      </c>
      <c r="O181" s="31">
        <f>7575</f>
        <v>7575</v>
      </c>
      <c r="P181" s="32" t="s">
        <v>675</v>
      </c>
      <c r="Q181" s="31">
        <f>8125</f>
        <v>8125</v>
      </c>
      <c r="R181" s="32" t="s">
        <v>681</v>
      </c>
      <c r="S181" s="33">
        <f>8083.16</f>
        <v>8083.16</v>
      </c>
      <c r="T181" s="30">
        <f>8588</f>
        <v>8588</v>
      </c>
      <c r="U181" s="30" t="str">
        <f>"－"</f>
        <v>－</v>
      </c>
      <c r="V181" s="30">
        <f>68733083</f>
        <v>68733083</v>
      </c>
      <c r="W181" s="30" t="str">
        <f>"－"</f>
        <v>－</v>
      </c>
      <c r="X181" s="34">
        <f>19</f>
        <v>19</v>
      </c>
    </row>
    <row r="182" spans="1:24" x14ac:dyDescent="0.15">
      <c r="A182" s="25" t="s">
        <v>1078</v>
      </c>
      <c r="B182" s="25" t="s">
        <v>475</v>
      </c>
      <c r="C182" s="25" t="s">
        <v>476</v>
      </c>
      <c r="D182" s="25" t="s">
        <v>477</v>
      </c>
      <c r="E182" s="26" t="s">
        <v>43</v>
      </c>
      <c r="F182" s="27" t="s">
        <v>43</v>
      </c>
      <c r="G182" s="28" t="s">
        <v>43</v>
      </c>
      <c r="H182" s="29"/>
      <c r="I182" s="29" t="s">
        <v>465</v>
      </c>
      <c r="J182" s="30">
        <v>1</v>
      </c>
      <c r="K182" s="31">
        <f>37030</f>
        <v>37030</v>
      </c>
      <c r="L182" s="32" t="s">
        <v>675</v>
      </c>
      <c r="M182" s="31">
        <f>38880</f>
        <v>38880</v>
      </c>
      <c r="N182" s="32" t="s">
        <v>683</v>
      </c>
      <c r="O182" s="31">
        <f>36770</f>
        <v>36770</v>
      </c>
      <c r="P182" s="32" t="s">
        <v>675</v>
      </c>
      <c r="Q182" s="31">
        <f>38520</f>
        <v>38520</v>
      </c>
      <c r="R182" s="32" t="s">
        <v>681</v>
      </c>
      <c r="S182" s="33">
        <f>37954.21</f>
        <v>37954.21</v>
      </c>
      <c r="T182" s="30">
        <f>32463</f>
        <v>32463</v>
      </c>
      <c r="U182" s="30">
        <f>111</f>
        <v>111</v>
      </c>
      <c r="V182" s="30">
        <f>1232379620</f>
        <v>1232379620</v>
      </c>
      <c r="W182" s="30">
        <f>4250760</f>
        <v>4250760</v>
      </c>
      <c r="X182" s="34">
        <f>19</f>
        <v>19</v>
      </c>
    </row>
    <row r="183" spans="1:24" x14ac:dyDescent="0.15">
      <c r="A183" s="25" t="s">
        <v>1078</v>
      </c>
      <c r="B183" s="25" t="s">
        <v>478</v>
      </c>
      <c r="C183" s="25" t="s">
        <v>479</v>
      </c>
      <c r="D183" s="25" t="s">
        <v>480</v>
      </c>
      <c r="E183" s="26" t="s">
        <v>43</v>
      </c>
      <c r="F183" s="27" t="s">
        <v>43</v>
      </c>
      <c r="G183" s="28" t="s">
        <v>43</v>
      </c>
      <c r="H183" s="29"/>
      <c r="I183" s="29" t="s">
        <v>465</v>
      </c>
      <c r="J183" s="30">
        <v>1</v>
      </c>
      <c r="K183" s="31">
        <f>3570</f>
        <v>3570</v>
      </c>
      <c r="L183" s="32" t="s">
        <v>675</v>
      </c>
      <c r="M183" s="31">
        <f>3585</f>
        <v>3585</v>
      </c>
      <c r="N183" s="32" t="s">
        <v>876</v>
      </c>
      <c r="O183" s="31">
        <f>3425</f>
        <v>3425</v>
      </c>
      <c r="P183" s="32" t="s">
        <v>681</v>
      </c>
      <c r="Q183" s="31">
        <f>3430</f>
        <v>3430</v>
      </c>
      <c r="R183" s="32" t="s">
        <v>681</v>
      </c>
      <c r="S183" s="33">
        <f>3480</f>
        <v>3480</v>
      </c>
      <c r="T183" s="30">
        <f>3958</f>
        <v>3958</v>
      </c>
      <c r="U183" s="30" t="str">
        <f>"－"</f>
        <v>－</v>
      </c>
      <c r="V183" s="30">
        <f>13745795</f>
        <v>13745795</v>
      </c>
      <c r="W183" s="30" t="str">
        <f>"－"</f>
        <v>－</v>
      </c>
      <c r="X183" s="34">
        <f>19</f>
        <v>19</v>
      </c>
    </row>
    <row r="184" spans="1:24" x14ac:dyDescent="0.15">
      <c r="A184" s="25" t="s">
        <v>1078</v>
      </c>
      <c r="B184" s="25" t="s">
        <v>481</v>
      </c>
      <c r="C184" s="25" t="s">
        <v>482</v>
      </c>
      <c r="D184" s="25" t="s">
        <v>483</v>
      </c>
      <c r="E184" s="26" t="s">
        <v>43</v>
      </c>
      <c r="F184" s="27" t="s">
        <v>43</v>
      </c>
      <c r="G184" s="28" t="s">
        <v>43</v>
      </c>
      <c r="H184" s="29"/>
      <c r="I184" s="29" t="s">
        <v>465</v>
      </c>
      <c r="J184" s="30">
        <v>1</v>
      </c>
      <c r="K184" s="31">
        <f>1630</f>
        <v>1630</v>
      </c>
      <c r="L184" s="32" t="s">
        <v>675</v>
      </c>
      <c r="M184" s="31">
        <f>1949</f>
        <v>1949</v>
      </c>
      <c r="N184" s="32" t="s">
        <v>883</v>
      </c>
      <c r="O184" s="31">
        <f>1550</f>
        <v>1550</v>
      </c>
      <c r="P184" s="32" t="s">
        <v>876</v>
      </c>
      <c r="Q184" s="31">
        <f>1882</f>
        <v>1882</v>
      </c>
      <c r="R184" s="32" t="s">
        <v>681</v>
      </c>
      <c r="S184" s="33">
        <f>1725.21</f>
        <v>1725.21</v>
      </c>
      <c r="T184" s="30">
        <f>12370224</f>
        <v>12370224</v>
      </c>
      <c r="U184" s="30">
        <f>401017</f>
        <v>401017</v>
      </c>
      <c r="V184" s="30">
        <f>21318954435</f>
        <v>21318954435</v>
      </c>
      <c r="W184" s="30">
        <f>801635174</f>
        <v>801635174</v>
      </c>
      <c r="X184" s="34">
        <f>19</f>
        <v>19</v>
      </c>
    </row>
    <row r="185" spans="1:24" x14ac:dyDescent="0.15">
      <c r="A185" s="25" t="s">
        <v>1078</v>
      </c>
      <c r="B185" s="25" t="s">
        <v>484</v>
      </c>
      <c r="C185" s="25" t="s">
        <v>485</v>
      </c>
      <c r="D185" s="25" t="s">
        <v>486</v>
      </c>
      <c r="E185" s="26" t="s">
        <v>43</v>
      </c>
      <c r="F185" s="27" t="s">
        <v>43</v>
      </c>
      <c r="G185" s="28" t="s">
        <v>43</v>
      </c>
      <c r="H185" s="29"/>
      <c r="I185" s="29" t="s">
        <v>465</v>
      </c>
      <c r="J185" s="30">
        <v>1</v>
      </c>
      <c r="K185" s="31">
        <f>1128</f>
        <v>1128</v>
      </c>
      <c r="L185" s="32" t="s">
        <v>675</v>
      </c>
      <c r="M185" s="31">
        <f>1158</f>
        <v>1158</v>
      </c>
      <c r="N185" s="32" t="s">
        <v>876</v>
      </c>
      <c r="O185" s="31">
        <f>1030</f>
        <v>1030</v>
      </c>
      <c r="P185" s="32" t="s">
        <v>883</v>
      </c>
      <c r="Q185" s="31">
        <f>1045</f>
        <v>1045</v>
      </c>
      <c r="R185" s="32" t="s">
        <v>681</v>
      </c>
      <c r="S185" s="33">
        <f>1096.21</f>
        <v>1096.21</v>
      </c>
      <c r="T185" s="30">
        <f>1065585</f>
        <v>1065585</v>
      </c>
      <c r="U185" s="30">
        <f>946</f>
        <v>946</v>
      </c>
      <c r="V185" s="30">
        <f>1168914162</f>
        <v>1168914162</v>
      </c>
      <c r="W185" s="30">
        <f>998978</f>
        <v>998978</v>
      </c>
      <c r="X185" s="34">
        <f>19</f>
        <v>19</v>
      </c>
    </row>
    <row r="186" spans="1:24" x14ac:dyDescent="0.15">
      <c r="A186" s="25" t="s">
        <v>1078</v>
      </c>
      <c r="B186" s="25" t="s">
        <v>487</v>
      </c>
      <c r="C186" s="25" t="s">
        <v>488</v>
      </c>
      <c r="D186" s="25" t="s">
        <v>489</v>
      </c>
      <c r="E186" s="26" t="s">
        <v>43</v>
      </c>
      <c r="F186" s="27" t="s">
        <v>43</v>
      </c>
      <c r="G186" s="28" t="s">
        <v>43</v>
      </c>
      <c r="H186" s="29"/>
      <c r="I186" s="29" t="s">
        <v>465</v>
      </c>
      <c r="J186" s="30">
        <v>1</v>
      </c>
      <c r="K186" s="31">
        <f>27230</f>
        <v>27230</v>
      </c>
      <c r="L186" s="32" t="s">
        <v>675</v>
      </c>
      <c r="M186" s="31">
        <f>28550</f>
        <v>28550</v>
      </c>
      <c r="N186" s="32" t="s">
        <v>681</v>
      </c>
      <c r="O186" s="31">
        <f>26740</f>
        <v>26740</v>
      </c>
      <c r="P186" s="32" t="s">
        <v>678</v>
      </c>
      <c r="Q186" s="31">
        <f>28520</f>
        <v>28520</v>
      </c>
      <c r="R186" s="32" t="s">
        <v>681</v>
      </c>
      <c r="S186" s="33">
        <f>27521.32</f>
        <v>27521.32</v>
      </c>
      <c r="T186" s="30">
        <f>39532</f>
        <v>39532</v>
      </c>
      <c r="U186" s="30">
        <f>25</f>
        <v>25</v>
      </c>
      <c r="V186" s="30">
        <f>1087999995</f>
        <v>1087999995</v>
      </c>
      <c r="W186" s="30">
        <f>682675</f>
        <v>682675</v>
      </c>
      <c r="X186" s="34">
        <f>19</f>
        <v>19</v>
      </c>
    </row>
    <row r="187" spans="1:24" x14ac:dyDescent="0.15">
      <c r="A187" s="25" t="s">
        <v>1078</v>
      </c>
      <c r="B187" s="25" t="s">
        <v>490</v>
      </c>
      <c r="C187" s="25" t="s">
        <v>491</v>
      </c>
      <c r="D187" s="25" t="s">
        <v>492</v>
      </c>
      <c r="E187" s="26" t="s">
        <v>43</v>
      </c>
      <c r="F187" s="27" t="s">
        <v>43</v>
      </c>
      <c r="G187" s="28" t="s">
        <v>43</v>
      </c>
      <c r="H187" s="29"/>
      <c r="I187" s="29" t="s">
        <v>465</v>
      </c>
      <c r="J187" s="30">
        <v>1</v>
      </c>
      <c r="K187" s="31">
        <f>2681</f>
        <v>2681</v>
      </c>
      <c r="L187" s="32" t="s">
        <v>675</v>
      </c>
      <c r="M187" s="31">
        <f>2686</f>
        <v>2686</v>
      </c>
      <c r="N187" s="32" t="s">
        <v>678</v>
      </c>
      <c r="O187" s="31">
        <f>2601</f>
        <v>2601</v>
      </c>
      <c r="P187" s="32" t="s">
        <v>681</v>
      </c>
      <c r="Q187" s="31">
        <f>2603</f>
        <v>2603</v>
      </c>
      <c r="R187" s="32" t="s">
        <v>681</v>
      </c>
      <c r="S187" s="33">
        <f>2646.89</f>
        <v>2646.89</v>
      </c>
      <c r="T187" s="30">
        <f>276675</f>
        <v>276675</v>
      </c>
      <c r="U187" s="30">
        <f>55</f>
        <v>55</v>
      </c>
      <c r="V187" s="30">
        <f>732959598</f>
        <v>732959598</v>
      </c>
      <c r="W187" s="30">
        <f>144155</f>
        <v>144155</v>
      </c>
      <c r="X187" s="34">
        <f>19</f>
        <v>19</v>
      </c>
    </row>
    <row r="188" spans="1:24" x14ac:dyDescent="0.15">
      <c r="A188" s="25" t="s">
        <v>1078</v>
      </c>
      <c r="B188" s="25" t="s">
        <v>493</v>
      </c>
      <c r="C188" s="25" t="s">
        <v>1057</v>
      </c>
      <c r="D188" s="25" t="s">
        <v>1058</v>
      </c>
      <c r="E188" s="26" t="s">
        <v>43</v>
      </c>
      <c r="F188" s="27" t="s">
        <v>43</v>
      </c>
      <c r="G188" s="28" t="s">
        <v>43</v>
      </c>
      <c r="H188" s="29"/>
      <c r="I188" s="29" t="s">
        <v>465</v>
      </c>
      <c r="J188" s="30">
        <v>1</v>
      </c>
      <c r="K188" s="31">
        <f>7448</f>
        <v>7448</v>
      </c>
      <c r="L188" s="32" t="s">
        <v>675</v>
      </c>
      <c r="M188" s="31">
        <f>7705</f>
        <v>7705</v>
      </c>
      <c r="N188" s="32" t="s">
        <v>777</v>
      </c>
      <c r="O188" s="31">
        <f>7238</f>
        <v>7238</v>
      </c>
      <c r="P188" s="32" t="s">
        <v>678</v>
      </c>
      <c r="Q188" s="31">
        <f>7550</f>
        <v>7550</v>
      </c>
      <c r="R188" s="32" t="s">
        <v>681</v>
      </c>
      <c r="S188" s="33">
        <f>7483.95</f>
        <v>7483.95</v>
      </c>
      <c r="T188" s="30">
        <f>106542</f>
        <v>106542</v>
      </c>
      <c r="U188" s="30">
        <f>7509</f>
        <v>7509</v>
      </c>
      <c r="V188" s="30">
        <f>800440586</f>
        <v>800440586</v>
      </c>
      <c r="W188" s="30">
        <f>55868008</f>
        <v>55868008</v>
      </c>
      <c r="X188" s="34">
        <f>19</f>
        <v>19</v>
      </c>
    </row>
    <row r="189" spans="1:24" x14ac:dyDescent="0.15">
      <c r="A189" s="25" t="s">
        <v>1078</v>
      </c>
      <c r="B189" s="25" t="s">
        <v>494</v>
      </c>
      <c r="C189" s="25" t="s">
        <v>495</v>
      </c>
      <c r="D189" s="25" t="s">
        <v>496</v>
      </c>
      <c r="E189" s="26" t="s">
        <v>43</v>
      </c>
      <c r="F189" s="27" t="s">
        <v>43</v>
      </c>
      <c r="G189" s="28" t="s">
        <v>43</v>
      </c>
      <c r="H189" s="29"/>
      <c r="I189" s="29" t="s">
        <v>465</v>
      </c>
      <c r="J189" s="30">
        <v>1</v>
      </c>
      <c r="K189" s="31">
        <f>17430</f>
        <v>17430</v>
      </c>
      <c r="L189" s="32" t="s">
        <v>675</v>
      </c>
      <c r="M189" s="31">
        <f>17810</f>
        <v>17810</v>
      </c>
      <c r="N189" s="32" t="s">
        <v>874</v>
      </c>
      <c r="O189" s="31">
        <f>17060</f>
        <v>17060</v>
      </c>
      <c r="P189" s="32" t="s">
        <v>675</v>
      </c>
      <c r="Q189" s="31">
        <f>17330</f>
        <v>17330</v>
      </c>
      <c r="R189" s="32" t="s">
        <v>681</v>
      </c>
      <c r="S189" s="33">
        <f>17371.47</f>
        <v>17371.47</v>
      </c>
      <c r="T189" s="30">
        <f>475</f>
        <v>475</v>
      </c>
      <c r="U189" s="30">
        <f>3</f>
        <v>3</v>
      </c>
      <c r="V189" s="30">
        <f>8232635</f>
        <v>8232635</v>
      </c>
      <c r="W189" s="30">
        <f>51330</f>
        <v>51330</v>
      </c>
      <c r="X189" s="34">
        <f>17</f>
        <v>17</v>
      </c>
    </row>
    <row r="190" spans="1:24" x14ac:dyDescent="0.15">
      <c r="A190" s="25" t="s">
        <v>1078</v>
      </c>
      <c r="B190" s="25" t="s">
        <v>497</v>
      </c>
      <c r="C190" s="25" t="s">
        <v>498</v>
      </c>
      <c r="D190" s="25" t="s">
        <v>499</v>
      </c>
      <c r="E190" s="26" t="s">
        <v>43</v>
      </c>
      <c r="F190" s="27" t="s">
        <v>43</v>
      </c>
      <c r="G190" s="28" t="s">
        <v>43</v>
      </c>
      <c r="H190" s="29"/>
      <c r="I190" s="29" t="s">
        <v>465</v>
      </c>
      <c r="J190" s="30">
        <v>1</v>
      </c>
      <c r="K190" s="31">
        <f>25900</f>
        <v>25900</v>
      </c>
      <c r="L190" s="32" t="s">
        <v>675</v>
      </c>
      <c r="M190" s="31">
        <f>26900</f>
        <v>26900</v>
      </c>
      <c r="N190" s="32" t="s">
        <v>681</v>
      </c>
      <c r="O190" s="31">
        <f>25680</f>
        <v>25680</v>
      </c>
      <c r="P190" s="32" t="s">
        <v>675</v>
      </c>
      <c r="Q190" s="31">
        <f>26900</f>
        <v>26900</v>
      </c>
      <c r="R190" s="32" t="s">
        <v>681</v>
      </c>
      <c r="S190" s="33">
        <f>26294.74</f>
        <v>26294.74</v>
      </c>
      <c r="T190" s="30">
        <f>13676</f>
        <v>13676</v>
      </c>
      <c r="U190" s="30" t="str">
        <f>"－"</f>
        <v>－</v>
      </c>
      <c r="V190" s="30">
        <f>359617505</f>
        <v>359617505</v>
      </c>
      <c r="W190" s="30" t="str">
        <f>"－"</f>
        <v>－</v>
      </c>
      <c r="X190" s="34">
        <f>19</f>
        <v>19</v>
      </c>
    </row>
    <row r="191" spans="1:24" x14ac:dyDescent="0.15">
      <c r="A191" s="25" t="s">
        <v>1078</v>
      </c>
      <c r="B191" s="25" t="s">
        <v>500</v>
      </c>
      <c r="C191" s="25" t="s">
        <v>501</v>
      </c>
      <c r="D191" s="25" t="s">
        <v>502</v>
      </c>
      <c r="E191" s="26" t="s">
        <v>43</v>
      </c>
      <c r="F191" s="27" t="s">
        <v>43</v>
      </c>
      <c r="G191" s="28" t="s">
        <v>43</v>
      </c>
      <c r="H191" s="29"/>
      <c r="I191" s="29" t="s">
        <v>465</v>
      </c>
      <c r="J191" s="30">
        <v>1</v>
      </c>
      <c r="K191" s="31">
        <f>16200</f>
        <v>16200</v>
      </c>
      <c r="L191" s="32" t="s">
        <v>675</v>
      </c>
      <c r="M191" s="31">
        <f>16915</f>
        <v>16915</v>
      </c>
      <c r="N191" s="32" t="s">
        <v>682</v>
      </c>
      <c r="O191" s="31">
        <f>15865</f>
        <v>15865</v>
      </c>
      <c r="P191" s="32" t="s">
        <v>777</v>
      </c>
      <c r="Q191" s="31">
        <f>16190</f>
        <v>16190</v>
      </c>
      <c r="R191" s="32" t="s">
        <v>681</v>
      </c>
      <c r="S191" s="33">
        <f>16419</f>
        <v>16419</v>
      </c>
      <c r="T191" s="30">
        <f>447</f>
        <v>447</v>
      </c>
      <c r="U191" s="30" t="str">
        <f>"－"</f>
        <v>－</v>
      </c>
      <c r="V191" s="30">
        <f>7340525</f>
        <v>7340525</v>
      </c>
      <c r="W191" s="30" t="str">
        <f>"－"</f>
        <v>－</v>
      </c>
      <c r="X191" s="34">
        <f>15</f>
        <v>15</v>
      </c>
    </row>
    <row r="192" spans="1:24" x14ac:dyDescent="0.15">
      <c r="A192" s="25" t="s">
        <v>1078</v>
      </c>
      <c r="B192" s="25" t="s">
        <v>503</v>
      </c>
      <c r="C192" s="25" t="s">
        <v>504</v>
      </c>
      <c r="D192" s="25" t="s">
        <v>505</v>
      </c>
      <c r="E192" s="26" t="s">
        <v>43</v>
      </c>
      <c r="F192" s="27" t="s">
        <v>43</v>
      </c>
      <c r="G192" s="28" t="s">
        <v>43</v>
      </c>
      <c r="H192" s="29"/>
      <c r="I192" s="29" t="s">
        <v>465</v>
      </c>
      <c r="J192" s="30">
        <v>1</v>
      </c>
      <c r="K192" s="31">
        <f>26180</f>
        <v>26180</v>
      </c>
      <c r="L192" s="32" t="s">
        <v>675</v>
      </c>
      <c r="M192" s="31">
        <f>28680</f>
        <v>28680</v>
      </c>
      <c r="N192" s="32" t="s">
        <v>760</v>
      </c>
      <c r="O192" s="31">
        <f>25940</f>
        <v>25940</v>
      </c>
      <c r="P192" s="32" t="s">
        <v>675</v>
      </c>
      <c r="Q192" s="31">
        <f>27500</f>
        <v>27500</v>
      </c>
      <c r="R192" s="32" t="s">
        <v>681</v>
      </c>
      <c r="S192" s="33">
        <f>27125.26</f>
        <v>27125.26</v>
      </c>
      <c r="T192" s="30">
        <f>123948</f>
        <v>123948</v>
      </c>
      <c r="U192" s="30">
        <f>145</f>
        <v>145</v>
      </c>
      <c r="V192" s="30">
        <f>3368276485</f>
        <v>3368276485</v>
      </c>
      <c r="W192" s="30">
        <f>3931395</f>
        <v>3931395</v>
      </c>
      <c r="X192" s="34">
        <f>19</f>
        <v>19</v>
      </c>
    </row>
    <row r="193" spans="1:24" x14ac:dyDescent="0.15">
      <c r="A193" s="25" t="s">
        <v>1078</v>
      </c>
      <c r="B193" s="25" t="s">
        <v>506</v>
      </c>
      <c r="C193" s="25" t="s">
        <v>507</v>
      </c>
      <c r="D193" s="25" t="s">
        <v>508</v>
      </c>
      <c r="E193" s="26" t="s">
        <v>43</v>
      </c>
      <c r="F193" s="27" t="s">
        <v>43</v>
      </c>
      <c r="G193" s="28" t="s">
        <v>43</v>
      </c>
      <c r="H193" s="29"/>
      <c r="I193" s="29" t="s">
        <v>465</v>
      </c>
      <c r="J193" s="30">
        <v>1</v>
      </c>
      <c r="K193" s="31">
        <f>3900</f>
        <v>3900</v>
      </c>
      <c r="L193" s="32" t="s">
        <v>675</v>
      </c>
      <c r="M193" s="31">
        <f>4030</f>
        <v>4030</v>
      </c>
      <c r="N193" s="32" t="s">
        <v>678</v>
      </c>
      <c r="O193" s="31">
        <f>3750</f>
        <v>3750</v>
      </c>
      <c r="P193" s="32" t="s">
        <v>875</v>
      </c>
      <c r="Q193" s="31">
        <f>3890</f>
        <v>3890</v>
      </c>
      <c r="R193" s="32" t="s">
        <v>681</v>
      </c>
      <c r="S193" s="33">
        <f>3892.89</f>
        <v>3892.89</v>
      </c>
      <c r="T193" s="30">
        <f>9592</f>
        <v>9592</v>
      </c>
      <c r="U193" s="30" t="str">
        <f>"－"</f>
        <v>－</v>
      </c>
      <c r="V193" s="30">
        <f>37550720</f>
        <v>37550720</v>
      </c>
      <c r="W193" s="30" t="str">
        <f>"－"</f>
        <v>－</v>
      </c>
      <c r="X193" s="34">
        <f>19</f>
        <v>19</v>
      </c>
    </row>
    <row r="194" spans="1:24" x14ac:dyDescent="0.15">
      <c r="A194" s="25" t="s">
        <v>1078</v>
      </c>
      <c r="B194" s="25" t="s">
        <v>509</v>
      </c>
      <c r="C194" s="25" t="s">
        <v>510</v>
      </c>
      <c r="D194" s="25" t="s">
        <v>511</v>
      </c>
      <c r="E194" s="26" t="s">
        <v>43</v>
      </c>
      <c r="F194" s="27" t="s">
        <v>43</v>
      </c>
      <c r="G194" s="28" t="s">
        <v>43</v>
      </c>
      <c r="H194" s="29"/>
      <c r="I194" s="29" t="s">
        <v>465</v>
      </c>
      <c r="J194" s="30">
        <v>1</v>
      </c>
      <c r="K194" s="31">
        <f>22810</f>
        <v>22810</v>
      </c>
      <c r="L194" s="32" t="s">
        <v>675</v>
      </c>
      <c r="M194" s="31">
        <f>26380</f>
        <v>26380</v>
      </c>
      <c r="N194" s="32" t="s">
        <v>777</v>
      </c>
      <c r="O194" s="31">
        <f>22810</f>
        <v>22810</v>
      </c>
      <c r="P194" s="32" t="s">
        <v>675</v>
      </c>
      <c r="Q194" s="31">
        <f>25935</f>
        <v>25935</v>
      </c>
      <c r="R194" s="32" t="s">
        <v>681</v>
      </c>
      <c r="S194" s="33">
        <f>25330.53</f>
        <v>25330.53</v>
      </c>
      <c r="T194" s="30">
        <f>2903</f>
        <v>2903</v>
      </c>
      <c r="U194" s="30" t="str">
        <f>"－"</f>
        <v>－</v>
      </c>
      <c r="V194" s="30">
        <f>72307650</f>
        <v>72307650</v>
      </c>
      <c r="W194" s="30" t="str">
        <f>"－"</f>
        <v>－</v>
      </c>
      <c r="X194" s="34">
        <f>19</f>
        <v>19</v>
      </c>
    </row>
    <row r="195" spans="1:24" x14ac:dyDescent="0.15">
      <c r="A195" s="25" t="s">
        <v>1078</v>
      </c>
      <c r="B195" s="25" t="s">
        <v>512</v>
      </c>
      <c r="C195" s="25" t="s">
        <v>513</v>
      </c>
      <c r="D195" s="25" t="s">
        <v>514</v>
      </c>
      <c r="E195" s="26" t="s">
        <v>43</v>
      </c>
      <c r="F195" s="27" t="s">
        <v>43</v>
      </c>
      <c r="G195" s="28" t="s">
        <v>43</v>
      </c>
      <c r="H195" s="29"/>
      <c r="I195" s="29" t="s">
        <v>465</v>
      </c>
      <c r="J195" s="30">
        <v>1</v>
      </c>
      <c r="K195" s="31">
        <f>16545</f>
        <v>16545</v>
      </c>
      <c r="L195" s="32" t="s">
        <v>674</v>
      </c>
      <c r="M195" s="31">
        <f>17540</f>
        <v>17540</v>
      </c>
      <c r="N195" s="32" t="s">
        <v>778</v>
      </c>
      <c r="O195" s="31">
        <f>16545</f>
        <v>16545</v>
      </c>
      <c r="P195" s="32" t="s">
        <v>674</v>
      </c>
      <c r="Q195" s="31">
        <f>17315</f>
        <v>17315</v>
      </c>
      <c r="R195" s="32" t="s">
        <v>883</v>
      </c>
      <c r="S195" s="33">
        <f>17149.29</f>
        <v>17149.29</v>
      </c>
      <c r="T195" s="30">
        <f>39</f>
        <v>39</v>
      </c>
      <c r="U195" s="30" t="str">
        <f>"－"</f>
        <v>－</v>
      </c>
      <c r="V195" s="30">
        <f>673915</f>
        <v>673915</v>
      </c>
      <c r="W195" s="30" t="str">
        <f>"－"</f>
        <v>－</v>
      </c>
      <c r="X195" s="34">
        <f>7</f>
        <v>7</v>
      </c>
    </row>
    <row r="196" spans="1:24" x14ac:dyDescent="0.15">
      <c r="A196" s="25" t="s">
        <v>1078</v>
      </c>
      <c r="B196" s="25" t="s">
        <v>515</v>
      </c>
      <c r="C196" s="25" t="s">
        <v>516</v>
      </c>
      <c r="D196" s="25" t="s">
        <v>517</v>
      </c>
      <c r="E196" s="26" t="s">
        <v>43</v>
      </c>
      <c r="F196" s="27" t="s">
        <v>43</v>
      </c>
      <c r="G196" s="28" t="s">
        <v>43</v>
      </c>
      <c r="H196" s="29"/>
      <c r="I196" s="29" t="s">
        <v>465</v>
      </c>
      <c r="J196" s="30">
        <v>1</v>
      </c>
      <c r="K196" s="31">
        <f>27015</f>
        <v>27015</v>
      </c>
      <c r="L196" s="32" t="s">
        <v>675</v>
      </c>
      <c r="M196" s="31">
        <f>29530</f>
        <v>29530</v>
      </c>
      <c r="N196" s="32" t="s">
        <v>778</v>
      </c>
      <c r="O196" s="31">
        <f>27015</f>
        <v>27015</v>
      </c>
      <c r="P196" s="32" t="s">
        <v>675</v>
      </c>
      <c r="Q196" s="31">
        <f>29350</f>
        <v>29350</v>
      </c>
      <c r="R196" s="32" t="s">
        <v>681</v>
      </c>
      <c r="S196" s="33">
        <f>28738.75</f>
        <v>28738.75</v>
      </c>
      <c r="T196" s="30">
        <f>290</f>
        <v>290</v>
      </c>
      <c r="U196" s="30" t="str">
        <f>"－"</f>
        <v>－</v>
      </c>
      <c r="V196" s="30">
        <f>8237300</f>
        <v>8237300</v>
      </c>
      <c r="W196" s="30" t="str">
        <f>"－"</f>
        <v>－</v>
      </c>
      <c r="X196" s="34">
        <f>16</f>
        <v>16</v>
      </c>
    </row>
    <row r="197" spans="1:24" x14ac:dyDescent="0.15">
      <c r="A197" s="25" t="s">
        <v>1078</v>
      </c>
      <c r="B197" s="25" t="s">
        <v>518</v>
      </c>
      <c r="C197" s="25" t="s">
        <v>519</v>
      </c>
      <c r="D197" s="25" t="s">
        <v>520</v>
      </c>
      <c r="E197" s="26" t="s">
        <v>43</v>
      </c>
      <c r="F197" s="27" t="s">
        <v>43</v>
      </c>
      <c r="G197" s="28" t="s">
        <v>43</v>
      </c>
      <c r="H197" s="29"/>
      <c r="I197" s="29" t="s">
        <v>465</v>
      </c>
      <c r="J197" s="30">
        <v>1</v>
      </c>
      <c r="K197" s="31">
        <f>17770</f>
        <v>17770</v>
      </c>
      <c r="L197" s="32" t="s">
        <v>675</v>
      </c>
      <c r="M197" s="31">
        <f>18670</f>
        <v>18670</v>
      </c>
      <c r="N197" s="32" t="s">
        <v>875</v>
      </c>
      <c r="O197" s="31">
        <f>17770</f>
        <v>17770</v>
      </c>
      <c r="P197" s="32" t="s">
        <v>675</v>
      </c>
      <c r="Q197" s="31">
        <f>18670</f>
        <v>18670</v>
      </c>
      <c r="R197" s="32" t="s">
        <v>883</v>
      </c>
      <c r="S197" s="33">
        <f>18352.86</f>
        <v>18352.86</v>
      </c>
      <c r="T197" s="30">
        <f>4988</f>
        <v>4988</v>
      </c>
      <c r="U197" s="30" t="str">
        <f>"－"</f>
        <v>－</v>
      </c>
      <c r="V197" s="30">
        <f>89949170</f>
        <v>89949170</v>
      </c>
      <c r="W197" s="30" t="str">
        <f>"－"</f>
        <v>－</v>
      </c>
      <c r="X197" s="34">
        <f>7</f>
        <v>7</v>
      </c>
    </row>
    <row r="198" spans="1:24" x14ac:dyDescent="0.15">
      <c r="A198" s="25" t="s">
        <v>1078</v>
      </c>
      <c r="B198" s="25" t="s">
        <v>521</v>
      </c>
      <c r="C198" s="25" t="s">
        <v>522</v>
      </c>
      <c r="D198" s="25" t="s">
        <v>523</v>
      </c>
      <c r="E198" s="26" t="s">
        <v>43</v>
      </c>
      <c r="F198" s="27" t="s">
        <v>43</v>
      </c>
      <c r="G198" s="28" t="s">
        <v>43</v>
      </c>
      <c r="H198" s="29"/>
      <c r="I198" s="29" t="s">
        <v>465</v>
      </c>
      <c r="J198" s="30">
        <v>1</v>
      </c>
      <c r="K198" s="31">
        <f>16340</f>
        <v>16340</v>
      </c>
      <c r="L198" s="32" t="s">
        <v>675</v>
      </c>
      <c r="M198" s="31">
        <f>18025</f>
        <v>18025</v>
      </c>
      <c r="N198" s="32" t="s">
        <v>778</v>
      </c>
      <c r="O198" s="31">
        <f>16340</f>
        <v>16340</v>
      </c>
      <c r="P198" s="32" t="s">
        <v>675</v>
      </c>
      <c r="Q198" s="31">
        <f>17840</f>
        <v>17840</v>
      </c>
      <c r="R198" s="32" t="s">
        <v>777</v>
      </c>
      <c r="S198" s="33">
        <f>17551.56</f>
        <v>17551.560000000001</v>
      </c>
      <c r="T198" s="30">
        <f>840</f>
        <v>840</v>
      </c>
      <c r="U198" s="30">
        <f>1</f>
        <v>1</v>
      </c>
      <c r="V198" s="30">
        <f>14697930</f>
        <v>14697930</v>
      </c>
      <c r="W198" s="30">
        <f>16955</f>
        <v>16955</v>
      </c>
      <c r="X198" s="34">
        <f>16</f>
        <v>16</v>
      </c>
    </row>
    <row r="199" spans="1:24" x14ac:dyDescent="0.15">
      <c r="A199" s="25" t="s">
        <v>1078</v>
      </c>
      <c r="B199" s="25" t="s">
        <v>524</v>
      </c>
      <c r="C199" s="25" t="s">
        <v>525</v>
      </c>
      <c r="D199" s="25" t="s">
        <v>526</v>
      </c>
      <c r="E199" s="26" t="s">
        <v>43</v>
      </c>
      <c r="F199" s="27" t="s">
        <v>43</v>
      </c>
      <c r="G199" s="28" t="s">
        <v>43</v>
      </c>
      <c r="H199" s="29"/>
      <c r="I199" s="29" t="s">
        <v>465</v>
      </c>
      <c r="J199" s="30">
        <v>1</v>
      </c>
      <c r="K199" s="31">
        <f>18790</f>
        <v>18790</v>
      </c>
      <c r="L199" s="32" t="s">
        <v>675</v>
      </c>
      <c r="M199" s="31">
        <f>20565</f>
        <v>20565</v>
      </c>
      <c r="N199" s="32" t="s">
        <v>875</v>
      </c>
      <c r="O199" s="31">
        <f>18790</f>
        <v>18790</v>
      </c>
      <c r="P199" s="32" t="s">
        <v>675</v>
      </c>
      <c r="Q199" s="31">
        <f>20355</f>
        <v>20355</v>
      </c>
      <c r="R199" s="32" t="s">
        <v>875</v>
      </c>
      <c r="S199" s="33">
        <f>19572.5</f>
        <v>19572.5</v>
      </c>
      <c r="T199" s="30">
        <f>41</f>
        <v>41</v>
      </c>
      <c r="U199" s="30" t="str">
        <f t="shared" ref="U199:U204" si="4">"－"</f>
        <v>－</v>
      </c>
      <c r="V199" s="30">
        <f>837190</f>
        <v>837190</v>
      </c>
      <c r="W199" s="30" t="str">
        <f t="shared" ref="W199:W204" si="5">"－"</f>
        <v>－</v>
      </c>
      <c r="X199" s="34">
        <f>2</f>
        <v>2</v>
      </c>
    </row>
    <row r="200" spans="1:24" x14ac:dyDescent="0.15">
      <c r="A200" s="25" t="s">
        <v>1078</v>
      </c>
      <c r="B200" s="25" t="s">
        <v>527</v>
      </c>
      <c r="C200" s="25" t="s">
        <v>528</v>
      </c>
      <c r="D200" s="25" t="s">
        <v>529</v>
      </c>
      <c r="E200" s="26" t="s">
        <v>43</v>
      </c>
      <c r="F200" s="27" t="s">
        <v>43</v>
      </c>
      <c r="G200" s="28" t="s">
        <v>43</v>
      </c>
      <c r="H200" s="29"/>
      <c r="I200" s="29" t="s">
        <v>465</v>
      </c>
      <c r="J200" s="30">
        <v>1</v>
      </c>
      <c r="K200" s="31">
        <f>17555</f>
        <v>17555</v>
      </c>
      <c r="L200" s="32" t="s">
        <v>683</v>
      </c>
      <c r="M200" s="31">
        <f>17555</f>
        <v>17555</v>
      </c>
      <c r="N200" s="32" t="s">
        <v>683</v>
      </c>
      <c r="O200" s="31">
        <f>17255</f>
        <v>17255</v>
      </c>
      <c r="P200" s="32" t="s">
        <v>676</v>
      </c>
      <c r="Q200" s="31">
        <f>17370</f>
        <v>17370</v>
      </c>
      <c r="R200" s="32" t="s">
        <v>681</v>
      </c>
      <c r="S200" s="33">
        <f>17377.5</f>
        <v>17377.5</v>
      </c>
      <c r="T200" s="30">
        <f>326</f>
        <v>326</v>
      </c>
      <c r="U200" s="30" t="str">
        <f t="shared" si="4"/>
        <v>－</v>
      </c>
      <c r="V200" s="30">
        <f>5664170</f>
        <v>5664170</v>
      </c>
      <c r="W200" s="30" t="str">
        <f t="shared" si="5"/>
        <v>－</v>
      </c>
      <c r="X200" s="34">
        <f>4</f>
        <v>4</v>
      </c>
    </row>
    <row r="201" spans="1:24" x14ac:dyDescent="0.15">
      <c r="A201" s="25" t="s">
        <v>1078</v>
      </c>
      <c r="B201" s="25" t="s">
        <v>530</v>
      </c>
      <c r="C201" s="25" t="s">
        <v>531</v>
      </c>
      <c r="D201" s="25" t="s">
        <v>532</v>
      </c>
      <c r="E201" s="26" t="s">
        <v>43</v>
      </c>
      <c r="F201" s="27" t="s">
        <v>43</v>
      </c>
      <c r="G201" s="28" t="s">
        <v>43</v>
      </c>
      <c r="H201" s="29"/>
      <c r="I201" s="29" t="s">
        <v>465</v>
      </c>
      <c r="J201" s="30">
        <v>1</v>
      </c>
      <c r="K201" s="31">
        <f>10560</f>
        <v>10560</v>
      </c>
      <c r="L201" s="32" t="s">
        <v>674</v>
      </c>
      <c r="M201" s="31">
        <f>11150</f>
        <v>11150</v>
      </c>
      <c r="N201" s="32" t="s">
        <v>778</v>
      </c>
      <c r="O201" s="31">
        <f>10560</f>
        <v>10560</v>
      </c>
      <c r="P201" s="32" t="s">
        <v>674</v>
      </c>
      <c r="Q201" s="31">
        <f>11025</f>
        <v>11025</v>
      </c>
      <c r="R201" s="32" t="s">
        <v>681</v>
      </c>
      <c r="S201" s="33">
        <f>10955</f>
        <v>10955</v>
      </c>
      <c r="T201" s="30">
        <f>3501</f>
        <v>3501</v>
      </c>
      <c r="U201" s="30" t="str">
        <f t="shared" si="4"/>
        <v>－</v>
      </c>
      <c r="V201" s="30">
        <f>38459780</f>
        <v>38459780</v>
      </c>
      <c r="W201" s="30" t="str">
        <f t="shared" si="5"/>
        <v>－</v>
      </c>
      <c r="X201" s="34">
        <f>13</f>
        <v>13</v>
      </c>
    </row>
    <row r="202" spans="1:24" x14ac:dyDescent="0.15">
      <c r="A202" s="25" t="s">
        <v>1078</v>
      </c>
      <c r="B202" s="25" t="s">
        <v>533</v>
      </c>
      <c r="C202" s="25" t="s">
        <v>534</v>
      </c>
      <c r="D202" s="25" t="s">
        <v>535</v>
      </c>
      <c r="E202" s="26" t="s">
        <v>43</v>
      </c>
      <c r="F202" s="27" t="s">
        <v>43</v>
      </c>
      <c r="G202" s="28" t="s">
        <v>43</v>
      </c>
      <c r="H202" s="29"/>
      <c r="I202" s="29" t="s">
        <v>465</v>
      </c>
      <c r="J202" s="30">
        <v>1</v>
      </c>
      <c r="K202" s="31">
        <f>12590</f>
        <v>12590</v>
      </c>
      <c r="L202" s="32" t="s">
        <v>675</v>
      </c>
      <c r="M202" s="31">
        <f>13470</f>
        <v>13470</v>
      </c>
      <c r="N202" s="32" t="s">
        <v>778</v>
      </c>
      <c r="O202" s="31">
        <f>12540</f>
        <v>12540</v>
      </c>
      <c r="P202" s="32" t="s">
        <v>675</v>
      </c>
      <c r="Q202" s="31">
        <f>13185</f>
        <v>13185</v>
      </c>
      <c r="R202" s="32" t="s">
        <v>681</v>
      </c>
      <c r="S202" s="33">
        <f>13084.44</f>
        <v>13084.44</v>
      </c>
      <c r="T202" s="30">
        <f>24920</f>
        <v>24920</v>
      </c>
      <c r="U202" s="30" t="str">
        <f t="shared" si="4"/>
        <v>－</v>
      </c>
      <c r="V202" s="30">
        <f>326890400</f>
        <v>326890400</v>
      </c>
      <c r="W202" s="30" t="str">
        <f t="shared" si="5"/>
        <v>－</v>
      </c>
      <c r="X202" s="34">
        <f>18</f>
        <v>18</v>
      </c>
    </row>
    <row r="203" spans="1:24" x14ac:dyDescent="0.15">
      <c r="A203" s="25" t="s">
        <v>1078</v>
      </c>
      <c r="B203" s="25" t="s">
        <v>536</v>
      </c>
      <c r="C203" s="25" t="s">
        <v>537</v>
      </c>
      <c r="D203" s="25" t="s">
        <v>538</v>
      </c>
      <c r="E203" s="26" t="s">
        <v>43</v>
      </c>
      <c r="F203" s="27" t="s">
        <v>43</v>
      </c>
      <c r="G203" s="28" t="s">
        <v>43</v>
      </c>
      <c r="H203" s="29"/>
      <c r="I203" s="29" t="s">
        <v>465</v>
      </c>
      <c r="J203" s="30">
        <v>1</v>
      </c>
      <c r="K203" s="31">
        <f>11520</f>
        <v>11520</v>
      </c>
      <c r="L203" s="32" t="s">
        <v>675</v>
      </c>
      <c r="M203" s="31">
        <f>12175</f>
        <v>12175</v>
      </c>
      <c r="N203" s="32" t="s">
        <v>875</v>
      </c>
      <c r="O203" s="31">
        <f>11520</f>
        <v>11520</v>
      </c>
      <c r="P203" s="32" t="s">
        <v>675</v>
      </c>
      <c r="Q203" s="31">
        <f>12050</f>
        <v>12050</v>
      </c>
      <c r="R203" s="32" t="s">
        <v>883</v>
      </c>
      <c r="S203" s="33">
        <f>11960.31</f>
        <v>11960.31</v>
      </c>
      <c r="T203" s="30">
        <f>7625</f>
        <v>7625</v>
      </c>
      <c r="U203" s="30" t="str">
        <f t="shared" si="4"/>
        <v>－</v>
      </c>
      <c r="V203" s="30">
        <f>91767315</f>
        <v>91767315</v>
      </c>
      <c r="W203" s="30" t="str">
        <f t="shared" si="5"/>
        <v>－</v>
      </c>
      <c r="X203" s="34">
        <f>16</f>
        <v>16</v>
      </c>
    </row>
    <row r="204" spans="1:24" x14ac:dyDescent="0.15">
      <c r="A204" s="25" t="s">
        <v>1078</v>
      </c>
      <c r="B204" s="25" t="s">
        <v>783</v>
      </c>
      <c r="C204" s="25" t="s">
        <v>784</v>
      </c>
      <c r="D204" s="25" t="s">
        <v>785</v>
      </c>
      <c r="E204" s="26" t="s">
        <v>43</v>
      </c>
      <c r="F204" s="27" t="s">
        <v>43</v>
      </c>
      <c r="G204" s="28" t="s">
        <v>43</v>
      </c>
      <c r="H204" s="29"/>
      <c r="I204" s="29" t="s">
        <v>465</v>
      </c>
      <c r="J204" s="30">
        <v>1</v>
      </c>
      <c r="K204" s="31">
        <f>12035</f>
        <v>12035</v>
      </c>
      <c r="L204" s="32" t="s">
        <v>675</v>
      </c>
      <c r="M204" s="31">
        <f>12530</f>
        <v>12530</v>
      </c>
      <c r="N204" s="32" t="s">
        <v>684</v>
      </c>
      <c r="O204" s="31">
        <f>12035</f>
        <v>12035</v>
      </c>
      <c r="P204" s="32" t="s">
        <v>675</v>
      </c>
      <c r="Q204" s="31">
        <f>12250</f>
        <v>12250</v>
      </c>
      <c r="R204" s="32" t="s">
        <v>681</v>
      </c>
      <c r="S204" s="33">
        <f>12258.75</f>
        <v>12258.75</v>
      </c>
      <c r="T204" s="30">
        <f>2364</f>
        <v>2364</v>
      </c>
      <c r="U204" s="30" t="str">
        <f t="shared" si="4"/>
        <v>－</v>
      </c>
      <c r="V204" s="30">
        <f>29355505</f>
        <v>29355505</v>
      </c>
      <c r="W204" s="30" t="str">
        <f t="shared" si="5"/>
        <v>－</v>
      </c>
      <c r="X204" s="34">
        <f>4</f>
        <v>4</v>
      </c>
    </row>
    <row r="205" spans="1:24" x14ac:dyDescent="0.15">
      <c r="A205" s="25" t="s">
        <v>1078</v>
      </c>
      <c r="B205" s="25" t="s">
        <v>991</v>
      </c>
      <c r="C205" s="25" t="s">
        <v>992</v>
      </c>
      <c r="D205" s="25" t="s">
        <v>993</v>
      </c>
      <c r="E205" s="26" t="s">
        <v>43</v>
      </c>
      <c r="F205" s="27" t="s">
        <v>43</v>
      </c>
      <c r="G205" s="28" t="s">
        <v>43</v>
      </c>
      <c r="H205" s="29"/>
      <c r="I205" s="29" t="s">
        <v>44</v>
      </c>
      <c r="J205" s="30">
        <v>1</v>
      </c>
      <c r="K205" s="31">
        <f>994</f>
        <v>994</v>
      </c>
      <c r="L205" s="32" t="s">
        <v>675</v>
      </c>
      <c r="M205" s="31">
        <f>1083</f>
        <v>1083</v>
      </c>
      <c r="N205" s="32" t="s">
        <v>681</v>
      </c>
      <c r="O205" s="31">
        <f>988</f>
        <v>988</v>
      </c>
      <c r="P205" s="32" t="s">
        <v>675</v>
      </c>
      <c r="Q205" s="31">
        <f>1083</f>
        <v>1083</v>
      </c>
      <c r="R205" s="32" t="s">
        <v>681</v>
      </c>
      <c r="S205" s="33">
        <f>1050.95</f>
        <v>1050.95</v>
      </c>
      <c r="T205" s="30">
        <f>11201233</f>
        <v>11201233</v>
      </c>
      <c r="U205" s="30">
        <f>56938</f>
        <v>56938</v>
      </c>
      <c r="V205" s="30">
        <f>11729203813</f>
        <v>11729203813</v>
      </c>
      <c r="W205" s="30">
        <f>58660583</f>
        <v>58660583</v>
      </c>
      <c r="X205" s="34">
        <f>19</f>
        <v>19</v>
      </c>
    </row>
    <row r="206" spans="1:24" x14ac:dyDescent="0.15">
      <c r="A206" s="25" t="s">
        <v>1078</v>
      </c>
      <c r="B206" s="25" t="s">
        <v>994</v>
      </c>
      <c r="C206" s="25" t="s">
        <v>995</v>
      </c>
      <c r="D206" s="25" t="s">
        <v>996</v>
      </c>
      <c r="E206" s="26" t="s">
        <v>43</v>
      </c>
      <c r="F206" s="27" t="s">
        <v>43</v>
      </c>
      <c r="G206" s="28" t="s">
        <v>43</v>
      </c>
      <c r="H206" s="29"/>
      <c r="I206" s="29" t="s">
        <v>44</v>
      </c>
      <c r="J206" s="30">
        <v>1</v>
      </c>
      <c r="K206" s="31">
        <f>987</f>
        <v>987</v>
      </c>
      <c r="L206" s="32" t="s">
        <v>675</v>
      </c>
      <c r="M206" s="31">
        <f>1080</f>
        <v>1080</v>
      </c>
      <c r="N206" s="32" t="s">
        <v>681</v>
      </c>
      <c r="O206" s="31">
        <f>977</f>
        <v>977</v>
      </c>
      <c r="P206" s="32" t="s">
        <v>675</v>
      </c>
      <c r="Q206" s="31">
        <f>1075</f>
        <v>1075</v>
      </c>
      <c r="R206" s="32" t="s">
        <v>681</v>
      </c>
      <c r="S206" s="33">
        <f>1046.37</f>
        <v>1046.3699999999999</v>
      </c>
      <c r="T206" s="30">
        <f>101262</f>
        <v>101262</v>
      </c>
      <c r="U206" s="30" t="str">
        <f>"－"</f>
        <v>－</v>
      </c>
      <c r="V206" s="30">
        <f>105957756</f>
        <v>105957756</v>
      </c>
      <c r="W206" s="30" t="str">
        <f>"－"</f>
        <v>－</v>
      </c>
      <c r="X206" s="34">
        <f>19</f>
        <v>19</v>
      </c>
    </row>
    <row r="207" spans="1:24" x14ac:dyDescent="0.15">
      <c r="A207" s="25" t="s">
        <v>1078</v>
      </c>
      <c r="B207" s="25" t="s">
        <v>997</v>
      </c>
      <c r="C207" s="25" t="s">
        <v>998</v>
      </c>
      <c r="D207" s="25" t="s">
        <v>999</v>
      </c>
      <c r="E207" s="26" t="s">
        <v>43</v>
      </c>
      <c r="F207" s="27" t="s">
        <v>43</v>
      </c>
      <c r="G207" s="28" t="s">
        <v>43</v>
      </c>
      <c r="H207" s="29"/>
      <c r="I207" s="29" t="s">
        <v>44</v>
      </c>
      <c r="J207" s="30">
        <v>1</v>
      </c>
      <c r="K207" s="31">
        <f>961</f>
        <v>961</v>
      </c>
      <c r="L207" s="32" t="s">
        <v>675</v>
      </c>
      <c r="M207" s="31">
        <f>1036</f>
        <v>1036</v>
      </c>
      <c r="N207" s="32" t="s">
        <v>778</v>
      </c>
      <c r="O207" s="31">
        <f>953</f>
        <v>953</v>
      </c>
      <c r="P207" s="32" t="s">
        <v>675</v>
      </c>
      <c r="Q207" s="31">
        <f>1023</f>
        <v>1023</v>
      </c>
      <c r="R207" s="32" t="s">
        <v>681</v>
      </c>
      <c r="S207" s="33">
        <f>1007.74</f>
        <v>1007.74</v>
      </c>
      <c r="T207" s="30">
        <f>87170</f>
        <v>87170</v>
      </c>
      <c r="U207" s="30" t="str">
        <f>"－"</f>
        <v>－</v>
      </c>
      <c r="V207" s="30">
        <f>87524599</f>
        <v>87524599</v>
      </c>
      <c r="W207" s="30" t="str">
        <f>"－"</f>
        <v>－</v>
      </c>
      <c r="X207" s="34">
        <f>19</f>
        <v>19</v>
      </c>
    </row>
    <row r="208" spans="1:24" x14ac:dyDescent="0.15">
      <c r="A208" s="25" t="s">
        <v>1078</v>
      </c>
      <c r="B208" s="25" t="s">
        <v>1000</v>
      </c>
      <c r="C208" s="25" t="s">
        <v>1001</v>
      </c>
      <c r="D208" s="25" t="s">
        <v>1002</v>
      </c>
      <c r="E208" s="26" t="s">
        <v>43</v>
      </c>
      <c r="F208" s="27" t="s">
        <v>43</v>
      </c>
      <c r="G208" s="28" t="s">
        <v>43</v>
      </c>
      <c r="H208" s="29"/>
      <c r="I208" s="29" t="s">
        <v>44</v>
      </c>
      <c r="J208" s="30">
        <v>1</v>
      </c>
      <c r="K208" s="31">
        <f>2007</f>
        <v>2007</v>
      </c>
      <c r="L208" s="32" t="s">
        <v>675</v>
      </c>
      <c r="M208" s="31">
        <f>2165</f>
        <v>2165</v>
      </c>
      <c r="N208" s="32" t="s">
        <v>778</v>
      </c>
      <c r="O208" s="31">
        <f>1989</f>
        <v>1989</v>
      </c>
      <c r="P208" s="32" t="s">
        <v>675</v>
      </c>
      <c r="Q208" s="31">
        <f>2128</f>
        <v>2128</v>
      </c>
      <c r="R208" s="32" t="s">
        <v>681</v>
      </c>
      <c r="S208" s="33">
        <f>2100.84</f>
        <v>2100.84</v>
      </c>
      <c r="T208" s="30">
        <f>870659</f>
        <v>870659</v>
      </c>
      <c r="U208" s="30">
        <f>399060</f>
        <v>399060</v>
      </c>
      <c r="V208" s="30">
        <f>1827192758</f>
        <v>1827192758</v>
      </c>
      <c r="W208" s="30">
        <f>840021510</f>
        <v>840021510</v>
      </c>
      <c r="X208" s="34">
        <f>19</f>
        <v>19</v>
      </c>
    </row>
    <row r="209" spans="1:24" x14ac:dyDescent="0.15">
      <c r="A209" s="25" t="s">
        <v>1078</v>
      </c>
      <c r="B209" s="25" t="s">
        <v>1003</v>
      </c>
      <c r="C209" s="25" t="s">
        <v>1004</v>
      </c>
      <c r="D209" s="25" t="s">
        <v>1005</v>
      </c>
      <c r="E209" s="26" t="s">
        <v>43</v>
      </c>
      <c r="F209" s="27" t="s">
        <v>43</v>
      </c>
      <c r="G209" s="28" t="s">
        <v>43</v>
      </c>
      <c r="H209" s="29"/>
      <c r="I209" s="29" t="s">
        <v>44</v>
      </c>
      <c r="J209" s="30">
        <v>1</v>
      </c>
      <c r="K209" s="31">
        <f>2009</f>
        <v>2009</v>
      </c>
      <c r="L209" s="32" t="s">
        <v>675</v>
      </c>
      <c r="M209" s="31">
        <f>2176</f>
        <v>2176</v>
      </c>
      <c r="N209" s="32" t="s">
        <v>681</v>
      </c>
      <c r="O209" s="31">
        <f>1994</f>
        <v>1994</v>
      </c>
      <c r="P209" s="32" t="s">
        <v>675</v>
      </c>
      <c r="Q209" s="31">
        <f>2176</f>
        <v>2176</v>
      </c>
      <c r="R209" s="32" t="s">
        <v>681</v>
      </c>
      <c r="S209" s="33">
        <f>2121.68</f>
        <v>2121.6799999999998</v>
      </c>
      <c r="T209" s="30">
        <f>2049930</f>
        <v>2049930</v>
      </c>
      <c r="U209" s="30">
        <f>390004</f>
        <v>390004</v>
      </c>
      <c r="V209" s="30">
        <f>4354705748</f>
        <v>4354705748</v>
      </c>
      <c r="W209" s="30">
        <f>846697692</f>
        <v>846697692</v>
      </c>
      <c r="X209" s="34">
        <f>19</f>
        <v>19</v>
      </c>
    </row>
    <row r="210" spans="1:24" x14ac:dyDescent="0.15">
      <c r="A210" s="25" t="s">
        <v>1078</v>
      </c>
      <c r="B210" s="25" t="s">
        <v>1006</v>
      </c>
      <c r="C210" s="25" t="s">
        <v>1007</v>
      </c>
      <c r="D210" s="25" t="s">
        <v>1008</v>
      </c>
      <c r="E210" s="26" t="s">
        <v>43</v>
      </c>
      <c r="F210" s="27" t="s">
        <v>43</v>
      </c>
      <c r="G210" s="28" t="s">
        <v>43</v>
      </c>
      <c r="H210" s="29"/>
      <c r="I210" s="29" t="s">
        <v>44</v>
      </c>
      <c r="J210" s="30">
        <v>10</v>
      </c>
      <c r="K210" s="31">
        <f>514.5</f>
        <v>514.5</v>
      </c>
      <c r="L210" s="32" t="s">
        <v>675</v>
      </c>
      <c r="M210" s="31">
        <f>555</f>
        <v>555</v>
      </c>
      <c r="N210" s="32" t="s">
        <v>681</v>
      </c>
      <c r="O210" s="31">
        <f>512.2</f>
        <v>512.20000000000005</v>
      </c>
      <c r="P210" s="32" t="s">
        <v>675</v>
      </c>
      <c r="Q210" s="31">
        <f>555</f>
        <v>555</v>
      </c>
      <c r="R210" s="32" t="s">
        <v>681</v>
      </c>
      <c r="S210" s="33">
        <f>542.67</f>
        <v>542.66999999999996</v>
      </c>
      <c r="T210" s="30">
        <f>5001470</f>
        <v>5001470</v>
      </c>
      <c r="U210" s="30">
        <f>558960</f>
        <v>558960</v>
      </c>
      <c r="V210" s="30">
        <f>2696890092</f>
        <v>2696890092</v>
      </c>
      <c r="W210" s="30">
        <f>299896910</f>
        <v>299896910</v>
      </c>
      <c r="X210" s="34">
        <f>19</f>
        <v>19</v>
      </c>
    </row>
    <row r="211" spans="1:24" x14ac:dyDescent="0.15">
      <c r="A211" s="25" t="s">
        <v>1078</v>
      </c>
      <c r="B211" s="25" t="s">
        <v>1009</v>
      </c>
      <c r="C211" s="25" t="s">
        <v>1010</v>
      </c>
      <c r="D211" s="25" t="s">
        <v>1011</v>
      </c>
      <c r="E211" s="26" t="s">
        <v>43</v>
      </c>
      <c r="F211" s="27" t="s">
        <v>43</v>
      </c>
      <c r="G211" s="28" t="s">
        <v>43</v>
      </c>
      <c r="H211" s="29"/>
      <c r="I211" s="29" t="s">
        <v>44</v>
      </c>
      <c r="J211" s="30">
        <v>10</v>
      </c>
      <c r="K211" s="31">
        <f>2140.5</f>
        <v>2140.5</v>
      </c>
      <c r="L211" s="32" t="s">
        <v>675</v>
      </c>
      <c r="M211" s="31">
        <f>2195</f>
        <v>2195</v>
      </c>
      <c r="N211" s="32" t="s">
        <v>777</v>
      </c>
      <c r="O211" s="31">
        <f>2094.5</f>
        <v>2094.5</v>
      </c>
      <c r="P211" s="32" t="s">
        <v>674</v>
      </c>
      <c r="Q211" s="31">
        <f>2184.5</f>
        <v>2184.5</v>
      </c>
      <c r="R211" s="32" t="s">
        <v>681</v>
      </c>
      <c r="S211" s="33">
        <f>2145.32</f>
        <v>2145.3200000000002</v>
      </c>
      <c r="T211" s="30">
        <f>945650</f>
        <v>945650</v>
      </c>
      <c r="U211" s="30">
        <f>943010</f>
        <v>943010</v>
      </c>
      <c r="V211" s="30">
        <f>2059004619</f>
        <v>2059004619</v>
      </c>
      <c r="W211" s="30">
        <f>2053334429</f>
        <v>2053334429</v>
      </c>
      <c r="X211" s="34">
        <f>11</f>
        <v>11</v>
      </c>
    </row>
    <row r="212" spans="1:24" x14ac:dyDescent="0.15">
      <c r="A212" s="25" t="s">
        <v>1078</v>
      </c>
      <c r="B212" s="25" t="s">
        <v>1012</v>
      </c>
      <c r="C212" s="25" t="s">
        <v>1013</v>
      </c>
      <c r="D212" s="25" t="s">
        <v>1014</v>
      </c>
      <c r="E212" s="26" t="s">
        <v>43</v>
      </c>
      <c r="F212" s="27" t="s">
        <v>43</v>
      </c>
      <c r="G212" s="28" t="s">
        <v>43</v>
      </c>
      <c r="H212" s="29"/>
      <c r="I212" s="29" t="s">
        <v>44</v>
      </c>
      <c r="J212" s="30">
        <v>10</v>
      </c>
      <c r="K212" s="31">
        <f>2215</f>
        <v>2215</v>
      </c>
      <c r="L212" s="32" t="s">
        <v>675</v>
      </c>
      <c r="M212" s="31">
        <f>2296.5</f>
        <v>2296.5</v>
      </c>
      <c r="N212" s="32" t="s">
        <v>777</v>
      </c>
      <c r="O212" s="31">
        <f>2131.5</f>
        <v>2131.5</v>
      </c>
      <c r="P212" s="32" t="s">
        <v>674</v>
      </c>
      <c r="Q212" s="31">
        <f>2261.5</f>
        <v>2261.5</v>
      </c>
      <c r="R212" s="32" t="s">
        <v>681</v>
      </c>
      <c r="S212" s="33">
        <f>2229.06</f>
        <v>2229.06</v>
      </c>
      <c r="T212" s="30">
        <f>230150</f>
        <v>230150</v>
      </c>
      <c r="U212" s="30">
        <f>228060</f>
        <v>228060</v>
      </c>
      <c r="V212" s="30">
        <f>504698564</f>
        <v>504698564</v>
      </c>
      <c r="W212" s="30">
        <f>499998744</f>
        <v>499998744</v>
      </c>
      <c r="X212" s="34">
        <f>16</f>
        <v>16</v>
      </c>
    </row>
    <row r="213" spans="1:24" x14ac:dyDescent="0.15">
      <c r="A213" s="25" t="s">
        <v>1078</v>
      </c>
      <c r="B213" s="25" t="s">
        <v>1015</v>
      </c>
      <c r="C213" s="25" t="s">
        <v>1016</v>
      </c>
      <c r="D213" s="25" t="s">
        <v>1017</v>
      </c>
      <c r="E213" s="26" t="s">
        <v>43</v>
      </c>
      <c r="F213" s="27" t="s">
        <v>43</v>
      </c>
      <c r="G213" s="28" t="s">
        <v>43</v>
      </c>
      <c r="H213" s="29"/>
      <c r="I213" s="29" t="s">
        <v>44</v>
      </c>
      <c r="J213" s="30">
        <v>10</v>
      </c>
      <c r="K213" s="31">
        <f>2153</f>
        <v>2153</v>
      </c>
      <c r="L213" s="32" t="s">
        <v>684</v>
      </c>
      <c r="M213" s="31">
        <f>2161</f>
        <v>2161</v>
      </c>
      <c r="N213" s="32" t="s">
        <v>676</v>
      </c>
      <c r="O213" s="31">
        <f>2153</f>
        <v>2153</v>
      </c>
      <c r="P213" s="32" t="s">
        <v>684</v>
      </c>
      <c r="Q213" s="31">
        <f>2161</f>
        <v>2161</v>
      </c>
      <c r="R213" s="32" t="s">
        <v>676</v>
      </c>
      <c r="S213" s="33">
        <f>2157</f>
        <v>2157</v>
      </c>
      <c r="T213" s="30">
        <f>935520</f>
        <v>935520</v>
      </c>
      <c r="U213" s="30">
        <f>935500</f>
        <v>935500</v>
      </c>
      <c r="V213" s="30">
        <f>2023762562</f>
        <v>2023762562</v>
      </c>
      <c r="W213" s="30">
        <f>2023719422</f>
        <v>2023719422</v>
      </c>
      <c r="X213" s="34">
        <f>2</f>
        <v>2</v>
      </c>
    </row>
    <row r="214" spans="1:24" x14ac:dyDescent="0.15">
      <c r="A214" s="25" t="s">
        <v>1078</v>
      </c>
      <c r="B214" s="25" t="s">
        <v>1018</v>
      </c>
      <c r="C214" s="25" t="s">
        <v>1019</v>
      </c>
      <c r="D214" s="25" t="s">
        <v>1020</v>
      </c>
      <c r="E214" s="26" t="s">
        <v>43</v>
      </c>
      <c r="F214" s="27" t="s">
        <v>43</v>
      </c>
      <c r="G214" s="28" t="s">
        <v>43</v>
      </c>
      <c r="H214" s="29"/>
      <c r="I214" s="29" t="s">
        <v>44</v>
      </c>
      <c r="J214" s="30">
        <v>10</v>
      </c>
      <c r="K214" s="31">
        <f>2131</f>
        <v>2131</v>
      </c>
      <c r="L214" s="32" t="s">
        <v>675</v>
      </c>
      <c r="M214" s="31">
        <f>2131</f>
        <v>2131</v>
      </c>
      <c r="N214" s="32" t="s">
        <v>675</v>
      </c>
      <c r="O214" s="31">
        <f>2093</f>
        <v>2093</v>
      </c>
      <c r="P214" s="32" t="s">
        <v>760</v>
      </c>
      <c r="Q214" s="31">
        <f>2101.5</f>
        <v>2101.5</v>
      </c>
      <c r="R214" s="32" t="s">
        <v>778</v>
      </c>
      <c r="S214" s="33">
        <f>2096.33</f>
        <v>2096.33</v>
      </c>
      <c r="T214" s="30">
        <f>157490</f>
        <v>157490</v>
      </c>
      <c r="U214" s="30" t="str">
        <f>"－"</f>
        <v>－</v>
      </c>
      <c r="V214" s="30">
        <f>330258280</f>
        <v>330258280</v>
      </c>
      <c r="W214" s="30" t="str">
        <f>"－"</f>
        <v>－</v>
      </c>
      <c r="X214" s="34">
        <f>3</f>
        <v>3</v>
      </c>
    </row>
    <row r="215" spans="1:24" x14ac:dyDescent="0.15">
      <c r="A215" s="25" t="s">
        <v>1078</v>
      </c>
      <c r="B215" s="25" t="s">
        <v>1021</v>
      </c>
      <c r="C215" s="25" t="s">
        <v>1022</v>
      </c>
      <c r="D215" s="25" t="s">
        <v>1023</v>
      </c>
      <c r="E215" s="26" t="s">
        <v>43</v>
      </c>
      <c r="F215" s="27" t="s">
        <v>43</v>
      </c>
      <c r="G215" s="28" t="s">
        <v>43</v>
      </c>
      <c r="H215" s="29"/>
      <c r="I215" s="29" t="s">
        <v>44</v>
      </c>
      <c r="J215" s="30">
        <v>10</v>
      </c>
      <c r="K215" s="31">
        <f>5134</f>
        <v>5134</v>
      </c>
      <c r="L215" s="32" t="s">
        <v>876</v>
      </c>
      <c r="M215" s="31">
        <f>5134</f>
        <v>5134</v>
      </c>
      <c r="N215" s="32" t="s">
        <v>876</v>
      </c>
      <c r="O215" s="31">
        <f>5034</f>
        <v>5034</v>
      </c>
      <c r="P215" s="32" t="s">
        <v>678</v>
      </c>
      <c r="Q215" s="31">
        <f>5099</f>
        <v>5099</v>
      </c>
      <c r="R215" s="32" t="s">
        <v>777</v>
      </c>
      <c r="S215" s="33">
        <f>5108.67</f>
        <v>5108.67</v>
      </c>
      <c r="T215" s="30">
        <f>641620</f>
        <v>641620</v>
      </c>
      <c r="U215" s="30">
        <f>620000</f>
        <v>620000</v>
      </c>
      <c r="V215" s="30">
        <f>3311131776</f>
        <v>3311131776</v>
      </c>
      <c r="W215" s="30">
        <f>3200890356</f>
        <v>3200890356</v>
      </c>
      <c r="X215" s="34">
        <f>3</f>
        <v>3</v>
      </c>
    </row>
    <row r="216" spans="1:24" x14ac:dyDescent="0.15">
      <c r="A216" s="25" t="s">
        <v>1078</v>
      </c>
      <c r="B216" s="25" t="s">
        <v>1024</v>
      </c>
      <c r="C216" s="25" t="s">
        <v>1025</v>
      </c>
      <c r="D216" s="25" t="s">
        <v>1026</v>
      </c>
      <c r="E216" s="26" t="s">
        <v>43</v>
      </c>
      <c r="F216" s="27" t="s">
        <v>43</v>
      </c>
      <c r="G216" s="28" t="s">
        <v>43</v>
      </c>
      <c r="H216" s="29"/>
      <c r="I216" s="29" t="s">
        <v>44</v>
      </c>
      <c r="J216" s="30">
        <v>10</v>
      </c>
      <c r="K216" s="31">
        <f>5347</f>
        <v>5347</v>
      </c>
      <c r="L216" s="32" t="s">
        <v>675</v>
      </c>
      <c r="M216" s="31">
        <f>5347</f>
        <v>5347</v>
      </c>
      <c r="N216" s="32" t="s">
        <v>675</v>
      </c>
      <c r="O216" s="31">
        <f>5145</f>
        <v>5145</v>
      </c>
      <c r="P216" s="32" t="s">
        <v>676</v>
      </c>
      <c r="Q216" s="31">
        <f>5145</f>
        <v>5145</v>
      </c>
      <c r="R216" s="32" t="s">
        <v>676</v>
      </c>
      <c r="S216" s="33">
        <f>5214.33</f>
        <v>5214.33</v>
      </c>
      <c r="T216" s="30">
        <f>140</f>
        <v>140</v>
      </c>
      <c r="U216" s="30" t="str">
        <f>"－"</f>
        <v>－</v>
      </c>
      <c r="V216" s="30">
        <f>723580</f>
        <v>723580</v>
      </c>
      <c r="W216" s="30" t="str">
        <f>"－"</f>
        <v>－</v>
      </c>
      <c r="X216" s="34">
        <f>3</f>
        <v>3</v>
      </c>
    </row>
    <row r="217" spans="1:24" x14ac:dyDescent="0.15">
      <c r="A217" s="25" t="s">
        <v>1078</v>
      </c>
      <c r="B217" s="25" t="s">
        <v>1027</v>
      </c>
      <c r="C217" s="25" t="s">
        <v>1028</v>
      </c>
      <c r="D217" s="25" t="s">
        <v>1029</v>
      </c>
      <c r="E217" s="26" t="s">
        <v>43</v>
      </c>
      <c r="F217" s="27" t="s">
        <v>43</v>
      </c>
      <c r="G217" s="28" t="s">
        <v>43</v>
      </c>
      <c r="H217" s="29"/>
      <c r="I217" s="29" t="s">
        <v>44</v>
      </c>
      <c r="J217" s="30">
        <v>10</v>
      </c>
      <c r="K217" s="31">
        <f>5372</f>
        <v>5372</v>
      </c>
      <c r="L217" s="32" t="s">
        <v>675</v>
      </c>
      <c r="M217" s="31">
        <f>5372</f>
        <v>5372</v>
      </c>
      <c r="N217" s="32" t="s">
        <v>675</v>
      </c>
      <c r="O217" s="31">
        <f>5102</f>
        <v>5102</v>
      </c>
      <c r="P217" s="32" t="s">
        <v>684</v>
      </c>
      <c r="Q217" s="31">
        <f>5173</f>
        <v>5173</v>
      </c>
      <c r="R217" s="32" t="s">
        <v>676</v>
      </c>
      <c r="S217" s="33">
        <f>5212.25</f>
        <v>5212.25</v>
      </c>
      <c r="T217" s="30">
        <f>460</f>
        <v>460</v>
      </c>
      <c r="U217" s="30" t="str">
        <f>"－"</f>
        <v>－</v>
      </c>
      <c r="V217" s="30">
        <f>2365890</f>
        <v>2365890</v>
      </c>
      <c r="W217" s="30" t="str">
        <f>"－"</f>
        <v>－</v>
      </c>
      <c r="X217" s="34">
        <f>4</f>
        <v>4</v>
      </c>
    </row>
    <row r="218" spans="1:24" x14ac:dyDescent="0.15">
      <c r="A218" s="25" t="s">
        <v>1078</v>
      </c>
      <c r="B218" s="25" t="s">
        <v>1053</v>
      </c>
      <c r="C218" s="25" t="s">
        <v>1052</v>
      </c>
      <c r="D218" s="25" t="s">
        <v>1051</v>
      </c>
      <c r="E218" s="26" t="s">
        <v>43</v>
      </c>
      <c r="F218" s="27" t="s">
        <v>43</v>
      </c>
      <c r="G218" s="28" t="s">
        <v>43</v>
      </c>
      <c r="H218" s="29"/>
      <c r="I218" s="29" t="s">
        <v>44</v>
      </c>
      <c r="J218" s="30">
        <v>10</v>
      </c>
      <c r="K218" s="31">
        <f>4780</f>
        <v>4780</v>
      </c>
      <c r="L218" s="32" t="s">
        <v>675</v>
      </c>
      <c r="M218" s="31">
        <f>5073</f>
        <v>5073</v>
      </c>
      <c r="N218" s="32" t="s">
        <v>680</v>
      </c>
      <c r="O218" s="31">
        <f>4780</f>
        <v>4780</v>
      </c>
      <c r="P218" s="32" t="s">
        <v>675</v>
      </c>
      <c r="Q218" s="31">
        <f>5007</f>
        <v>5007</v>
      </c>
      <c r="R218" s="32" t="s">
        <v>681</v>
      </c>
      <c r="S218" s="33">
        <f>4963.84</f>
        <v>4963.84</v>
      </c>
      <c r="T218" s="30">
        <f>2243700</f>
        <v>2243700</v>
      </c>
      <c r="U218" s="30">
        <f>2190020</f>
        <v>2190020</v>
      </c>
      <c r="V218" s="30">
        <f>11218116460</f>
        <v>11218116460</v>
      </c>
      <c r="W218" s="30">
        <f>10952121830</f>
        <v>10952121830</v>
      </c>
      <c r="X218" s="34">
        <f>19</f>
        <v>19</v>
      </c>
    </row>
    <row r="219" spans="1:24" x14ac:dyDescent="0.15">
      <c r="A219" s="25" t="s">
        <v>1078</v>
      </c>
      <c r="B219" s="25" t="s">
        <v>1050</v>
      </c>
      <c r="C219" s="25" t="s">
        <v>1049</v>
      </c>
      <c r="D219" s="25" t="s">
        <v>1048</v>
      </c>
      <c r="E219" s="26" t="s">
        <v>43</v>
      </c>
      <c r="F219" s="27" t="s">
        <v>43</v>
      </c>
      <c r="G219" s="28" t="s">
        <v>43</v>
      </c>
      <c r="H219" s="29"/>
      <c r="I219" s="29" t="s">
        <v>44</v>
      </c>
      <c r="J219" s="30">
        <v>1</v>
      </c>
      <c r="K219" s="31">
        <f>982</f>
        <v>982</v>
      </c>
      <c r="L219" s="32" t="s">
        <v>675</v>
      </c>
      <c r="M219" s="31">
        <f>997</f>
        <v>997</v>
      </c>
      <c r="N219" s="32" t="s">
        <v>681</v>
      </c>
      <c r="O219" s="31">
        <f>964</f>
        <v>964</v>
      </c>
      <c r="P219" s="32" t="s">
        <v>874</v>
      </c>
      <c r="Q219" s="31">
        <f>984</f>
        <v>984</v>
      </c>
      <c r="R219" s="32" t="s">
        <v>681</v>
      </c>
      <c r="S219" s="33">
        <f>979.21</f>
        <v>979.21</v>
      </c>
      <c r="T219" s="30">
        <f>66748</f>
        <v>66748</v>
      </c>
      <c r="U219" s="30" t="str">
        <f t="shared" ref="U219:U224" si="6">"－"</f>
        <v>－</v>
      </c>
      <c r="V219" s="30">
        <f>65302910</f>
        <v>65302910</v>
      </c>
      <c r="W219" s="30" t="str">
        <f t="shared" ref="W219:W224" si="7">"－"</f>
        <v>－</v>
      </c>
      <c r="X219" s="34">
        <f>19</f>
        <v>19</v>
      </c>
    </row>
    <row r="220" spans="1:24" x14ac:dyDescent="0.15">
      <c r="A220" s="25" t="s">
        <v>1078</v>
      </c>
      <c r="B220" s="25" t="s">
        <v>1047</v>
      </c>
      <c r="C220" s="25" t="s">
        <v>1046</v>
      </c>
      <c r="D220" s="25" t="s">
        <v>1045</v>
      </c>
      <c r="E220" s="26" t="s">
        <v>43</v>
      </c>
      <c r="F220" s="27" t="s">
        <v>43</v>
      </c>
      <c r="G220" s="28" t="s">
        <v>43</v>
      </c>
      <c r="H220" s="29"/>
      <c r="I220" s="29" t="s">
        <v>44</v>
      </c>
      <c r="J220" s="30">
        <v>1</v>
      </c>
      <c r="K220" s="31">
        <f>1105</f>
        <v>1105</v>
      </c>
      <c r="L220" s="32" t="s">
        <v>675</v>
      </c>
      <c r="M220" s="31">
        <f>1112</f>
        <v>1112</v>
      </c>
      <c r="N220" s="32" t="s">
        <v>681</v>
      </c>
      <c r="O220" s="31">
        <f>1084</f>
        <v>1084</v>
      </c>
      <c r="P220" s="32" t="s">
        <v>679</v>
      </c>
      <c r="Q220" s="31">
        <f>1111</f>
        <v>1111</v>
      </c>
      <c r="R220" s="32" t="s">
        <v>681</v>
      </c>
      <c r="S220" s="33">
        <f>1098.68</f>
        <v>1098.68</v>
      </c>
      <c r="T220" s="30">
        <f>108486</f>
        <v>108486</v>
      </c>
      <c r="U220" s="30" t="str">
        <f t="shared" si="6"/>
        <v>－</v>
      </c>
      <c r="V220" s="30">
        <f>119076404</f>
        <v>119076404</v>
      </c>
      <c r="W220" s="30" t="str">
        <f t="shared" si="7"/>
        <v>－</v>
      </c>
      <c r="X220" s="34">
        <f>19</f>
        <v>19</v>
      </c>
    </row>
    <row r="221" spans="1:24" x14ac:dyDescent="0.15">
      <c r="A221" s="25" t="s">
        <v>1078</v>
      </c>
      <c r="B221" s="25" t="s">
        <v>1044</v>
      </c>
      <c r="C221" s="25" t="s">
        <v>1043</v>
      </c>
      <c r="D221" s="25" t="s">
        <v>1042</v>
      </c>
      <c r="E221" s="26" t="s">
        <v>43</v>
      </c>
      <c r="F221" s="27" t="s">
        <v>43</v>
      </c>
      <c r="G221" s="28" t="s">
        <v>43</v>
      </c>
      <c r="H221" s="29"/>
      <c r="I221" s="29" t="s">
        <v>44</v>
      </c>
      <c r="J221" s="30">
        <v>1</v>
      </c>
      <c r="K221" s="31">
        <f>1004</f>
        <v>1004</v>
      </c>
      <c r="L221" s="32" t="s">
        <v>675</v>
      </c>
      <c r="M221" s="31">
        <f>1023</f>
        <v>1023</v>
      </c>
      <c r="N221" s="32" t="s">
        <v>760</v>
      </c>
      <c r="O221" s="31">
        <f>991</f>
        <v>991</v>
      </c>
      <c r="P221" s="32" t="s">
        <v>679</v>
      </c>
      <c r="Q221" s="31">
        <f>999</f>
        <v>999</v>
      </c>
      <c r="R221" s="32" t="s">
        <v>681</v>
      </c>
      <c r="S221" s="33">
        <f>1006.26</f>
        <v>1006.26</v>
      </c>
      <c r="T221" s="30">
        <f>131249</f>
        <v>131249</v>
      </c>
      <c r="U221" s="30" t="str">
        <f t="shared" si="6"/>
        <v>－</v>
      </c>
      <c r="V221" s="30">
        <f>132086690</f>
        <v>132086690</v>
      </c>
      <c r="W221" s="30" t="str">
        <f t="shared" si="7"/>
        <v>－</v>
      </c>
      <c r="X221" s="34">
        <f>19</f>
        <v>19</v>
      </c>
    </row>
    <row r="222" spans="1:24" x14ac:dyDescent="0.15">
      <c r="A222" s="25" t="s">
        <v>1078</v>
      </c>
      <c r="B222" s="25" t="s">
        <v>1041</v>
      </c>
      <c r="C222" s="25" t="s">
        <v>1040</v>
      </c>
      <c r="D222" s="25" t="s">
        <v>1039</v>
      </c>
      <c r="E222" s="26" t="s">
        <v>43</v>
      </c>
      <c r="F222" s="27" t="s">
        <v>43</v>
      </c>
      <c r="G222" s="28" t="s">
        <v>43</v>
      </c>
      <c r="H222" s="29"/>
      <c r="I222" s="29" t="s">
        <v>44</v>
      </c>
      <c r="J222" s="30">
        <v>1</v>
      </c>
      <c r="K222" s="31">
        <f>993</f>
        <v>993</v>
      </c>
      <c r="L222" s="32" t="s">
        <v>675</v>
      </c>
      <c r="M222" s="31">
        <f>1019</f>
        <v>1019</v>
      </c>
      <c r="N222" s="32" t="s">
        <v>778</v>
      </c>
      <c r="O222" s="31">
        <f>977</f>
        <v>977</v>
      </c>
      <c r="P222" s="32" t="s">
        <v>675</v>
      </c>
      <c r="Q222" s="31">
        <f>1003</f>
        <v>1003</v>
      </c>
      <c r="R222" s="32" t="s">
        <v>681</v>
      </c>
      <c r="S222" s="33">
        <f>999</f>
        <v>999</v>
      </c>
      <c r="T222" s="30">
        <f>99951</f>
        <v>99951</v>
      </c>
      <c r="U222" s="30" t="str">
        <f t="shared" si="6"/>
        <v>－</v>
      </c>
      <c r="V222" s="30">
        <f>100855792</f>
        <v>100855792</v>
      </c>
      <c r="W222" s="30" t="str">
        <f t="shared" si="7"/>
        <v>－</v>
      </c>
      <c r="X222" s="34">
        <f>19</f>
        <v>19</v>
      </c>
    </row>
    <row r="223" spans="1:24" x14ac:dyDescent="0.15">
      <c r="A223" s="25" t="s">
        <v>1078</v>
      </c>
      <c r="B223" s="25" t="s">
        <v>1038</v>
      </c>
      <c r="C223" s="25" t="s">
        <v>1037</v>
      </c>
      <c r="D223" s="25" t="s">
        <v>1036</v>
      </c>
      <c r="E223" s="26" t="s">
        <v>43</v>
      </c>
      <c r="F223" s="27" t="s">
        <v>43</v>
      </c>
      <c r="G223" s="28" t="s">
        <v>43</v>
      </c>
      <c r="H223" s="29"/>
      <c r="I223" s="29" t="s">
        <v>44</v>
      </c>
      <c r="J223" s="30">
        <v>1</v>
      </c>
      <c r="K223" s="31">
        <f>1018</f>
        <v>1018</v>
      </c>
      <c r="L223" s="32" t="s">
        <v>675</v>
      </c>
      <c r="M223" s="31">
        <f>1045</f>
        <v>1045</v>
      </c>
      <c r="N223" s="32" t="s">
        <v>778</v>
      </c>
      <c r="O223" s="31">
        <f>1008</f>
        <v>1008</v>
      </c>
      <c r="P223" s="32" t="s">
        <v>675</v>
      </c>
      <c r="Q223" s="31">
        <f>1030</f>
        <v>1030</v>
      </c>
      <c r="R223" s="32" t="s">
        <v>681</v>
      </c>
      <c r="S223" s="33">
        <f>1025.47</f>
        <v>1025.47</v>
      </c>
      <c r="T223" s="30">
        <f>94829</f>
        <v>94829</v>
      </c>
      <c r="U223" s="30" t="str">
        <f t="shared" si="6"/>
        <v>－</v>
      </c>
      <c r="V223" s="30">
        <f>97618650</f>
        <v>97618650</v>
      </c>
      <c r="W223" s="30" t="str">
        <f t="shared" si="7"/>
        <v>－</v>
      </c>
      <c r="X223" s="34">
        <f>19</f>
        <v>19</v>
      </c>
    </row>
    <row r="224" spans="1:24" x14ac:dyDescent="0.15">
      <c r="A224" s="25" t="s">
        <v>1078</v>
      </c>
      <c r="B224" s="25" t="s">
        <v>868</v>
      </c>
      <c r="C224" s="25" t="s">
        <v>869</v>
      </c>
      <c r="D224" s="25" t="s">
        <v>870</v>
      </c>
      <c r="E224" s="26" t="s">
        <v>43</v>
      </c>
      <c r="F224" s="27" t="s">
        <v>43</v>
      </c>
      <c r="G224" s="28" t="s">
        <v>43</v>
      </c>
      <c r="H224" s="29"/>
      <c r="I224" s="29" t="s">
        <v>44</v>
      </c>
      <c r="J224" s="30">
        <v>10</v>
      </c>
      <c r="K224" s="31">
        <f>2268</f>
        <v>2268</v>
      </c>
      <c r="L224" s="32" t="s">
        <v>675</v>
      </c>
      <c r="M224" s="31">
        <f>2467</f>
        <v>2467</v>
      </c>
      <c r="N224" s="32" t="s">
        <v>681</v>
      </c>
      <c r="O224" s="31">
        <f>2268</f>
        <v>2268</v>
      </c>
      <c r="P224" s="32" t="s">
        <v>675</v>
      </c>
      <c r="Q224" s="31">
        <f>2467</f>
        <v>2467</v>
      </c>
      <c r="R224" s="32" t="s">
        <v>681</v>
      </c>
      <c r="S224" s="33">
        <f>2402.03</f>
        <v>2402.0300000000002</v>
      </c>
      <c r="T224" s="30">
        <f>18950</f>
        <v>18950</v>
      </c>
      <c r="U224" s="30" t="str">
        <f t="shared" si="6"/>
        <v>－</v>
      </c>
      <c r="V224" s="30">
        <f>45497115</f>
        <v>45497115</v>
      </c>
      <c r="W224" s="30" t="str">
        <f t="shared" si="7"/>
        <v>－</v>
      </c>
      <c r="X224" s="34">
        <f>19</f>
        <v>19</v>
      </c>
    </row>
    <row r="225" spans="1:24" x14ac:dyDescent="0.15">
      <c r="A225" s="25" t="s">
        <v>1078</v>
      </c>
      <c r="B225" s="25" t="s">
        <v>871</v>
      </c>
      <c r="C225" s="25" t="s">
        <v>872</v>
      </c>
      <c r="D225" s="25" t="s">
        <v>873</v>
      </c>
      <c r="E225" s="26" t="s">
        <v>43</v>
      </c>
      <c r="F225" s="27" t="s">
        <v>43</v>
      </c>
      <c r="G225" s="28" t="s">
        <v>43</v>
      </c>
      <c r="H225" s="29"/>
      <c r="I225" s="29" t="s">
        <v>44</v>
      </c>
      <c r="J225" s="30">
        <v>1</v>
      </c>
      <c r="K225" s="31">
        <f>1103</f>
        <v>1103</v>
      </c>
      <c r="L225" s="32" t="s">
        <v>675</v>
      </c>
      <c r="M225" s="31">
        <f>1155</f>
        <v>1155</v>
      </c>
      <c r="N225" s="32" t="s">
        <v>681</v>
      </c>
      <c r="O225" s="31">
        <f>1100</f>
        <v>1100</v>
      </c>
      <c r="P225" s="32" t="s">
        <v>675</v>
      </c>
      <c r="Q225" s="31">
        <f>1153</f>
        <v>1153</v>
      </c>
      <c r="R225" s="32" t="s">
        <v>681</v>
      </c>
      <c r="S225" s="33">
        <f>1129.53</f>
        <v>1129.53</v>
      </c>
      <c r="T225" s="30">
        <f>752896</f>
        <v>752896</v>
      </c>
      <c r="U225" s="30">
        <f>250</f>
        <v>250</v>
      </c>
      <c r="V225" s="30">
        <f>848242712</f>
        <v>848242712</v>
      </c>
      <c r="W225" s="30">
        <f>260192</f>
        <v>260192</v>
      </c>
      <c r="X225" s="34">
        <f>19</f>
        <v>19</v>
      </c>
    </row>
    <row r="226" spans="1:24" x14ac:dyDescent="0.15">
      <c r="A226" s="25" t="s">
        <v>1078</v>
      </c>
      <c r="B226" s="25" t="s">
        <v>877</v>
      </c>
      <c r="C226" s="25" t="s">
        <v>878</v>
      </c>
      <c r="D226" s="25" t="s">
        <v>879</v>
      </c>
      <c r="E226" s="26" t="s">
        <v>43</v>
      </c>
      <c r="F226" s="27" t="s">
        <v>43</v>
      </c>
      <c r="G226" s="28" t="s">
        <v>43</v>
      </c>
      <c r="H226" s="29"/>
      <c r="I226" s="29" t="s">
        <v>44</v>
      </c>
      <c r="J226" s="30">
        <v>1</v>
      </c>
      <c r="K226" s="31">
        <f>61860</f>
        <v>61860</v>
      </c>
      <c r="L226" s="32" t="s">
        <v>675</v>
      </c>
      <c r="M226" s="31">
        <f>67360</f>
        <v>67360</v>
      </c>
      <c r="N226" s="32" t="s">
        <v>777</v>
      </c>
      <c r="O226" s="31">
        <f>61420</f>
        <v>61420</v>
      </c>
      <c r="P226" s="32" t="s">
        <v>674</v>
      </c>
      <c r="Q226" s="31">
        <f>66640</f>
        <v>66640</v>
      </c>
      <c r="R226" s="32" t="s">
        <v>681</v>
      </c>
      <c r="S226" s="33">
        <f>64312.63</f>
        <v>64312.63</v>
      </c>
      <c r="T226" s="30">
        <f>36353</f>
        <v>36353</v>
      </c>
      <c r="U226" s="30" t="str">
        <f>"－"</f>
        <v>－</v>
      </c>
      <c r="V226" s="30">
        <f>2353860980</f>
        <v>2353860980</v>
      </c>
      <c r="W226" s="30" t="str">
        <f>"－"</f>
        <v>－</v>
      </c>
      <c r="X226" s="34">
        <f>19</f>
        <v>19</v>
      </c>
    </row>
    <row r="227" spans="1:24" x14ac:dyDescent="0.15">
      <c r="A227" s="25" t="s">
        <v>1078</v>
      </c>
      <c r="B227" s="25" t="s">
        <v>880</v>
      </c>
      <c r="C227" s="25" t="s">
        <v>881</v>
      </c>
      <c r="D227" s="25" t="s">
        <v>882</v>
      </c>
      <c r="E227" s="26" t="s">
        <v>43</v>
      </c>
      <c r="F227" s="27" t="s">
        <v>43</v>
      </c>
      <c r="G227" s="28" t="s">
        <v>43</v>
      </c>
      <c r="H227" s="29"/>
      <c r="I227" s="29" t="s">
        <v>44</v>
      </c>
      <c r="J227" s="30">
        <v>1</v>
      </c>
      <c r="K227" s="31">
        <f>8385</f>
        <v>8385</v>
      </c>
      <c r="L227" s="32" t="s">
        <v>675</v>
      </c>
      <c r="M227" s="31">
        <f>8462</f>
        <v>8462</v>
      </c>
      <c r="N227" s="32" t="s">
        <v>675</v>
      </c>
      <c r="O227" s="31">
        <f>8020</f>
        <v>8020</v>
      </c>
      <c r="P227" s="32" t="s">
        <v>777</v>
      </c>
      <c r="Q227" s="31">
        <f>8060</f>
        <v>8060</v>
      </c>
      <c r="R227" s="32" t="s">
        <v>681</v>
      </c>
      <c r="S227" s="33">
        <f>8226.89</f>
        <v>8226.89</v>
      </c>
      <c r="T227" s="30">
        <f>732847</f>
        <v>732847</v>
      </c>
      <c r="U227" s="30">
        <f>684310</f>
        <v>684310</v>
      </c>
      <c r="V227" s="30">
        <f>6034675814</f>
        <v>6034675814</v>
      </c>
      <c r="W227" s="30">
        <f>5634555510</f>
        <v>5634555510</v>
      </c>
      <c r="X227" s="34">
        <f>19</f>
        <v>19</v>
      </c>
    </row>
    <row r="228" spans="1:24" x14ac:dyDescent="0.15">
      <c r="A228" s="25" t="s">
        <v>1078</v>
      </c>
      <c r="B228" s="25" t="s">
        <v>884</v>
      </c>
      <c r="C228" s="25" t="s">
        <v>885</v>
      </c>
      <c r="D228" s="25" t="s">
        <v>886</v>
      </c>
      <c r="E228" s="26" t="s">
        <v>43</v>
      </c>
      <c r="F228" s="27" t="s">
        <v>43</v>
      </c>
      <c r="G228" s="28" t="s">
        <v>43</v>
      </c>
      <c r="H228" s="29"/>
      <c r="I228" s="29" t="s">
        <v>44</v>
      </c>
      <c r="J228" s="30">
        <v>10</v>
      </c>
      <c r="K228" s="31">
        <f>13270</f>
        <v>13270</v>
      </c>
      <c r="L228" s="32" t="s">
        <v>675</v>
      </c>
      <c r="M228" s="31">
        <f>14505</f>
        <v>14505</v>
      </c>
      <c r="N228" s="32" t="s">
        <v>777</v>
      </c>
      <c r="O228" s="31">
        <f>13185</f>
        <v>13185</v>
      </c>
      <c r="P228" s="32" t="s">
        <v>674</v>
      </c>
      <c r="Q228" s="31">
        <f>14315</f>
        <v>14315</v>
      </c>
      <c r="R228" s="32" t="s">
        <v>681</v>
      </c>
      <c r="S228" s="33">
        <f>13798.68</f>
        <v>13798.68</v>
      </c>
      <c r="T228" s="30">
        <f>40210</f>
        <v>40210</v>
      </c>
      <c r="U228" s="30">
        <f>190</f>
        <v>190</v>
      </c>
      <c r="V228" s="30">
        <f>553908600</f>
        <v>553908600</v>
      </c>
      <c r="W228" s="30">
        <f>2526950</f>
        <v>2526950</v>
      </c>
      <c r="X228" s="34">
        <f>19</f>
        <v>19</v>
      </c>
    </row>
    <row r="229" spans="1:24" x14ac:dyDescent="0.15">
      <c r="A229" s="25" t="s">
        <v>1078</v>
      </c>
      <c r="B229" s="25" t="s">
        <v>887</v>
      </c>
      <c r="C229" s="25" t="s">
        <v>888</v>
      </c>
      <c r="D229" s="25" t="s">
        <v>889</v>
      </c>
      <c r="E229" s="26" t="s">
        <v>43</v>
      </c>
      <c r="F229" s="27" t="s">
        <v>43</v>
      </c>
      <c r="G229" s="28" t="s">
        <v>43</v>
      </c>
      <c r="H229" s="29"/>
      <c r="I229" s="29" t="s">
        <v>44</v>
      </c>
      <c r="J229" s="30">
        <v>10</v>
      </c>
      <c r="K229" s="31">
        <f>8520</f>
        <v>8520</v>
      </c>
      <c r="L229" s="32" t="s">
        <v>675</v>
      </c>
      <c r="M229" s="31">
        <f>8520</f>
        <v>8520</v>
      </c>
      <c r="N229" s="32" t="s">
        <v>675</v>
      </c>
      <c r="O229" s="31">
        <f>8071</f>
        <v>8071</v>
      </c>
      <c r="P229" s="32" t="s">
        <v>777</v>
      </c>
      <c r="Q229" s="31">
        <f>8112</f>
        <v>8112</v>
      </c>
      <c r="R229" s="32" t="s">
        <v>681</v>
      </c>
      <c r="S229" s="33">
        <f>8268.58</f>
        <v>8268.58</v>
      </c>
      <c r="T229" s="30">
        <f>366460</f>
        <v>366460</v>
      </c>
      <c r="U229" s="30">
        <f>355000</f>
        <v>355000</v>
      </c>
      <c r="V229" s="30">
        <f>3079978656</f>
        <v>3079978656</v>
      </c>
      <c r="W229" s="30">
        <f>2983866626</f>
        <v>2983866626</v>
      </c>
      <c r="X229" s="34">
        <f>19</f>
        <v>19</v>
      </c>
    </row>
    <row r="230" spans="1:24" x14ac:dyDescent="0.15">
      <c r="A230" s="25" t="s">
        <v>1078</v>
      </c>
      <c r="B230" s="25" t="s">
        <v>890</v>
      </c>
      <c r="C230" s="25" t="s">
        <v>891</v>
      </c>
      <c r="D230" s="25" t="s">
        <v>892</v>
      </c>
      <c r="E230" s="26" t="s">
        <v>43</v>
      </c>
      <c r="F230" s="27" t="s">
        <v>43</v>
      </c>
      <c r="G230" s="28" t="s">
        <v>43</v>
      </c>
      <c r="H230" s="29"/>
      <c r="I230" s="29" t="s">
        <v>44</v>
      </c>
      <c r="J230" s="30">
        <v>10</v>
      </c>
      <c r="K230" s="31">
        <f>597.3</f>
        <v>597.29999999999995</v>
      </c>
      <c r="L230" s="32" t="s">
        <v>675</v>
      </c>
      <c r="M230" s="31">
        <f>634.5</f>
        <v>634.5</v>
      </c>
      <c r="N230" s="32" t="s">
        <v>681</v>
      </c>
      <c r="O230" s="31">
        <f>596.2</f>
        <v>596.20000000000005</v>
      </c>
      <c r="P230" s="32" t="s">
        <v>675</v>
      </c>
      <c r="Q230" s="31">
        <f>633.8</f>
        <v>633.79999999999995</v>
      </c>
      <c r="R230" s="32" t="s">
        <v>681</v>
      </c>
      <c r="S230" s="33">
        <f>616.66</f>
        <v>616.66</v>
      </c>
      <c r="T230" s="30">
        <f>1376720</f>
        <v>1376720</v>
      </c>
      <c r="U230" s="30" t="str">
        <f>"－"</f>
        <v>－</v>
      </c>
      <c r="V230" s="30">
        <f>866717234</f>
        <v>866717234</v>
      </c>
      <c r="W230" s="30" t="str">
        <f>"－"</f>
        <v>－</v>
      </c>
      <c r="X230" s="34">
        <f>19</f>
        <v>19</v>
      </c>
    </row>
    <row r="231" spans="1:24" x14ac:dyDescent="0.15">
      <c r="A231" s="25" t="s">
        <v>1078</v>
      </c>
      <c r="B231" s="25" t="s">
        <v>893</v>
      </c>
      <c r="C231" s="25" t="s">
        <v>894</v>
      </c>
      <c r="D231" s="25" t="s">
        <v>895</v>
      </c>
      <c r="E231" s="26" t="s">
        <v>43</v>
      </c>
      <c r="F231" s="27" t="s">
        <v>43</v>
      </c>
      <c r="G231" s="28" t="s">
        <v>43</v>
      </c>
      <c r="H231" s="29"/>
      <c r="I231" s="29" t="s">
        <v>44</v>
      </c>
      <c r="J231" s="30">
        <v>10</v>
      </c>
      <c r="K231" s="31">
        <f>545.7</f>
        <v>545.70000000000005</v>
      </c>
      <c r="L231" s="32" t="s">
        <v>675</v>
      </c>
      <c r="M231" s="31">
        <f>554.8</f>
        <v>554.79999999999995</v>
      </c>
      <c r="N231" s="32" t="s">
        <v>681</v>
      </c>
      <c r="O231" s="31">
        <f>537.1</f>
        <v>537.1</v>
      </c>
      <c r="P231" s="32" t="s">
        <v>678</v>
      </c>
      <c r="Q231" s="31">
        <f>554.3</f>
        <v>554.29999999999995</v>
      </c>
      <c r="R231" s="32" t="s">
        <v>681</v>
      </c>
      <c r="S231" s="33">
        <f>544.56</f>
        <v>544.55999999999995</v>
      </c>
      <c r="T231" s="30">
        <f>811130</f>
        <v>811130</v>
      </c>
      <c r="U231" s="30">
        <f>731000</f>
        <v>731000</v>
      </c>
      <c r="V231" s="30">
        <f>443674410</f>
        <v>443674410</v>
      </c>
      <c r="W231" s="30">
        <f>399988872</f>
        <v>399988872</v>
      </c>
      <c r="X231" s="34">
        <f>19</f>
        <v>19</v>
      </c>
    </row>
    <row r="232" spans="1:24" x14ac:dyDescent="0.15">
      <c r="A232" s="25" t="s">
        <v>1078</v>
      </c>
      <c r="B232" s="25" t="s">
        <v>934</v>
      </c>
      <c r="C232" s="25" t="s">
        <v>935</v>
      </c>
      <c r="D232" s="25" t="s">
        <v>936</v>
      </c>
      <c r="E232" s="26" t="s">
        <v>43</v>
      </c>
      <c r="F232" s="27" t="s">
        <v>43</v>
      </c>
      <c r="G232" s="28" t="s">
        <v>43</v>
      </c>
      <c r="H232" s="29"/>
      <c r="I232" s="29" t="s">
        <v>44</v>
      </c>
      <c r="J232" s="30">
        <v>1</v>
      </c>
      <c r="K232" s="31">
        <f>1354</f>
        <v>1354</v>
      </c>
      <c r="L232" s="32" t="s">
        <v>675</v>
      </c>
      <c r="M232" s="31">
        <f>1596</f>
        <v>1596</v>
      </c>
      <c r="N232" s="32" t="s">
        <v>679</v>
      </c>
      <c r="O232" s="31">
        <f>1348</f>
        <v>1348</v>
      </c>
      <c r="P232" s="32" t="s">
        <v>675</v>
      </c>
      <c r="Q232" s="31">
        <f>1513</f>
        <v>1513</v>
      </c>
      <c r="R232" s="32" t="s">
        <v>681</v>
      </c>
      <c r="S232" s="33">
        <f>1473.05</f>
        <v>1473.05</v>
      </c>
      <c r="T232" s="30">
        <f>6783849</f>
        <v>6783849</v>
      </c>
      <c r="U232" s="30">
        <f>2335128</f>
        <v>2335128</v>
      </c>
      <c r="V232" s="30">
        <f>10139599065</f>
        <v>10139599065</v>
      </c>
      <c r="W232" s="30">
        <f>3516107054</f>
        <v>3516107054</v>
      </c>
      <c r="X232" s="34">
        <f>19</f>
        <v>19</v>
      </c>
    </row>
    <row r="233" spans="1:24" x14ac:dyDescent="0.15">
      <c r="A233" s="25" t="s">
        <v>1078</v>
      </c>
      <c r="B233" s="25" t="s">
        <v>937</v>
      </c>
      <c r="C233" s="25" t="s">
        <v>938</v>
      </c>
      <c r="D233" s="25" t="s">
        <v>939</v>
      </c>
      <c r="E233" s="26" t="s">
        <v>43</v>
      </c>
      <c r="F233" s="27" t="s">
        <v>43</v>
      </c>
      <c r="G233" s="28" t="s">
        <v>43</v>
      </c>
      <c r="H233" s="29"/>
      <c r="I233" s="29" t="s">
        <v>44</v>
      </c>
      <c r="J233" s="30">
        <v>1</v>
      </c>
      <c r="K233" s="31">
        <f>1546</f>
        <v>1546</v>
      </c>
      <c r="L233" s="32" t="s">
        <v>675</v>
      </c>
      <c r="M233" s="31">
        <f>1730</f>
        <v>1730</v>
      </c>
      <c r="N233" s="32" t="s">
        <v>679</v>
      </c>
      <c r="O233" s="31">
        <f>1521</f>
        <v>1521</v>
      </c>
      <c r="P233" s="32" t="s">
        <v>675</v>
      </c>
      <c r="Q233" s="31">
        <f>1679</f>
        <v>1679</v>
      </c>
      <c r="R233" s="32" t="s">
        <v>681</v>
      </c>
      <c r="S233" s="33">
        <f>1648.11</f>
        <v>1648.11</v>
      </c>
      <c r="T233" s="30">
        <f>5021973</f>
        <v>5021973</v>
      </c>
      <c r="U233" s="30">
        <f>291094</f>
        <v>291094</v>
      </c>
      <c r="V233" s="30">
        <f>8351531680</f>
        <v>8351531680</v>
      </c>
      <c r="W233" s="30">
        <f>500760378</f>
        <v>500760378</v>
      </c>
      <c r="X233" s="34">
        <f>19</f>
        <v>19</v>
      </c>
    </row>
    <row r="234" spans="1:24" x14ac:dyDescent="0.15">
      <c r="A234" s="25" t="s">
        <v>1078</v>
      </c>
      <c r="B234" s="25" t="s">
        <v>940</v>
      </c>
      <c r="C234" s="25" t="s">
        <v>941</v>
      </c>
      <c r="D234" s="25" t="s">
        <v>942</v>
      </c>
      <c r="E234" s="26" t="s">
        <v>43</v>
      </c>
      <c r="F234" s="27" t="s">
        <v>43</v>
      </c>
      <c r="G234" s="28" t="s">
        <v>43</v>
      </c>
      <c r="H234" s="29"/>
      <c r="I234" s="29" t="s">
        <v>44</v>
      </c>
      <c r="J234" s="30">
        <v>10</v>
      </c>
      <c r="K234" s="31">
        <f>819</f>
        <v>819</v>
      </c>
      <c r="L234" s="32" t="s">
        <v>675</v>
      </c>
      <c r="M234" s="31">
        <f>819.4</f>
        <v>819.4</v>
      </c>
      <c r="N234" s="32" t="s">
        <v>676</v>
      </c>
      <c r="O234" s="31">
        <f>789.4</f>
        <v>789.4</v>
      </c>
      <c r="P234" s="32" t="s">
        <v>679</v>
      </c>
      <c r="Q234" s="31">
        <f>794.7</f>
        <v>794.7</v>
      </c>
      <c r="R234" s="32" t="s">
        <v>883</v>
      </c>
      <c r="S234" s="33">
        <f>797.32</f>
        <v>797.32</v>
      </c>
      <c r="T234" s="30">
        <f>146380</f>
        <v>146380</v>
      </c>
      <c r="U234" s="30" t="str">
        <f>"－"</f>
        <v>－</v>
      </c>
      <c r="V234" s="30">
        <f>117108297</f>
        <v>117108297</v>
      </c>
      <c r="W234" s="30" t="str">
        <f>"－"</f>
        <v>－</v>
      </c>
      <c r="X234" s="34">
        <f>15</f>
        <v>15</v>
      </c>
    </row>
    <row r="235" spans="1:24" x14ac:dyDescent="0.15">
      <c r="A235" s="25" t="s">
        <v>1078</v>
      </c>
      <c r="B235" s="25" t="s">
        <v>943</v>
      </c>
      <c r="C235" s="25" t="s">
        <v>944</v>
      </c>
      <c r="D235" s="25" t="s">
        <v>945</v>
      </c>
      <c r="E235" s="26" t="s">
        <v>43</v>
      </c>
      <c r="F235" s="27" t="s">
        <v>43</v>
      </c>
      <c r="G235" s="28" t="s">
        <v>43</v>
      </c>
      <c r="H235" s="29"/>
      <c r="I235" s="29" t="s">
        <v>44</v>
      </c>
      <c r="J235" s="30">
        <v>10</v>
      </c>
      <c r="K235" s="31">
        <f>824</f>
        <v>824</v>
      </c>
      <c r="L235" s="32" t="s">
        <v>675</v>
      </c>
      <c r="M235" s="31">
        <f>846.9</f>
        <v>846.9</v>
      </c>
      <c r="N235" s="32" t="s">
        <v>676</v>
      </c>
      <c r="O235" s="31">
        <f>791.8</f>
        <v>791.8</v>
      </c>
      <c r="P235" s="32" t="s">
        <v>679</v>
      </c>
      <c r="Q235" s="31">
        <f>803</f>
        <v>803</v>
      </c>
      <c r="R235" s="32" t="s">
        <v>681</v>
      </c>
      <c r="S235" s="33">
        <f>801.81</f>
        <v>801.81</v>
      </c>
      <c r="T235" s="30">
        <f>2610</f>
        <v>2610</v>
      </c>
      <c r="U235" s="30" t="str">
        <f>"－"</f>
        <v>－</v>
      </c>
      <c r="V235" s="30">
        <f>2097294</f>
        <v>2097294</v>
      </c>
      <c r="W235" s="30" t="str">
        <f>"－"</f>
        <v>－</v>
      </c>
      <c r="X235" s="34">
        <f>10</f>
        <v>10</v>
      </c>
    </row>
    <row r="236" spans="1:24" x14ac:dyDescent="0.15">
      <c r="A236" s="25" t="s">
        <v>1078</v>
      </c>
      <c r="B236" s="25" t="s">
        <v>952</v>
      </c>
      <c r="C236" s="25" t="s">
        <v>953</v>
      </c>
      <c r="D236" s="25" t="s">
        <v>954</v>
      </c>
      <c r="E236" s="26" t="s">
        <v>43</v>
      </c>
      <c r="F236" s="27" t="s">
        <v>43</v>
      </c>
      <c r="G236" s="28" t="s">
        <v>43</v>
      </c>
      <c r="H236" s="29"/>
      <c r="I236" s="29" t="s">
        <v>44</v>
      </c>
      <c r="J236" s="30">
        <v>1</v>
      </c>
      <c r="K236" s="31">
        <f>12635</f>
        <v>12635</v>
      </c>
      <c r="L236" s="32" t="s">
        <v>675</v>
      </c>
      <c r="M236" s="31">
        <f>13635</f>
        <v>13635</v>
      </c>
      <c r="N236" s="32" t="s">
        <v>777</v>
      </c>
      <c r="O236" s="31">
        <f>12615</f>
        <v>12615</v>
      </c>
      <c r="P236" s="32" t="s">
        <v>675</v>
      </c>
      <c r="Q236" s="31">
        <f>13595</f>
        <v>13595</v>
      </c>
      <c r="R236" s="32" t="s">
        <v>681</v>
      </c>
      <c r="S236" s="33">
        <f>13224.47</f>
        <v>13224.47</v>
      </c>
      <c r="T236" s="30">
        <f>170443</f>
        <v>170443</v>
      </c>
      <c r="U236" s="30">
        <f>1</f>
        <v>1</v>
      </c>
      <c r="V236" s="30">
        <f>2268053125</f>
        <v>2268053125</v>
      </c>
      <c r="W236" s="30">
        <f>13055</f>
        <v>13055</v>
      </c>
      <c r="X236" s="34">
        <f>19</f>
        <v>19</v>
      </c>
    </row>
    <row r="237" spans="1:24" x14ac:dyDescent="0.15">
      <c r="A237" s="25" t="s">
        <v>1078</v>
      </c>
      <c r="B237" s="25" t="s">
        <v>955</v>
      </c>
      <c r="C237" s="25" t="s">
        <v>956</v>
      </c>
      <c r="D237" s="25" t="s">
        <v>957</v>
      </c>
      <c r="E237" s="26" t="s">
        <v>43</v>
      </c>
      <c r="F237" s="27" t="s">
        <v>43</v>
      </c>
      <c r="G237" s="28" t="s">
        <v>43</v>
      </c>
      <c r="H237" s="29"/>
      <c r="I237" s="29" t="s">
        <v>44</v>
      </c>
      <c r="J237" s="30">
        <v>1</v>
      </c>
      <c r="K237" s="31">
        <f>38000</f>
        <v>38000</v>
      </c>
      <c r="L237" s="32" t="s">
        <v>675</v>
      </c>
      <c r="M237" s="31">
        <f>39650</f>
        <v>39650</v>
      </c>
      <c r="N237" s="32" t="s">
        <v>777</v>
      </c>
      <c r="O237" s="31">
        <f>37800</f>
        <v>37800</v>
      </c>
      <c r="P237" s="32" t="s">
        <v>674</v>
      </c>
      <c r="Q237" s="31">
        <f>39430</f>
        <v>39430</v>
      </c>
      <c r="R237" s="32" t="s">
        <v>681</v>
      </c>
      <c r="S237" s="33">
        <f>38665.56</f>
        <v>38665.56</v>
      </c>
      <c r="T237" s="30">
        <f>88393</f>
        <v>88393</v>
      </c>
      <c r="U237" s="30">
        <f>79583</f>
        <v>79583</v>
      </c>
      <c r="V237" s="30">
        <f>3420652894</f>
        <v>3420652894</v>
      </c>
      <c r="W237" s="30">
        <f>3083284104</f>
        <v>3083284104</v>
      </c>
      <c r="X237" s="34">
        <f>18</f>
        <v>18</v>
      </c>
    </row>
    <row r="238" spans="1:24" x14ac:dyDescent="0.15">
      <c r="A238" s="25" t="s">
        <v>1078</v>
      </c>
      <c r="B238" s="25" t="s">
        <v>958</v>
      </c>
      <c r="C238" s="25" t="s">
        <v>959</v>
      </c>
      <c r="D238" s="25" t="s">
        <v>960</v>
      </c>
      <c r="E238" s="26" t="s">
        <v>43</v>
      </c>
      <c r="F238" s="27" t="s">
        <v>43</v>
      </c>
      <c r="G238" s="28" t="s">
        <v>43</v>
      </c>
      <c r="H238" s="29"/>
      <c r="I238" s="29" t="s">
        <v>44</v>
      </c>
      <c r="J238" s="30">
        <v>1</v>
      </c>
      <c r="K238" s="31">
        <f>25900</f>
        <v>25900</v>
      </c>
      <c r="L238" s="32" t="s">
        <v>675</v>
      </c>
      <c r="M238" s="31">
        <f>26100</f>
        <v>26100</v>
      </c>
      <c r="N238" s="32" t="s">
        <v>674</v>
      </c>
      <c r="O238" s="31">
        <f>23700</f>
        <v>23700</v>
      </c>
      <c r="P238" s="32" t="s">
        <v>777</v>
      </c>
      <c r="Q238" s="31">
        <f>23945</f>
        <v>23945</v>
      </c>
      <c r="R238" s="32" t="s">
        <v>681</v>
      </c>
      <c r="S238" s="33">
        <f>24911.32</f>
        <v>24911.32</v>
      </c>
      <c r="T238" s="30">
        <f>18266</f>
        <v>18266</v>
      </c>
      <c r="U238" s="30" t="str">
        <f>"－"</f>
        <v>－</v>
      </c>
      <c r="V238" s="30">
        <f>455547785</f>
        <v>455547785</v>
      </c>
      <c r="W238" s="30" t="str">
        <f>"－"</f>
        <v>－</v>
      </c>
      <c r="X238" s="34">
        <f>19</f>
        <v>19</v>
      </c>
    </row>
    <row r="239" spans="1:24" x14ac:dyDescent="0.15">
      <c r="A239" s="25" t="s">
        <v>1078</v>
      </c>
      <c r="B239" s="25" t="s">
        <v>961</v>
      </c>
      <c r="C239" s="25" t="s">
        <v>962</v>
      </c>
      <c r="D239" s="25" t="s">
        <v>963</v>
      </c>
      <c r="E239" s="26" t="s">
        <v>43</v>
      </c>
      <c r="F239" s="27" t="s">
        <v>43</v>
      </c>
      <c r="G239" s="28" t="s">
        <v>43</v>
      </c>
      <c r="H239" s="29"/>
      <c r="I239" s="29" t="s">
        <v>44</v>
      </c>
      <c r="J239" s="30">
        <v>10</v>
      </c>
      <c r="K239" s="31">
        <f>210.6</f>
        <v>210.6</v>
      </c>
      <c r="L239" s="32" t="s">
        <v>675</v>
      </c>
      <c r="M239" s="31">
        <f>261.3</f>
        <v>261.3</v>
      </c>
      <c r="N239" s="32" t="s">
        <v>876</v>
      </c>
      <c r="O239" s="31">
        <f>208</f>
        <v>208</v>
      </c>
      <c r="P239" s="32" t="s">
        <v>675</v>
      </c>
      <c r="Q239" s="31">
        <f>224.8</f>
        <v>224.8</v>
      </c>
      <c r="R239" s="32" t="s">
        <v>681</v>
      </c>
      <c r="S239" s="33">
        <f>220.92</f>
        <v>220.92</v>
      </c>
      <c r="T239" s="30">
        <f>118060</f>
        <v>118060</v>
      </c>
      <c r="U239" s="30" t="str">
        <f>"－"</f>
        <v>－</v>
      </c>
      <c r="V239" s="30">
        <f>26411482</f>
        <v>26411482</v>
      </c>
      <c r="W239" s="30" t="str">
        <f>"－"</f>
        <v>－</v>
      </c>
      <c r="X239" s="34">
        <f>19</f>
        <v>19</v>
      </c>
    </row>
    <row r="240" spans="1:24" x14ac:dyDescent="0.15">
      <c r="A240" s="25" t="s">
        <v>1078</v>
      </c>
      <c r="B240" s="25" t="s">
        <v>964</v>
      </c>
      <c r="C240" s="25" t="s">
        <v>965</v>
      </c>
      <c r="D240" s="25" t="s">
        <v>966</v>
      </c>
      <c r="E240" s="26" t="s">
        <v>43</v>
      </c>
      <c r="F240" s="27" t="s">
        <v>43</v>
      </c>
      <c r="G240" s="28" t="s">
        <v>43</v>
      </c>
      <c r="H240" s="29"/>
      <c r="I240" s="29" t="s">
        <v>44</v>
      </c>
      <c r="J240" s="30">
        <v>10</v>
      </c>
      <c r="K240" s="31">
        <f>750</f>
        <v>750</v>
      </c>
      <c r="L240" s="32" t="s">
        <v>675</v>
      </c>
      <c r="M240" s="31">
        <f>757.1</f>
        <v>757.1</v>
      </c>
      <c r="N240" s="32" t="s">
        <v>679</v>
      </c>
      <c r="O240" s="31">
        <f>738.9</f>
        <v>738.9</v>
      </c>
      <c r="P240" s="32" t="s">
        <v>875</v>
      </c>
      <c r="Q240" s="31">
        <f>753.5</f>
        <v>753.5</v>
      </c>
      <c r="R240" s="32" t="s">
        <v>681</v>
      </c>
      <c r="S240" s="33">
        <f>748.06</f>
        <v>748.06</v>
      </c>
      <c r="T240" s="30">
        <f>1404820</f>
        <v>1404820</v>
      </c>
      <c r="U240" s="30">
        <f>806100</f>
        <v>806100</v>
      </c>
      <c r="V240" s="30">
        <f>1052036628</f>
        <v>1052036628</v>
      </c>
      <c r="W240" s="30">
        <f>604412320</f>
        <v>604412320</v>
      </c>
      <c r="X240" s="34">
        <f>19</f>
        <v>19</v>
      </c>
    </row>
    <row r="241" spans="1:24" x14ac:dyDescent="0.15">
      <c r="A241" s="25" t="s">
        <v>1078</v>
      </c>
      <c r="B241" s="25" t="s">
        <v>982</v>
      </c>
      <c r="C241" s="25" t="s">
        <v>983</v>
      </c>
      <c r="D241" s="25" t="s">
        <v>984</v>
      </c>
      <c r="E241" s="26" t="s">
        <v>43</v>
      </c>
      <c r="F241" s="27" t="s">
        <v>43</v>
      </c>
      <c r="G241" s="28" t="s">
        <v>43</v>
      </c>
      <c r="H241" s="29"/>
      <c r="I241" s="29" t="s">
        <v>44</v>
      </c>
      <c r="J241" s="30">
        <v>1</v>
      </c>
      <c r="K241" s="31">
        <f>1021</f>
        <v>1021</v>
      </c>
      <c r="L241" s="32" t="s">
        <v>675</v>
      </c>
      <c r="M241" s="31">
        <f>1079</f>
        <v>1079</v>
      </c>
      <c r="N241" s="32" t="s">
        <v>681</v>
      </c>
      <c r="O241" s="31">
        <f>1018</f>
        <v>1018</v>
      </c>
      <c r="P241" s="32" t="s">
        <v>675</v>
      </c>
      <c r="Q241" s="31">
        <f>1073</f>
        <v>1073</v>
      </c>
      <c r="R241" s="32" t="s">
        <v>681</v>
      </c>
      <c r="S241" s="33">
        <f>1052.21</f>
        <v>1052.21</v>
      </c>
      <c r="T241" s="30">
        <f>236076</f>
        <v>236076</v>
      </c>
      <c r="U241" s="30" t="str">
        <f>"－"</f>
        <v>－</v>
      </c>
      <c r="V241" s="30">
        <f>247770733</f>
        <v>247770733</v>
      </c>
      <c r="W241" s="30" t="str">
        <f>"－"</f>
        <v>－</v>
      </c>
      <c r="X241" s="34">
        <f>19</f>
        <v>19</v>
      </c>
    </row>
    <row r="242" spans="1:24" x14ac:dyDescent="0.15">
      <c r="A242" s="25" t="s">
        <v>1078</v>
      </c>
      <c r="B242" s="25" t="s">
        <v>985</v>
      </c>
      <c r="C242" s="25" t="s">
        <v>986</v>
      </c>
      <c r="D242" s="25" t="s">
        <v>987</v>
      </c>
      <c r="E242" s="26" t="s">
        <v>43</v>
      </c>
      <c r="F242" s="27" t="s">
        <v>43</v>
      </c>
      <c r="G242" s="28" t="s">
        <v>43</v>
      </c>
      <c r="H242" s="29"/>
      <c r="I242" s="29" t="s">
        <v>44</v>
      </c>
      <c r="J242" s="30">
        <v>1</v>
      </c>
      <c r="K242" s="31">
        <f>1052</f>
        <v>1052</v>
      </c>
      <c r="L242" s="32" t="s">
        <v>675</v>
      </c>
      <c r="M242" s="31">
        <f>1098</f>
        <v>1098</v>
      </c>
      <c r="N242" s="32" t="s">
        <v>777</v>
      </c>
      <c r="O242" s="31">
        <f>1048</f>
        <v>1048</v>
      </c>
      <c r="P242" s="32" t="s">
        <v>675</v>
      </c>
      <c r="Q242" s="31">
        <f>1093</f>
        <v>1093</v>
      </c>
      <c r="R242" s="32" t="s">
        <v>681</v>
      </c>
      <c r="S242" s="33">
        <f>1074.95</f>
        <v>1074.95</v>
      </c>
      <c r="T242" s="30">
        <f>197581</f>
        <v>197581</v>
      </c>
      <c r="U242" s="30" t="str">
        <f>"－"</f>
        <v>－</v>
      </c>
      <c r="V242" s="30">
        <f>212072810</f>
        <v>212072810</v>
      </c>
      <c r="W242" s="30" t="str">
        <f>"－"</f>
        <v>－</v>
      </c>
      <c r="X242" s="34">
        <f>19</f>
        <v>19</v>
      </c>
    </row>
    <row r="243" spans="1:24" x14ac:dyDescent="0.15">
      <c r="A243" s="25" t="s">
        <v>1078</v>
      </c>
      <c r="B243" s="25" t="s">
        <v>988</v>
      </c>
      <c r="C243" s="25" t="s">
        <v>989</v>
      </c>
      <c r="D243" s="25" t="s">
        <v>990</v>
      </c>
      <c r="E243" s="26" t="s">
        <v>43</v>
      </c>
      <c r="F243" s="27" t="s">
        <v>43</v>
      </c>
      <c r="G243" s="28" t="s">
        <v>43</v>
      </c>
      <c r="H243" s="29"/>
      <c r="I243" s="29" t="s">
        <v>44</v>
      </c>
      <c r="J243" s="30">
        <v>1</v>
      </c>
      <c r="K243" s="31">
        <f>781</f>
        <v>781</v>
      </c>
      <c r="L243" s="32" t="s">
        <v>675</v>
      </c>
      <c r="M243" s="31">
        <f>781</f>
        <v>781</v>
      </c>
      <c r="N243" s="32" t="s">
        <v>675</v>
      </c>
      <c r="O243" s="31">
        <f>668</f>
        <v>668</v>
      </c>
      <c r="P243" s="32" t="s">
        <v>681</v>
      </c>
      <c r="Q243" s="31">
        <f>677</f>
        <v>677</v>
      </c>
      <c r="R243" s="32" t="s">
        <v>681</v>
      </c>
      <c r="S243" s="33">
        <f>734.26</f>
        <v>734.26</v>
      </c>
      <c r="T243" s="30">
        <f>913311</f>
        <v>913311</v>
      </c>
      <c r="U243" s="30">
        <f>1</f>
        <v>1</v>
      </c>
      <c r="V243" s="30">
        <f>669783056</f>
        <v>669783056</v>
      </c>
      <c r="W243" s="30">
        <f>668</f>
        <v>668</v>
      </c>
      <c r="X243" s="34">
        <f>19</f>
        <v>19</v>
      </c>
    </row>
    <row r="244" spans="1:24" x14ac:dyDescent="0.15">
      <c r="A244" s="25" t="s">
        <v>1078</v>
      </c>
      <c r="B244" s="25" t="s">
        <v>1059</v>
      </c>
      <c r="C244" s="25" t="s">
        <v>1060</v>
      </c>
      <c r="D244" s="25" t="s">
        <v>1061</v>
      </c>
      <c r="E244" s="26" t="s">
        <v>43</v>
      </c>
      <c r="F244" s="27" t="s">
        <v>43</v>
      </c>
      <c r="G244" s="28" t="s">
        <v>43</v>
      </c>
      <c r="H244" s="29"/>
      <c r="I244" s="29" t="s">
        <v>44</v>
      </c>
      <c r="J244" s="30">
        <v>10</v>
      </c>
      <c r="K244" s="31">
        <f>212.1</f>
        <v>212.1</v>
      </c>
      <c r="L244" s="32" t="s">
        <v>675</v>
      </c>
      <c r="M244" s="31">
        <f>213.1</f>
        <v>213.1</v>
      </c>
      <c r="N244" s="32" t="s">
        <v>681</v>
      </c>
      <c r="O244" s="31">
        <f>206</f>
        <v>206</v>
      </c>
      <c r="P244" s="32" t="s">
        <v>679</v>
      </c>
      <c r="Q244" s="31">
        <f>213</f>
        <v>213</v>
      </c>
      <c r="R244" s="32" t="s">
        <v>681</v>
      </c>
      <c r="S244" s="33">
        <f>209.89</f>
        <v>209.89</v>
      </c>
      <c r="T244" s="30">
        <f>17389760</f>
        <v>17389760</v>
      </c>
      <c r="U244" s="30">
        <f>11400</f>
        <v>11400</v>
      </c>
      <c r="V244" s="30">
        <f>3648350195</f>
        <v>3648350195</v>
      </c>
      <c r="W244" s="30">
        <f>2384142</f>
        <v>2384142</v>
      </c>
      <c r="X244" s="34">
        <f>19</f>
        <v>19</v>
      </c>
    </row>
    <row r="245" spans="1:24" x14ac:dyDescent="0.15">
      <c r="A245" s="25" t="s">
        <v>1078</v>
      </c>
      <c r="B245" s="25" t="s">
        <v>1062</v>
      </c>
      <c r="C245" s="25" t="s">
        <v>1063</v>
      </c>
      <c r="D245" s="25" t="s">
        <v>1064</v>
      </c>
      <c r="E245" s="26" t="s">
        <v>43</v>
      </c>
      <c r="F245" s="27" t="s">
        <v>43</v>
      </c>
      <c r="G245" s="28" t="s">
        <v>43</v>
      </c>
      <c r="H245" s="29"/>
      <c r="I245" s="29" t="s">
        <v>44</v>
      </c>
      <c r="J245" s="30">
        <v>10</v>
      </c>
      <c r="K245" s="31">
        <f>202.9</f>
        <v>202.9</v>
      </c>
      <c r="L245" s="32" t="s">
        <v>675</v>
      </c>
      <c r="M245" s="31">
        <f>210</f>
        <v>210</v>
      </c>
      <c r="N245" s="32" t="s">
        <v>875</v>
      </c>
      <c r="O245" s="31">
        <f>199.6</f>
        <v>199.6</v>
      </c>
      <c r="P245" s="32" t="s">
        <v>675</v>
      </c>
      <c r="Q245" s="31">
        <f>206</f>
        <v>206</v>
      </c>
      <c r="R245" s="32" t="s">
        <v>681</v>
      </c>
      <c r="S245" s="33">
        <f>203.54</f>
        <v>203.54</v>
      </c>
      <c r="T245" s="30">
        <f>1060400</f>
        <v>1060400</v>
      </c>
      <c r="U245" s="30">
        <f>20</f>
        <v>20</v>
      </c>
      <c r="V245" s="30">
        <f>215163658</f>
        <v>215163658</v>
      </c>
      <c r="W245" s="30">
        <f>4092</f>
        <v>4092</v>
      </c>
      <c r="X245" s="34">
        <f>19</f>
        <v>19</v>
      </c>
    </row>
    <row r="246" spans="1:24" x14ac:dyDescent="0.15">
      <c r="A246" s="25" t="s">
        <v>1078</v>
      </c>
      <c r="B246" s="25" t="s">
        <v>1065</v>
      </c>
      <c r="C246" s="25" t="s">
        <v>1066</v>
      </c>
      <c r="D246" s="25" t="s">
        <v>1067</v>
      </c>
      <c r="E246" s="26" t="s">
        <v>43</v>
      </c>
      <c r="F246" s="27" t="s">
        <v>43</v>
      </c>
      <c r="G246" s="28" t="s">
        <v>43</v>
      </c>
      <c r="H246" s="29"/>
      <c r="I246" s="29" t="s">
        <v>44</v>
      </c>
      <c r="J246" s="30">
        <v>10</v>
      </c>
      <c r="K246" s="31">
        <f>200.9</f>
        <v>200.9</v>
      </c>
      <c r="L246" s="32" t="s">
        <v>675</v>
      </c>
      <c r="M246" s="31">
        <f>207.7</f>
        <v>207.7</v>
      </c>
      <c r="N246" s="32" t="s">
        <v>676</v>
      </c>
      <c r="O246" s="31">
        <f>200</f>
        <v>200</v>
      </c>
      <c r="P246" s="32" t="s">
        <v>675</v>
      </c>
      <c r="Q246" s="31">
        <f>206.2</f>
        <v>206.2</v>
      </c>
      <c r="R246" s="32" t="s">
        <v>681</v>
      </c>
      <c r="S246" s="33">
        <f>204.11</f>
        <v>204.11</v>
      </c>
      <c r="T246" s="30">
        <f>443370</f>
        <v>443370</v>
      </c>
      <c r="U246" s="30" t="str">
        <f>"－"</f>
        <v>－</v>
      </c>
      <c r="V246" s="30">
        <f>90105934</f>
        <v>90105934</v>
      </c>
      <c r="W246" s="30" t="str">
        <f>"－"</f>
        <v>－</v>
      </c>
      <c r="X246" s="34">
        <f>19</f>
        <v>19</v>
      </c>
    </row>
    <row r="247" spans="1:24" x14ac:dyDescent="0.15">
      <c r="A247" s="25" t="s">
        <v>1078</v>
      </c>
      <c r="B247" s="25" t="s">
        <v>1068</v>
      </c>
      <c r="C247" s="25" t="s">
        <v>1069</v>
      </c>
      <c r="D247" s="25" t="s">
        <v>1070</v>
      </c>
      <c r="E247" s="26" t="s">
        <v>43</v>
      </c>
      <c r="F247" s="27" t="s">
        <v>43</v>
      </c>
      <c r="G247" s="28" t="s">
        <v>43</v>
      </c>
      <c r="H247" s="29"/>
      <c r="I247" s="29" t="s">
        <v>44</v>
      </c>
      <c r="J247" s="30">
        <v>10</v>
      </c>
      <c r="K247" s="31">
        <f>204</f>
        <v>204</v>
      </c>
      <c r="L247" s="32" t="s">
        <v>675</v>
      </c>
      <c r="M247" s="31">
        <f>206.4</f>
        <v>206.4</v>
      </c>
      <c r="N247" s="32" t="s">
        <v>778</v>
      </c>
      <c r="O247" s="31">
        <f>198.1</f>
        <v>198.1</v>
      </c>
      <c r="P247" s="32" t="s">
        <v>675</v>
      </c>
      <c r="Q247" s="31">
        <f>205.4</f>
        <v>205.4</v>
      </c>
      <c r="R247" s="32" t="s">
        <v>681</v>
      </c>
      <c r="S247" s="33">
        <f>203.02</f>
        <v>203.02</v>
      </c>
      <c r="T247" s="30">
        <f>824290</f>
        <v>824290</v>
      </c>
      <c r="U247" s="30">
        <f>60</f>
        <v>60</v>
      </c>
      <c r="V247" s="30">
        <f>166725438</f>
        <v>166725438</v>
      </c>
      <c r="W247" s="30">
        <f>12406</f>
        <v>12406</v>
      </c>
      <c r="X247" s="34">
        <f>19</f>
        <v>19</v>
      </c>
    </row>
    <row r="248" spans="1:24" x14ac:dyDescent="0.15">
      <c r="A248" s="25" t="s">
        <v>1078</v>
      </c>
      <c r="B248" s="25" t="s">
        <v>1071</v>
      </c>
      <c r="C248" s="25" t="s">
        <v>1072</v>
      </c>
      <c r="D248" s="25" t="s">
        <v>1073</v>
      </c>
      <c r="E248" s="26" t="s">
        <v>43</v>
      </c>
      <c r="F248" s="27" t="s">
        <v>43</v>
      </c>
      <c r="G248" s="28" t="s">
        <v>43</v>
      </c>
      <c r="H248" s="29"/>
      <c r="I248" s="29" t="s">
        <v>44</v>
      </c>
      <c r="J248" s="30">
        <v>10</v>
      </c>
      <c r="K248" s="31">
        <f>219.9</f>
        <v>219.9</v>
      </c>
      <c r="L248" s="32" t="s">
        <v>675</v>
      </c>
      <c r="M248" s="31">
        <f>223.2</f>
        <v>223.2</v>
      </c>
      <c r="N248" s="32" t="s">
        <v>875</v>
      </c>
      <c r="O248" s="31">
        <f>202.1</f>
        <v>202.1</v>
      </c>
      <c r="P248" s="32" t="s">
        <v>778</v>
      </c>
      <c r="Q248" s="31">
        <f>206.7</f>
        <v>206.7</v>
      </c>
      <c r="R248" s="32" t="s">
        <v>681</v>
      </c>
      <c r="S248" s="33">
        <f>206.28</f>
        <v>206.28</v>
      </c>
      <c r="T248" s="30">
        <f>28520</f>
        <v>28520</v>
      </c>
      <c r="U248" s="30">
        <f>60</f>
        <v>60</v>
      </c>
      <c r="V248" s="30">
        <f>5894752</f>
        <v>5894752</v>
      </c>
      <c r="W248" s="30">
        <f>12320</f>
        <v>12320</v>
      </c>
      <c r="X248" s="34">
        <f>19</f>
        <v>19</v>
      </c>
    </row>
    <row r="249" spans="1:24" x14ac:dyDescent="0.15">
      <c r="A249" s="25" t="s">
        <v>1078</v>
      </c>
      <c r="B249" s="25" t="s">
        <v>539</v>
      </c>
      <c r="C249" s="25" t="s">
        <v>540</v>
      </c>
      <c r="D249" s="25" t="s">
        <v>541</v>
      </c>
      <c r="E249" s="26" t="s">
        <v>43</v>
      </c>
      <c r="F249" s="27" t="s">
        <v>43</v>
      </c>
      <c r="G249" s="28" t="s">
        <v>43</v>
      </c>
      <c r="H249" s="29"/>
      <c r="I249" s="29" t="s">
        <v>44</v>
      </c>
      <c r="J249" s="30">
        <v>10</v>
      </c>
      <c r="K249" s="31">
        <f>933</f>
        <v>933</v>
      </c>
      <c r="L249" s="32" t="s">
        <v>675</v>
      </c>
      <c r="M249" s="31">
        <f>942.5</f>
        <v>942.5</v>
      </c>
      <c r="N249" s="32" t="s">
        <v>875</v>
      </c>
      <c r="O249" s="31">
        <f>924.7</f>
        <v>924.7</v>
      </c>
      <c r="P249" s="32" t="s">
        <v>679</v>
      </c>
      <c r="Q249" s="31">
        <f>929.1</f>
        <v>929.1</v>
      </c>
      <c r="R249" s="32" t="s">
        <v>681</v>
      </c>
      <c r="S249" s="33">
        <f>934.09</f>
        <v>934.09</v>
      </c>
      <c r="T249" s="30">
        <f>4451320</f>
        <v>4451320</v>
      </c>
      <c r="U249" s="30">
        <f>3023650</f>
        <v>3023650</v>
      </c>
      <c r="V249" s="30">
        <f>4150978382</f>
        <v>4150978382</v>
      </c>
      <c r="W249" s="30">
        <f>2817139070</f>
        <v>2817139070</v>
      </c>
      <c r="X249" s="34">
        <f>19</f>
        <v>19</v>
      </c>
    </row>
    <row r="250" spans="1:24" x14ac:dyDescent="0.15">
      <c r="A250" s="25" t="s">
        <v>1078</v>
      </c>
      <c r="B250" s="25" t="s">
        <v>542</v>
      </c>
      <c r="C250" s="25" t="s">
        <v>543</v>
      </c>
      <c r="D250" s="25" t="s">
        <v>544</v>
      </c>
      <c r="E250" s="26" t="s">
        <v>43</v>
      </c>
      <c r="F250" s="27" t="s">
        <v>43</v>
      </c>
      <c r="G250" s="28" t="s">
        <v>43</v>
      </c>
      <c r="H250" s="29"/>
      <c r="I250" s="29" t="s">
        <v>44</v>
      </c>
      <c r="J250" s="30">
        <v>10</v>
      </c>
      <c r="K250" s="31">
        <f>1052.5</f>
        <v>1052.5</v>
      </c>
      <c r="L250" s="32" t="s">
        <v>675</v>
      </c>
      <c r="M250" s="31">
        <f>1076</f>
        <v>1076</v>
      </c>
      <c r="N250" s="32" t="s">
        <v>778</v>
      </c>
      <c r="O250" s="31">
        <f>1048</f>
        <v>1048</v>
      </c>
      <c r="P250" s="32" t="s">
        <v>675</v>
      </c>
      <c r="Q250" s="31">
        <f>1072.5</f>
        <v>1072.5</v>
      </c>
      <c r="R250" s="32" t="s">
        <v>681</v>
      </c>
      <c r="S250" s="33">
        <f>1066.79</f>
        <v>1066.79</v>
      </c>
      <c r="T250" s="30">
        <f>1318730</f>
        <v>1318730</v>
      </c>
      <c r="U250" s="30">
        <f>443400</f>
        <v>443400</v>
      </c>
      <c r="V250" s="30">
        <f>1403559074</f>
        <v>1403559074</v>
      </c>
      <c r="W250" s="30">
        <f>471569739</f>
        <v>471569739</v>
      </c>
      <c r="X250" s="34">
        <f>19</f>
        <v>19</v>
      </c>
    </row>
    <row r="251" spans="1:24" x14ac:dyDescent="0.15">
      <c r="A251" s="25" t="s">
        <v>1078</v>
      </c>
      <c r="B251" s="25" t="s">
        <v>545</v>
      </c>
      <c r="C251" s="25" t="s">
        <v>546</v>
      </c>
      <c r="D251" s="25" t="s">
        <v>547</v>
      </c>
      <c r="E251" s="26" t="s">
        <v>43</v>
      </c>
      <c r="F251" s="27" t="s">
        <v>43</v>
      </c>
      <c r="G251" s="28" t="s">
        <v>43</v>
      </c>
      <c r="H251" s="29"/>
      <c r="I251" s="29" t="s">
        <v>44</v>
      </c>
      <c r="J251" s="30">
        <v>10</v>
      </c>
      <c r="K251" s="31">
        <f>812.8</f>
        <v>812.8</v>
      </c>
      <c r="L251" s="32" t="s">
        <v>675</v>
      </c>
      <c r="M251" s="31">
        <f>814.6</f>
        <v>814.6</v>
      </c>
      <c r="N251" s="32" t="s">
        <v>675</v>
      </c>
      <c r="O251" s="31">
        <f>796</f>
        <v>796</v>
      </c>
      <c r="P251" s="32" t="s">
        <v>679</v>
      </c>
      <c r="Q251" s="31">
        <f>803.6</f>
        <v>803.6</v>
      </c>
      <c r="R251" s="32" t="s">
        <v>681</v>
      </c>
      <c r="S251" s="33">
        <f>803.65</f>
        <v>803.65</v>
      </c>
      <c r="T251" s="30">
        <f>2652610</f>
        <v>2652610</v>
      </c>
      <c r="U251" s="30">
        <f>2197740</f>
        <v>2197740</v>
      </c>
      <c r="V251" s="30">
        <f>2130390762</f>
        <v>2130390762</v>
      </c>
      <c r="W251" s="30">
        <f>1764892988</f>
        <v>1764892988</v>
      </c>
      <c r="X251" s="34">
        <f>19</f>
        <v>19</v>
      </c>
    </row>
    <row r="252" spans="1:24" x14ac:dyDescent="0.15">
      <c r="A252" s="25" t="s">
        <v>1078</v>
      </c>
      <c r="B252" s="25" t="s">
        <v>548</v>
      </c>
      <c r="C252" s="25" t="s">
        <v>549</v>
      </c>
      <c r="D252" s="25" t="s">
        <v>550</v>
      </c>
      <c r="E252" s="26" t="s">
        <v>43</v>
      </c>
      <c r="F252" s="27" t="s">
        <v>43</v>
      </c>
      <c r="G252" s="28" t="s">
        <v>43</v>
      </c>
      <c r="H252" s="29"/>
      <c r="I252" s="29" t="s">
        <v>44</v>
      </c>
      <c r="J252" s="30">
        <v>10</v>
      </c>
      <c r="K252" s="31">
        <f>2053</f>
        <v>2053</v>
      </c>
      <c r="L252" s="32" t="s">
        <v>675</v>
      </c>
      <c r="M252" s="31">
        <f>2187</f>
        <v>2187</v>
      </c>
      <c r="N252" s="32" t="s">
        <v>777</v>
      </c>
      <c r="O252" s="31">
        <f>2037.5</f>
        <v>2037.5</v>
      </c>
      <c r="P252" s="32" t="s">
        <v>675</v>
      </c>
      <c r="Q252" s="31">
        <f>2179</f>
        <v>2179</v>
      </c>
      <c r="R252" s="32" t="s">
        <v>681</v>
      </c>
      <c r="S252" s="33">
        <f>2124.55</f>
        <v>2124.5500000000002</v>
      </c>
      <c r="T252" s="30">
        <f>1408690</f>
        <v>1408690</v>
      </c>
      <c r="U252" s="30">
        <f>1013540</f>
        <v>1013540</v>
      </c>
      <c r="V252" s="30">
        <f>3015828444</f>
        <v>3015828444</v>
      </c>
      <c r="W252" s="30">
        <f>2179539959</f>
        <v>2179539959</v>
      </c>
      <c r="X252" s="34">
        <f>19</f>
        <v>19</v>
      </c>
    </row>
    <row r="253" spans="1:24" x14ac:dyDescent="0.15">
      <c r="A253" s="25" t="s">
        <v>1078</v>
      </c>
      <c r="B253" s="25" t="s">
        <v>551</v>
      </c>
      <c r="C253" s="25" t="s">
        <v>552</v>
      </c>
      <c r="D253" s="25" t="s">
        <v>553</v>
      </c>
      <c r="E253" s="26" t="s">
        <v>43</v>
      </c>
      <c r="F253" s="27" t="s">
        <v>43</v>
      </c>
      <c r="G253" s="28" t="s">
        <v>43</v>
      </c>
      <c r="H253" s="29"/>
      <c r="I253" s="29" t="s">
        <v>44</v>
      </c>
      <c r="J253" s="30">
        <v>10</v>
      </c>
      <c r="K253" s="31">
        <f>1439.5</f>
        <v>1439.5</v>
      </c>
      <c r="L253" s="32" t="s">
        <v>675</v>
      </c>
      <c r="M253" s="31">
        <f>1495</f>
        <v>1495</v>
      </c>
      <c r="N253" s="32" t="s">
        <v>777</v>
      </c>
      <c r="O253" s="31">
        <f>1434</f>
        <v>1434</v>
      </c>
      <c r="P253" s="32" t="s">
        <v>674</v>
      </c>
      <c r="Q253" s="31">
        <f>1486.5</f>
        <v>1486.5</v>
      </c>
      <c r="R253" s="32" t="s">
        <v>681</v>
      </c>
      <c r="S253" s="33">
        <f>1459.53</f>
        <v>1459.53</v>
      </c>
      <c r="T253" s="30">
        <f>790640</f>
        <v>790640</v>
      </c>
      <c r="U253" s="30">
        <f>644160</f>
        <v>644160</v>
      </c>
      <c r="V253" s="30">
        <f>1144214751</f>
        <v>1144214751</v>
      </c>
      <c r="W253" s="30">
        <f>930019626</f>
        <v>930019626</v>
      </c>
      <c r="X253" s="34">
        <f>19</f>
        <v>19</v>
      </c>
    </row>
    <row r="254" spans="1:24" x14ac:dyDescent="0.15">
      <c r="A254" s="25" t="s">
        <v>1078</v>
      </c>
      <c r="B254" s="25" t="s">
        <v>554</v>
      </c>
      <c r="C254" s="25" t="s">
        <v>555</v>
      </c>
      <c r="D254" s="25" t="s">
        <v>556</v>
      </c>
      <c r="E254" s="26" t="s">
        <v>43</v>
      </c>
      <c r="F254" s="27" t="s">
        <v>43</v>
      </c>
      <c r="G254" s="28" t="s">
        <v>43</v>
      </c>
      <c r="H254" s="29"/>
      <c r="I254" s="29" t="s">
        <v>44</v>
      </c>
      <c r="J254" s="30">
        <v>10</v>
      </c>
      <c r="K254" s="31">
        <f>1292.5</f>
        <v>1292.5</v>
      </c>
      <c r="L254" s="32" t="s">
        <v>675</v>
      </c>
      <c r="M254" s="31">
        <f>1317.5</f>
        <v>1317.5</v>
      </c>
      <c r="N254" s="32" t="s">
        <v>684</v>
      </c>
      <c r="O254" s="31">
        <f>1275</f>
        <v>1275</v>
      </c>
      <c r="P254" s="32" t="s">
        <v>675</v>
      </c>
      <c r="Q254" s="31">
        <f>1304</f>
        <v>1304</v>
      </c>
      <c r="R254" s="32" t="s">
        <v>681</v>
      </c>
      <c r="S254" s="33">
        <f>1301.63</f>
        <v>1301.6300000000001</v>
      </c>
      <c r="T254" s="30">
        <f>773460</f>
        <v>773460</v>
      </c>
      <c r="U254" s="30">
        <f>247370</f>
        <v>247370</v>
      </c>
      <c r="V254" s="30">
        <f>1004477475</f>
        <v>1004477475</v>
      </c>
      <c r="W254" s="30">
        <f>320175785</f>
        <v>320175785</v>
      </c>
      <c r="X254" s="34">
        <f>19</f>
        <v>19</v>
      </c>
    </row>
    <row r="255" spans="1:24" x14ac:dyDescent="0.15">
      <c r="A255" s="25" t="s">
        <v>1078</v>
      </c>
      <c r="B255" s="25" t="s">
        <v>557</v>
      </c>
      <c r="C255" s="25" t="s">
        <v>1074</v>
      </c>
      <c r="D255" s="25" t="s">
        <v>1075</v>
      </c>
      <c r="E255" s="26" t="s">
        <v>43</v>
      </c>
      <c r="F255" s="27" t="s">
        <v>43</v>
      </c>
      <c r="G255" s="28" t="s">
        <v>43</v>
      </c>
      <c r="H255" s="29"/>
      <c r="I255" s="29" t="s">
        <v>44</v>
      </c>
      <c r="J255" s="30">
        <v>10</v>
      </c>
      <c r="K255" s="31">
        <f>540.3</f>
        <v>540.29999999999995</v>
      </c>
      <c r="L255" s="32" t="s">
        <v>675</v>
      </c>
      <c r="M255" s="31">
        <f>565.5</f>
        <v>565.5</v>
      </c>
      <c r="N255" s="32" t="s">
        <v>676</v>
      </c>
      <c r="O255" s="31">
        <f>530.3</f>
        <v>530.29999999999995</v>
      </c>
      <c r="P255" s="32" t="s">
        <v>678</v>
      </c>
      <c r="Q255" s="31">
        <f>554.5</f>
        <v>554.5</v>
      </c>
      <c r="R255" s="32" t="s">
        <v>681</v>
      </c>
      <c r="S255" s="33">
        <f>549.12</f>
        <v>549.12</v>
      </c>
      <c r="T255" s="30">
        <f>40031360</f>
        <v>40031360</v>
      </c>
      <c r="U255" s="30">
        <f>1029090</f>
        <v>1029090</v>
      </c>
      <c r="V255" s="30">
        <f>22008081958</f>
        <v>22008081958</v>
      </c>
      <c r="W255" s="30">
        <f>565119424</f>
        <v>565119424</v>
      </c>
      <c r="X255" s="34">
        <f>19</f>
        <v>19</v>
      </c>
    </row>
    <row r="256" spans="1:24" x14ac:dyDescent="0.15">
      <c r="A256" s="25" t="s">
        <v>1078</v>
      </c>
      <c r="B256" s="25" t="s">
        <v>558</v>
      </c>
      <c r="C256" s="25" t="s">
        <v>559</v>
      </c>
      <c r="D256" s="25" t="s">
        <v>560</v>
      </c>
      <c r="E256" s="26" t="s">
        <v>43</v>
      </c>
      <c r="F256" s="27" t="s">
        <v>43</v>
      </c>
      <c r="G256" s="28" t="s">
        <v>43</v>
      </c>
      <c r="H256" s="29"/>
      <c r="I256" s="29" t="s">
        <v>44</v>
      </c>
      <c r="J256" s="30">
        <v>10</v>
      </c>
      <c r="K256" s="31">
        <f>1093</f>
        <v>1093</v>
      </c>
      <c r="L256" s="32" t="s">
        <v>675</v>
      </c>
      <c r="M256" s="31">
        <f>1120</f>
        <v>1120</v>
      </c>
      <c r="N256" s="32" t="s">
        <v>681</v>
      </c>
      <c r="O256" s="31">
        <f>1078.5</f>
        <v>1078.5</v>
      </c>
      <c r="P256" s="32" t="s">
        <v>675</v>
      </c>
      <c r="Q256" s="31">
        <f>1092</f>
        <v>1092</v>
      </c>
      <c r="R256" s="32" t="s">
        <v>681</v>
      </c>
      <c r="S256" s="33">
        <f>1096.34</f>
        <v>1096.3399999999999</v>
      </c>
      <c r="T256" s="30">
        <f>1746510</f>
        <v>1746510</v>
      </c>
      <c r="U256" s="30">
        <f>1660790</f>
        <v>1660790</v>
      </c>
      <c r="V256" s="30">
        <f>1913147645</f>
        <v>1913147645</v>
      </c>
      <c r="W256" s="30">
        <f>1819227850</f>
        <v>1819227850</v>
      </c>
      <c r="X256" s="34">
        <f>19</f>
        <v>19</v>
      </c>
    </row>
    <row r="257" spans="1:24" x14ac:dyDescent="0.15">
      <c r="A257" s="25" t="s">
        <v>1078</v>
      </c>
      <c r="B257" s="25" t="s">
        <v>561</v>
      </c>
      <c r="C257" s="25" t="s">
        <v>562</v>
      </c>
      <c r="D257" s="25" t="s">
        <v>563</v>
      </c>
      <c r="E257" s="26" t="s">
        <v>43</v>
      </c>
      <c r="F257" s="27" t="s">
        <v>43</v>
      </c>
      <c r="G257" s="28" t="s">
        <v>43</v>
      </c>
      <c r="H257" s="29"/>
      <c r="I257" s="29" t="s">
        <v>44</v>
      </c>
      <c r="J257" s="30">
        <v>1</v>
      </c>
      <c r="K257" s="31">
        <f>1308</f>
        <v>1308</v>
      </c>
      <c r="L257" s="32" t="s">
        <v>675</v>
      </c>
      <c r="M257" s="31">
        <f>1423</f>
        <v>1423</v>
      </c>
      <c r="N257" s="32" t="s">
        <v>778</v>
      </c>
      <c r="O257" s="31">
        <f>1296</f>
        <v>1296</v>
      </c>
      <c r="P257" s="32" t="s">
        <v>675</v>
      </c>
      <c r="Q257" s="31">
        <f>1410</f>
        <v>1410</v>
      </c>
      <c r="R257" s="32" t="s">
        <v>681</v>
      </c>
      <c r="S257" s="33">
        <f>1384.32</f>
        <v>1384.32</v>
      </c>
      <c r="T257" s="30">
        <f>107833</f>
        <v>107833</v>
      </c>
      <c r="U257" s="30">
        <f>2</f>
        <v>2</v>
      </c>
      <c r="V257" s="30">
        <f>145718579</f>
        <v>145718579</v>
      </c>
      <c r="W257" s="30">
        <f>2640</f>
        <v>2640</v>
      </c>
      <c r="X257" s="34">
        <f>19</f>
        <v>19</v>
      </c>
    </row>
    <row r="258" spans="1:24" x14ac:dyDescent="0.15">
      <c r="A258" s="25" t="s">
        <v>1078</v>
      </c>
      <c r="B258" s="25" t="s">
        <v>564</v>
      </c>
      <c r="C258" s="25" t="s">
        <v>565</v>
      </c>
      <c r="D258" s="25" t="s">
        <v>566</v>
      </c>
      <c r="E258" s="26" t="s">
        <v>43</v>
      </c>
      <c r="F258" s="27" t="s">
        <v>43</v>
      </c>
      <c r="G258" s="28" t="s">
        <v>43</v>
      </c>
      <c r="H258" s="29"/>
      <c r="I258" s="29" t="s">
        <v>44</v>
      </c>
      <c r="J258" s="30">
        <v>10</v>
      </c>
      <c r="K258" s="31">
        <f>987.6</f>
        <v>987.6</v>
      </c>
      <c r="L258" s="32" t="s">
        <v>675</v>
      </c>
      <c r="M258" s="31">
        <f>1018</f>
        <v>1018</v>
      </c>
      <c r="N258" s="32" t="s">
        <v>778</v>
      </c>
      <c r="O258" s="31">
        <f>977</f>
        <v>977</v>
      </c>
      <c r="P258" s="32" t="s">
        <v>876</v>
      </c>
      <c r="Q258" s="31">
        <f>1011.5</f>
        <v>1011.5</v>
      </c>
      <c r="R258" s="32" t="s">
        <v>681</v>
      </c>
      <c r="S258" s="33">
        <f>1003.64</f>
        <v>1003.64</v>
      </c>
      <c r="T258" s="30">
        <f>119770</f>
        <v>119770</v>
      </c>
      <c r="U258" s="30">
        <f>1690</f>
        <v>1690</v>
      </c>
      <c r="V258" s="30">
        <f>119577552</f>
        <v>119577552</v>
      </c>
      <c r="W258" s="30">
        <f>1701605</f>
        <v>1701605</v>
      </c>
      <c r="X258" s="34">
        <f>19</f>
        <v>19</v>
      </c>
    </row>
    <row r="259" spans="1:24" x14ac:dyDescent="0.15">
      <c r="A259" s="25" t="s">
        <v>1078</v>
      </c>
      <c r="B259" s="25" t="s">
        <v>567</v>
      </c>
      <c r="C259" s="25" t="s">
        <v>568</v>
      </c>
      <c r="D259" s="25" t="s">
        <v>569</v>
      </c>
      <c r="E259" s="26" t="s">
        <v>43</v>
      </c>
      <c r="F259" s="27" t="s">
        <v>43</v>
      </c>
      <c r="G259" s="28" t="s">
        <v>43</v>
      </c>
      <c r="H259" s="29"/>
      <c r="I259" s="29" t="s">
        <v>44</v>
      </c>
      <c r="J259" s="30">
        <v>10</v>
      </c>
      <c r="K259" s="31">
        <f>1248</f>
        <v>1248</v>
      </c>
      <c r="L259" s="32" t="s">
        <v>675</v>
      </c>
      <c r="M259" s="31">
        <f>1277.5</f>
        <v>1277.5</v>
      </c>
      <c r="N259" s="32" t="s">
        <v>883</v>
      </c>
      <c r="O259" s="31">
        <f>1230</f>
        <v>1230</v>
      </c>
      <c r="P259" s="32" t="s">
        <v>678</v>
      </c>
      <c r="Q259" s="31">
        <f>1264.5</f>
        <v>1264.5</v>
      </c>
      <c r="R259" s="32" t="s">
        <v>681</v>
      </c>
      <c r="S259" s="33">
        <f>1256.79</f>
        <v>1256.79</v>
      </c>
      <c r="T259" s="30">
        <f>127450</f>
        <v>127450</v>
      </c>
      <c r="U259" s="30">
        <f>38330</f>
        <v>38330</v>
      </c>
      <c r="V259" s="30">
        <f>160677643</f>
        <v>160677643</v>
      </c>
      <c r="W259" s="30">
        <f>48395458</f>
        <v>48395458</v>
      </c>
      <c r="X259" s="34">
        <f>19</f>
        <v>19</v>
      </c>
    </row>
    <row r="260" spans="1:24" x14ac:dyDescent="0.15">
      <c r="A260" s="25" t="s">
        <v>1078</v>
      </c>
      <c r="B260" s="25" t="s">
        <v>570</v>
      </c>
      <c r="C260" s="25" t="s">
        <v>571</v>
      </c>
      <c r="D260" s="25" t="s">
        <v>572</v>
      </c>
      <c r="E260" s="26" t="s">
        <v>43</v>
      </c>
      <c r="F260" s="27" t="s">
        <v>43</v>
      </c>
      <c r="G260" s="28" t="s">
        <v>43</v>
      </c>
      <c r="H260" s="29"/>
      <c r="I260" s="29" t="s">
        <v>44</v>
      </c>
      <c r="J260" s="30">
        <v>10</v>
      </c>
      <c r="K260" s="31">
        <f>1503</f>
        <v>1503</v>
      </c>
      <c r="L260" s="32" t="s">
        <v>675</v>
      </c>
      <c r="M260" s="31">
        <f>1554.5</f>
        <v>1554.5</v>
      </c>
      <c r="N260" s="32" t="s">
        <v>777</v>
      </c>
      <c r="O260" s="31">
        <f>1493</f>
        <v>1493</v>
      </c>
      <c r="P260" s="32" t="s">
        <v>678</v>
      </c>
      <c r="Q260" s="31">
        <f>1546</f>
        <v>1546</v>
      </c>
      <c r="R260" s="32" t="s">
        <v>681</v>
      </c>
      <c r="S260" s="33">
        <f>1525.29</f>
        <v>1525.29</v>
      </c>
      <c r="T260" s="30">
        <f>2991860</f>
        <v>2991860</v>
      </c>
      <c r="U260" s="30">
        <f>1180740</f>
        <v>1180740</v>
      </c>
      <c r="V260" s="30">
        <f>4557157350</f>
        <v>4557157350</v>
      </c>
      <c r="W260" s="30">
        <f>1785353520</f>
        <v>1785353520</v>
      </c>
      <c r="X260" s="34">
        <f>19</f>
        <v>19</v>
      </c>
    </row>
    <row r="261" spans="1:24" x14ac:dyDescent="0.15">
      <c r="A261" s="25" t="s">
        <v>1078</v>
      </c>
      <c r="B261" s="25" t="s">
        <v>573</v>
      </c>
      <c r="C261" s="25" t="s">
        <v>574</v>
      </c>
      <c r="D261" s="25" t="s">
        <v>575</v>
      </c>
      <c r="E261" s="26" t="s">
        <v>43</v>
      </c>
      <c r="F261" s="27" t="s">
        <v>43</v>
      </c>
      <c r="G261" s="28" t="s">
        <v>43</v>
      </c>
      <c r="H261" s="29"/>
      <c r="I261" s="29" t="s">
        <v>44</v>
      </c>
      <c r="J261" s="30">
        <v>1</v>
      </c>
      <c r="K261" s="31">
        <f>4725</f>
        <v>4725</v>
      </c>
      <c r="L261" s="32" t="s">
        <v>675</v>
      </c>
      <c r="M261" s="31">
        <f>5190</f>
        <v>5190</v>
      </c>
      <c r="N261" s="32" t="s">
        <v>683</v>
      </c>
      <c r="O261" s="31">
        <f>4700</f>
        <v>4700</v>
      </c>
      <c r="P261" s="32" t="s">
        <v>675</v>
      </c>
      <c r="Q261" s="31">
        <f>5110</f>
        <v>5110</v>
      </c>
      <c r="R261" s="32" t="s">
        <v>681</v>
      </c>
      <c r="S261" s="33">
        <f>4983.42</f>
        <v>4983.42</v>
      </c>
      <c r="T261" s="30">
        <f>26472</f>
        <v>26472</v>
      </c>
      <c r="U261" s="30" t="str">
        <f>"－"</f>
        <v>－</v>
      </c>
      <c r="V261" s="30">
        <f>132484115</f>
        <v>132484115</v>
      </c>
      <c r="W261" s="30" t="str">
        <f>"－"</f>
        <v>－</v>
      </c>
      <c r="X261" s="34">
        <f>19</f>
        <v>19</v>
      </c>
    </row>
    <row r="262" spans="1:24" x14ac:dyDescent="0.15">
      <c r="A262" s="25" t="s">
        <v>1078</v>
      </c>
      <c r="B262" s="25" t="s">
        <v>576</v>
      </c>
      <c r="C262" s="25" t="s">
        <v>577</v>
      </c>
      <c r="D262" s="25" t="s">
        <v>578</v>
      </c>
      <c r="E262" s="26" t="s">
        <v>43</v>
      </c>
      <c r="F262" s="27" t="s">
        <v>43</v>
      </c>
      <c r="G262" s="28" t="s">
        <v>43</v>
      </c>
      <c r="H262" s="29"/>
      <c r="I262" s="29" t="s">
        <v>44</v>
      </c>
      <c r="J262" s="30">
        <v>10</v>
      </c>
      <c r="K262" s="31">
        <f>1955</f>
        <v>1955</v>
      </c>
      <c r="L262" s="32" t="s">
        <v>675</v>
      </c>
      <c r="M262" s="31">
        <f>2036</f>
        <v>2036</v>
      </c>
      <c r="N262" s="32" t="s">
        <v>684</v>
      </c>
      <c r="O262" s="31">
        <f>1950.5</f>
        <v>1950.5</v>
      </c>
      <c r="P262" s="32" t="s">
        <v>874</v>
      </c>
      <c r="Q262" s="31">
        <f>2000</f>
        <v>2000</v>
      </c>
      <c r="R262" s="32" t="s">
        <v>679</v>
      </c>
      <c r="S262" s="33">
        <f>1985.7</f>
        <v>1985.7</v>
      </c>
      <c r="T262" s="30">
        <f>620</f>
        <v>620</v>
      </c>
      <c r="U262" s="30" t="str">
        <f>"－"</f>
        <v>－</v>
      </c>
      <c r="V262" s="30">
        <f>1224755</f>
        <v>1224755</v>
      </c>
      <c r="W262" s="30" t="str">
        <f>"－"</f>
        <v>－</v>
      </c>
      <c r="X262" s="34">
        <f>10</f>
        <v>10</v>
      </c>
    </row>
    <row r="263" spans="1:24" x14ac:dyDescent="0.15">
      <c r="A263" s="25" t="s">
        <v>1078</v>
      </c>
      <c r="B263" s="25" t="s">
        <v>579</v>
      </c>
      <c r="C263" s="25" t="s">
        <v>580</v>
      </c>
      <c r="D263" s="25" t="s">
        <v>581</v>
      </c>
      <c r="E263" s="26" t="s">
        <v>43</v>
      </c>
      <c r="F263" s="27" t="s">
        <v>43</v>
      </c>
      <c r="G263" s="28" t="s">
        <v>43</v>
      </c>
      <c r="H263" s="29"/>
      <c r="I263" s="29" t="s">
        <v>44</v>
      </c>
      <c r="J263" s="30">
        <v>10</v>
      </c>
      <c r="K263" s="31">
        <f>2423</f>
        <v>2423</v>
      </c>
      <c r="L263" s="32" t="s">
        <v>675</v>
      </c>
      <c r="M263" s="31">
        <f>2640</f>
        <v>2640</v>
      </c>
      <c r="N263" s="32" t="s">
        <v>778</v>
      </c>
      <c r="O263" s="31">
        <f>2405</f>
        <v>2405</v>
      </c>
      <c r="P263" s="32" t="s">
        <v>675</v>
      </c>
      <c r="Q263" s="31">
        <f>2597.5</f>
        <v>2597.5</v>
      </c>
      <c r="R263" s="32" t="s">
        <v>681</v>
      </c>
      <c r="S263" s="33">
        <f>2566.11</f>
        <v>2566.11</v>
      </c>
      <c r="T263" s="30">
        <f>2666610</f>
        <v>2666610</v>
      </c>
      <c r="U263" s="30">
        <f>1446500</f>
        <v>1446500</v>
      </c>
      <c r="V263" s="30">
        <f>6849273171</f>
        <v>6849273171</v>
      </c>
      <c r="W263" s="30">
        <f>3714160721</f>
        <v>3714160721</v>
      </c>
      <c r="X263" s="34">
        <f>19</f>
        <v>19</v>
      </c>
    </row>
    <row r="264" spans="1:24" x14ac:dyDescent="0.15">
      <c r="A264" s="25" t="s">
        <v>1078</v>
      </c>
      <c r="B264" s="25" t="s">
        <v>582</v>
      </c>
      <c r="C264" s="25" t="s">
        <v>583</v>
      </c>
      <c r="D264" s="25" t="s">
        <v>584</v>
      </c>
      <c r="E264" s="26" t="s">
        <v>43</v>
      </c>
      <c r="F264" s="27" t="s">
        <v>43</v>
      </c>
      <c r="G264" s="28" t="s">
        <v>43</v>
      </c>
      <c r="H264" s="29"/>
      <c r="I264" s="29" t="s">
        <v>44</v>
      </c>
      <c r="J264" s="30">
        <v>1</v>
      </c>
      <c r="K264" s="31">
        <f>33360</f>
        <v>33360</v>
      </c>
      <c r="L264" s="32" t="s">
        <v>675</v>
      </c>
      <c r="M264" s="31">
        <f>37450</f>
        <v>37450</v>
      </c>
      <c r="N264" s="32" t="s">
        <v>778</v>
      </c>
      <c r="O264" s="31">
        <f>33360</f>
        <v>33360</v>
      </c>
      <c r="P264" s="32" t="s">
        <v>675</v>
      </c>
      <c r="Q264" s="31">
        <f>36940</f>
        <v>36940</v>
      </c>
      <c r="R264" s="32" t="s">
        <v>681</v>
      </c>
      <c r="S264" s="33">
        <f>36103.68</f>
        <v>36103.68</v>
      </c>
      <c r="T264" s="30">
        <f>80854</f>
        <v>80854</v>
      </c>
      <c r="U264" s="30">
        <f>9747</f>
        <v>9747</v>
      </c>
      <c r="V264" s="30">
        <f>2925428249</f>
        <v>2925428249</v>
      </c>
      <c r="W264" s="30">
        <f>347580019</f>
        <v>347580019</v>
      </c>
      <c r="X264" s="34">
        <f>19</f>
        <v>19</v>
      </c>
    </row>
    <row r="265" spans="1:24" x14ac:dyDescent="0.15">
      <c r="A265" s="25" t="s">
        <v>1078</v>
      </c>
      <c r="B265" s="25" t="s">
        <v>585</v>
      </c>
      <c r="C265" s="25" t="s">
        <v>586</v>
      </c>
      <c r="D265" s="25" t="s">
        <v>587</v>
      </c>
      <c r="E265" s="26" t="s">
        <v>43</v>
      </c>
      <c r="F265" s="27" t="s">
        <v>43</v>
      </c>
      <c r="G265" s="28" t="s">
        <v>43</v>
      </c>
      <c r="H265" s="29"/>
      <c r="I265" s="29" t="s">
        <v>44</v>
      </c>
      <c r="J265" s="30">
        <v>1</v>
      </c>
      <c r="K265" s="31">
        <f>21775</f>
        <v>21775</v>
      </c>
      <c r="L265" s="32" t="s">
        <v>675</v>
      </c>
      <c r="M265" s="31">
        <f>23535</f>
        <v>23535</v>
      </c>
      <c r="N265" s="32" t="s">
        <v>778</v>
      </c>
      <c r="O265" s="31">
        <f>21775</f>
        <v>21775</v>
      </c>
      <c r="P265" s="32" t="s">
        <v>675</v>
      </c>
      <c r="Q265" s="31">
        <f>23505</f>
        <v>23505</v>
      </c>
      <c r="R265" s="32" t="s">
        <v>681</v>
      </c>
      <c r="S265" s="33">
        <f>23052.5</f>
        <v>23052.5</v>
      </c>
      <c r="T265" s="30">
        <f>15074</f>
        <v>15074</v>
      </c>
      <c r="U265" s="30">
        <f>10000</f>
        <v>10000</v>
      </c>
      <c r="V265" s="30">
        <f>353694570</f>
        <v>353694570</v>
      </c>
      <c r="W265" s="30">
        <f>234930000</f>
        <v>234930000</v>
      </c>
      <c r="X265" s="34">
        <f>8</f>
        <v>8</v>
      </c>
    </row>
    <row r="266" spans="1:24" x14ac:dyDescent="0.15">
      <c r="A266" s="25" t="s">
        <v>1078</v>
      </c>
      <c r="B266" s="25" t="s">
        <v>588</v>
      </c>
      <c r="C266" s="25" t="s">
        <v>589</v>
      </c>
      <c r="D266" s="25" t="s">
        <v>590</v>
      </c>
      <c r="E266" s="26" t="s">
        <v>43</v>
      </c>
      <c r="F266" s="27" t="s">
        <v>43</v>
      </c>
      <c r="G266" s="28" t="s">
        <v>43</v>
      </c>
      <c r="H266" s="29"/>
      <c r="I266" s="29" t="s">
        <v>44</v>
      </c>
      <c r="J266" s="30">
        <v>10</v>
      </c>
      <c r="K266" s="31">
        <f>1111</f>
        <v>1111</v>
      </c>
      <c r="L266" s="32" t="s">
        <v>675</v>
      </c>
      <c r="M266" s="31">
        <f>1118.5</f>
        <v>1118.5</v>
      </c>
      <c r="N266" s="32" t="s">
        <v>674</v>
      </c>
      <c r="O266" s="31">
        <f>1080</f>
        <v>1080</v>
      </c>
      <c r="P266" s="32" t="s">
        <v>678</v>
      </c>
      <c r="Q266" s="31">
        <f>1087</f>
        <v>1087</v>
      </c>
      <c r="R266" s="32" t="s">
        <v>777</v>
      </c>
      <c r="S266" s="33">
        <f>1097.42</f>
        <v>1097.42</v>
      </c>
      <c r="T266" s="30">
        <f>953930</f>
        <v>953930</v>
      </c>
      <c r="U266" s="30">
        <f>832340</f>
        <v>832340</v>
      </c>
      <c r="V266" s="30">
        <f>1048530819</f>
        <v>1048530819</v>
      </c>
      <c r="W266" s="30">
        <f>915360544</f>
        <v>915360544</v>
      </c>
      <c r="X266" s="34">
        <f>18</f>
        <v>18</v>
      </c>
    </row>
    <row r="267" spans="1:24" x14ac:dyDescent="0.15">
      <c r="A267" s="25" t="s">
        <v>1078</v>
      </c>
      <c r="B267" s="25" t="s">
        <v>591</v>
      </c>
      <c r="C267" s="25" t="s">
        <v>946</v>
      </c>
      <c r="D267" s="25" t="s">
        <v>947</v>
      </c>
      <c r="E267" s="26" t="s">
        <v>43</v>
      </c>
      <c r="F267" s="27" t="s">
        <v>43</v>
      </c>
      <c r="G267" s="28" t="s">
        <v>43</v>
      </c>
      <c r="H267" s="29"/>
      <c r="I267" s="29" t="s">
        <v>44</v>
      </c>
      <c r="J267" s="30">
        <v>10</v>
      </c>
      <c r="K267" s="31">
        <f>1085</f>
        <v>1085</v>
      </c>
      <c r="L267" s="32" t="s">
        <v>675</v>
      </c>
      <c r="M267" s="31">
        <f>1107</f>
        <v>1107</v>
      </c>
      <c r="N267" s="32" t="s">
        <v>874</v>
      </c>
      <c r="O267" s="31">
        <f>1075.5</f>
        <v>1075.5</v>
      </c>
      <c r="P267" s="32" t="s">
        <v>675</v>
      </c>
      <c r="Q267" s="31">
        <f>1088</f>
        <v>1088</v>
      </c>
      <c r="R267" s="32" t="s">
        <v>681</v>
      </c>
      <c r="S267" s="33">
        <f>1092.94</f>
        <v>1092.94</v>
      </c>
      <c r="T267" s="30">
        <f>88850</f>
        <v>88850</v>
      </c>
      <c r="U267" s="30">
        <f>66580</f>
        <v>66580</v>
      </c>
      <c r="V267" s="30">
        <f>96888770</f>
        <v>96888770</v>
      </c>
      <c r="W267" s="30">
        <f>72568525</f>
        <v>72568525</v>
      </c>
      <c r="X267" s="34">
        <f>18</f>
        <v>18</v>
      </c>
    </row>
    <row r="268" spans="1:24" x14ac:dyDescent="0.15">
      <c r="A268" s="25" t="s">
        <v>1078</v>
      </c>
      <c r="B268" s="25" t="s">
        <v>592</v>
      </c>
      <c r="C268" s="25" t="s">
        <v>593</v>
      </c>
      <c r="D268" s="25" t="s">
        <v>594</v>
      </c>
      <c r="E268" s="26" t="s">
        <v>43</v>
      </c>
      <c r="F268" s="27" t="s">
        <v>43</v>
      </c>
      <c r="G268" s="28" t="s">
        <v>43</v>
      </c>
      <c r="H268" s="29"/>
      <c r="I268" s="29" t="s">
        <v>44</v>
      </c>
      <c r="J268" s="30">
        <v>1</v>
      </c>
      <c r="K268" s="31">
        <f>1497</f>
        <v>1497</v>
      </c>
      <c r="L268" s="32" t="s">
        <v>675</v>
      </c>
      <c r="M268" s="31">
        <f>1641</f>
        <v>1641</v>
      </c>
      <c r="N268" s="32" t="s">
        <v>778</v>
      </c>
      <c r="O268" s="31">
        <f>1488</f>
        <v>1488</v>
      </c>
      <c r="P268" s="32" t="s">
        <v>675</v>
      </c>
      <c r="Q268" s="31">
        <f>1630</f>
        <v>1630</v>
      </c>
      <c r="R268" s="32" t="s">
        <v>681</v>
      </c>
      <c r="S268" s="33">
        <f>1593.89</f>
        <v>1593.89</v>
      </c>
      <c r="T268" s="30">
        <f>762366</f>
        <v>762366</v>
      </c>
      <c r="U268" s="30">
        <f>400050</f>
        <v>400050</v>
      </c>
      <c r="V268" s="30">
        <f>1197974316</f>
        <v>1197974316</v>
      </c>
      <c r="W268" s="30">
        <f>622704110</f>
        <v>622704110</v>
      </c>
      <c r="X268" s="34">
        <f>19</f>
        <v>19</v>
      </c>
    </row>
    <row r="269" spans="1:24" x14ac:dyDescent="0.15">
      <c r="A269" s="25" t="s">
        <v>1078</v>
      </c>
      <c r="B269" s="25" t="s">
        <v>595</v>
      </c>
      <c r="C269" s="25" t="s">
        <v>596</v>
      </c>
      <c r="D269" s="25" t="s">
        <v>597</v>
      </c>
      <c r="E269" s="26" t="s">
        <v>43</v>
      </c>
      <c r="F269" s="27" t="s">
        <v>43</v>
      </c>
      <c r="G269" s="28" t="s">
        <v>43</v>
      </c>
      <c r="H269" s="29"/>
      <c r="I269" s="29" t="s">
        <v>44</v>
      </c>
      <c r="J269" s="30">
        <v>1</v>
      </c>
      <c r="K269" s="31">
        <f>11945</f>
        <v>11945</v>
      </c>
      <c r="L269" s="32" t="s">
        <v>675</v>
      </c>
      <c r="M269" s="31">
        <f>12500</f>
        <v>12500</v>
      </c>
      <c r="N269" s="32" t="s">
        <v>676</v>
      </c>
      <c r="O269" s="31">
        <f>11710</f>
        <v>11710</v>
      </c>
      <c r="P269" s="32" t="s">
        <v>678</v>
      </c>
      <c r="Q269" s="31">
        <f>12300</f>
        <v>12300</v>
      </c>
      <c r="R269" s="32" t="s">
        <v>681</v>
      </c>
      <c r="S269" s="33">
        <f>12139.21</f>
        <v>12139.21</v>
      </c>
      <c r="T269" s="30">
        <f>746</f>
        <v>746</v>
      </c>
      <c r="U269" s="30" t="str">
        <f>"－"</f>
        <v>－</v>
      </c>
      <c r="V269" s="30">
        <f>9083370</f>
        <v>9083370</v>
      </c>
      <c r="W269" s="30" t="str">
        <f>"－"</f>
        <v>－</v>
      </c>
      <c r="X269" s="34">
        <f>19</f>
        <v>19</v>
      </c>
    </row>
    <row r="270" spans="1:24" x14ac:dyDescent="0.15">
      <c r="A270" s="25" t="s">
        <v>1078</v>
      </c>
      <c r="B270" s="25" t="s">
        <v>598</v>
      </c>
      <c r="C270" s="25" t="s">
        <v>599</v>
      </c>
      <c r="D270" s="25" t="s">
        <v>600</v>
      </c>
      <c r="E270" s="26" t="s">
        <v>43</v>
      </c>
      <c r="F270" s="27" t="s">
        <v>43</v>
      </c>
      <c r="G270" s="28" t="s">
        <v>43</v>
      </c>
      <c r="H270" s="29"/>
      <c r="I270" s="29" t="s">
        <v>44</v>
      </c>
      <c r="J270" s="30">
        <v>1</v>
      </c>
      <c r="K270" s="31">
        <f>1944</f>
        <v>1944</v>
      </c>
      <c r="L270" s="32" t="s">
        <v>675</v>
      </c>
      <c r="M270" s="31">
        <f>1994</f>
        <v>1994</v>
      </c>
      <c r="N270" s="32" t="s">
        <v>778</v>
      </c>
      <c r="O270" s="31">
        <f>1925</f>
        <v>1925</v>
      </c>
      <c r="P270" s="32" t="s">
        <v>675</v>
      </c>
      <c r="Q270" s="31">
        <f>1940</f>
        <v>1940</v>
      </c>
      <c r="R270" s="32" t="s">
        <v>681</v>
      </c>
      <c r="S270" s="33">
        <f>1955.26</f>
        <v>1955.26</v>
      </c>
      <c r="T270" s="30">
        <f>973168</f>
        <v>973168</v>
      </c>
      <c r="U270" s="30">
        <f>930936</f>
        <v>930936</v>
      </c>
      <c r="V270" s="30">
        <f>1894933419</f>
        <v>1894933419</v>
      </c>
      <c r="W270" s="30">
        <f>1812323206</f>
        <v>1812323206</v>
      </c>
      <c r="X270" s="34">
        <f>19</f>
        <v>19</v>
      </c>
    </row>
    <row r="271" spans="1:24" x14ac:dyDescent="0.15">
      <c r="A271" s="25" t="s">
        <v>1078</v>
      </c>
      <c r="B271" s="25" t="s">
        <v>601</v>
      </c>
      <c r="C271" s="25" t="s">
        <v>602</v>
      </c>
      <c r="D271" s="25" t="s">
        <v>603</v>
      </c>
      <c r="E271" s="26" t="s">
        <v>43</v>
      </c>
      <c r="F271" s="27" t="s">
        <v>43</v>
      </c>
      <c r="G271" s="28" t="s">
        <v>43</v>
      </c>
      <c r="H271" s="29"/>
      <c r="I271" s="29" t="s">
        <v>44</v>
      </c>
      <c r="J271" s="30">
        <v>10</v>
      </c>
      <c r="K271" s="31">
        <f>1460.5</f>
        <v>1460.5</v>
      </c>
      <c r="L271" s="32" t="s">
        <v>675</v>
      </c>
      <c r="M271" s="31">
        <f>1555</f>
        <v>1555</v>
      </c>
      <c r="N271" s="32" t="s">
        <v>883</v>
      </c>
      <c r="O271" s="31">
        <f>1313</f>
        <v>1313</v>
      </c>
      <c r="P271" s="32" t="s">
        <v>778</v>
      </c>
      <c r="Q271" s="31">
        <f>1354.5</f>
        <v>1354.5</v>
      </c>
      <c r="R271" s="32" t="s">
        <v>681</v>
      </c>
      <c r="S271" s="33">
        <f>1389.64</f>
        <v>1389.64</v>
      </c>
      <c r="T271" s="30">
        <f>4110</f>
        <v>4110</v>
      </c>
      <c r="U271" s="30" t="str">
        <f>"－"</f>
        <v>－</v>
      </c>
      <c r="V271" s="30">
        <f>5789975</f>
        <v>5789975</v>
      </c>
      <c r="W271" s="30" t="str">
        <f>"－"</f>
        <v>－</v>
      </c>
      <c r="X271" s="34">
        <f>18</f>
        <v>18</v>
      </c>
    </row>
    <row r="272" spans="1:24" x14ac:dyDescent="0.15">
      <c r="A272" s="25" t="s">
        <v>1078</v>
      </c>
      <c r="B272" s="25" t="s">
        <v>604</v>
      </c>
      <c r="C272" s="25" t="s">
        <v>685</v>
      </c>
      <c r="D272" s="25" t="s">
        <v>686</v>
      </c>
      <c r="E272" s="26" t="s">
        <v>43</v>
      </c>
      <c r="F272" s="27" t="s">
        <v>43</v>
      </c>
      <c r="G272" s="28" t="s">
        <v>43</v>
      </c>
      <c r="H272" s="29"/>
      <c r="I272" s="29" t="s">
        <v>44</v>
      </c>
      <c r="J272" s="30">
        <v>10</v>
      </c>
      <c r="K272" s="31">
        <f>823.9</f>
        <v>823.9</v>
      </c>
      <c r="L272" s="32" t="s">
        <v>675</v>
      </c>
      <c r="M272" s="31">
        <f>830</f>
        <v>830</v>
      </c>
      <c r="N272" s="32" t="s">
        <v>875</v>
      </c>
      <c r="O272" s="31">
        <f>816</f>
        <v>816</v>
      </c>
      <c r="P272" s="32" t="s">
        <v>679</v>
      </c>
      <c r="Q272" s="31">
        <f>822.4</f>
        <v>822.4</v>
      </c>
      <c r="R272" s="32" t="s">
        <v>681</v>
      </c>
      <c r="S272" s="33">
        <f>820.92</f>
        <v>820.92</v>
      </c>
      <c r="T272" s="30">
        <f>738160</f>
        <v>738160</v>
      </c>
      <c r="U272" s="30">
        <f>333930</f>
        <v>333930</v>
      </c>
      <c r="V272" s="30">
        <f>606024115</f>
        <v>606024115</v>
      </c>
      <c r="W272" s="30">
        <f>274129792</f>
        <v>274129792</v>
      </c>
      <c r="X272" s="34">
        <f>19</f>
        <v>19</v>
      </c>
    </row>
    <row r="273" spans="1:24" x14ac:dyDescent="0.15">
      <c r="A273" s="25" t="s">
        <v>1078</v>
      </c>
      <c r="B273" s="25" t="s">
        <v>605</v>
      </c>
      <c r="C273" s="25" t="s">
        <v>606</v>
      </c>
      <c r="D273" s="25" t="s">
        <v>607</v>
      </c>
      <c r="E273" s="26" t="s">
        <v>43</v>
      </c>
      <c r="F273" s="27" t="s">
        <v>43</v>
      </c>
      <c r="G273" s="28" t="s">
        <v>43</v>
      </c>
      <c r="H273" s="29"/>
      <c r="I273" s="29" t="s">
        <v>44</v>
      </c>
      <c r="J273" s="30">
        <v>10</v>
      </c>
      <c r="K273" s="31">
        <f>1865</f>
        <v>1865</v>
      </c>
      <c r="L273" s="32" t="s">
        <v>675</v>
      </c>
      <c r="M273" s="31">
        <f>1884.5</f>
        <v>1884.5</v>
      </c>
      <c r="N273" s="32" t="s">
        <v>778</v>
      </c>
      <c r="O273" s="31">
        <f>1839.5</f>
        <v>1839.5</v>
      </c>
      <c r="P273" s="32" t="s">
        <v>678</v>
      </c>
      <c r="Q273" s="31">
        <f>1845.5</f>
        <v>1845.5</v>
      </c>
      <c r="R273" s="32" t="s">
        <v>681</v>
      </c>
      <c r="S273" s="33">
        <f>1861.71</f>
        <v>1861.71</v>
      </c>
      <c r="T273" s="30">
        <f>128310</f>
        <v>128310</v>
      </c>
      <c r="U273" s="30" t="str">
        <f>"－"</f>
        <v>－</v>
      </c>
      <c r="V273" s="30">
        <f>239080170</f>
        <v>239080170</v>
      </c>
      <c r="W273" s="30" t="str">
        <f>"－"</f>
        <v>－</v>
      </c>
      <c r="X273" s="34">
        <f>19</f>
        <v>19</v>
      </c>
    </row>
    <row r="274" spans="1:24" x14ac:dyDescent="0.15">
      <c r="A274" s="25" t="s">
        <v>1078</v>
      </c>
      <c r="B274" s="25" t="s">
        <v>608</v>
      </c>
      <c r="C274" s="25" t="s">
        <v>609</v>
      </c>
      <c r="D274" s="25" t="s">
        <v>610</v>
      </c>
      <c r="E274" s="26" t="s">
        <v>43</v>
      </c>
      <c r="F274" s="27" t="s">
        <v>43</v>
      </c>
      <c r="G274" s="28" t="s">
        <v>43</v>
      </c>
      <c r="H274" s="29"/>
      <c r="I274" s="29" t="s">
        <v>44</v>
      </c>
      <c r="J274" s="30">
        <v>10</v>
      </c>
      <c r="K274" s="31">
        <f>1850</f>
        <v>1850</v>
      </c>
      <c r="L274" s="32" t="s">
        <v>675</v>
      </c>
      <c r="M274" s="31">
        <f>1881</f>
        <v>1881</v>
      </c>
      <c r="N274" s="32" t="s">
        <v>683</v>
      </c>
      <c r="O274" s="31">
        <f>1829</f>
        <v>1829</v>
      </c>
      <c r="P274" s="32" t="s">
        <v>675</v>
      </c>
      <c r="Q274" s="31">
        <f>1843.5</f>
        <v>1843.5</v>
      </c>
      <c r="R274" s="32" t="s">
        <v>681</v>
      </c>
      <c r="S274" s="33">
        <f>1856.03</f>
        <v>1856.03</v>
      </c>
      <c r="T274" s="30">
        <f>472070</f>
        <v>472070</v>
      </c>
      <c r="U274" s="30">
        <f>105210</f>
        <v>105210</v>
      </c>
      <c r="V274" s="30">
        <f>873544570</f>
        <v>873544570</v>
      </c>
      <c r="W274" s="30">
        <f>193208130</f>
        <v>193208130</v>
      </c>
      <c r="X274" s="34">
        <f>19</f>
        <v>19</v>
      </c>
    </row>
    <row r="275" spans="1:24" x14ac:dyDescent="0.15">
      <c r="A275" s="25" t="s">
        <v>1078</v>
      </c>
      <c r="B275" s="25" t="s">
        <v>611</v>
      </c>
      <c r="C275" s="25" t="s">
        <v>612</v>
      </c>
      <c r="D275" s="25" t="s">
        <v>613</v>
      </c>
      <c r="E275" s="26" t="s">
        <v>43</v>
      </c>
      <c r="F275" s="27" t="s">
        <v>43</v>
      </c>
      <c r="G275" s="28" t="s">
        <v>43</v>
      </c>
      <c r="H275" s="29"/>
      <c r="I275" s="29" t="s">
        <v>44</v>
      </c>
      <c r="J275" s="30">
        <v>10</v>
      </c>
      <c r="K275" s="31">
        <f>2378</f>
        <v>2378</v>
      </c>
      <c r="L275" s="32" t="s">
        <v>675</v>
      </c>
      <c r="M275" s="31">
        <f>2591.5</f>
        <v>2591.5</v>
      </c>
      <c r="N275" s="32" t="s">
        <v>778</v>
      </c>
      <c r="O275" s="31">
        <f>2358.5</f>
        <v>2358.5</v>
      </c>
      <c r="P275" s="32" t="s">
        <v>675</v>
      </c>
      <c r="Q275" s="31">
        <f>2575.5</f>
        <v>2575.5</v>
      </c>
      <c r="R275" s="32" t="s">
        <v>681</v>
      </c>
      <c r="S275" s="33">
        <f>2518.97</f>
        <v>2518.9699999999998</v>
      </c>
      <c r="T275" s="30">
        <f>2737490</f>
        <v>2737490</v>
      </c>
      <c r="U275" s="30">
        <f>415600</f>
        <v>415600</v>
      </c>
      <c r="V275" s="30">
        <f>6870050460</f>
        <v>6870050460</v>
      </c>
      <c r="W275" s="30">
        <f>1047519800</f>
        <v>1047519800</v>
      </c>
      <c r="X275" s="34">
        <f>19</f>
        <v>19</v>
      </c>
    </row>
    <row r="276" spans="1:24" x14ac:dyDescent="0.15">
      <c r="A276" s="25" t="s">
        <v>1078</v>
      </c>
      <c r="B276" s="25" t="s">
        <v>614</v>
      </c>
      <c r="C276" s="25" t="s">
        <v>615</v>
      </c>
      <c r="D276" s="25" t="s">
        <v>616</v>
      </c>
      <c r="E276" s="26" t="s">
        <v>43</v>
      </c>
      <c r="F276" s="27" t="s">
        <v>43</v>
      </c>
      <c r="G276" s="28" t="s">
        <v>43</v>
      </c>
      <c r="H276" s="29"/>
      <c r="I276" s="29" t="s">
        <v>44</v>
      </c>
      <c r="J276" s="30">
        <v>1</v>
      </c>
      <c r="K276" s="31">
        <f>19345</f>
        <v>19345</v>
      </c>
      <c r="L276" s="32" t="s">
        <v>675</v>
      </c>
      <c r="M276" s="31">
        <f>20865</f>
        <v>20865</v>
      </c>
      <c r="N276" s="32" t="s">
        <v>777</v>
      </c>
      <c r="O276" s="31">
        <f>19300</f>
        <v>19300</v>
      </c>
      <c r="P276" s="32" t="s">
        <v>675</v>
      </c>
      <c r="Q276" s="31">
        <f>20815</f>
        <v>20815</v>
      </c>
      <c r="R276" s="32" t="s">
        <v>681</v>
      </c>
      <c r="S276" s="33">
        <f>20238.95</f>
        <v>20238.95</v>
      </c>
      <c r="T276" s="30">
        <f>1027099</f>
        <v>1027099</v>
      </c>
      <c r="U276" s="30">
        <f>57444</f>
        <v>57444</v>
      </c>
      <c r="V276" s="30">
        <f>20721292054</f>
        <v>20721292054</v>
      </c>
      <c r="W276" s="30">
        <f>1172429264</f>
        <v>1172429264</v>
      </c>
      <c r="X276" s="34">
        <f>19</f>
        <v>19</v>
      </c>
    </row>
    <row r="277" spans="1:24" x14ac:dyDescent="0.15">
      <c r="A277" s="25" t="s">
        <v>1078</v>
      </c>
      <c r="B277" s="25" t="s">
        <v>617</v>
      </c>
      <c r="C277" s="25" t="s">
        <v>618</v>
      </c>
      <c r="D277" s="25" t="s">
        <v>619</v>
      </c>
      <c r="E277" s="26" t="s">
        <v>43</v>
      </c>
      <c r="F277" s="27" t="s">
        <v>43</v>
      </c>
      <c r="G277" s="28" t="s">
        <v>43</v>
      </c>
      <c r="H277" s="29"/>
      <c r="I277" s="29" t="s">
        <v>44</v>
      </c>
      <c r="J277" s="30">
        <v>1</v>
      </c>
      <c r="K277" s="31">
        <f>17110</f>
        <v>17110</v>
      </c>
      <c r="L277" s="32" t="s">
        <v>675</v>
      </c>
      <c r="M277" s="31">
        <f>17910</f>
        <v>17910</v>
      </c>
      <c r="N277" s="32" t="s">
        <v>777</v>
      </c>
      <c r="O277" s="31">
        <f>16905</f>
        <v>16905</v>
      </c>
      <c r="P277" s="32" t="s">
        <v>675</v>
      </c>
      <c r="Q277" s="31">
        <f>17860</f>
        <v>17860</v>
      </c>
      <c r="R277" s="32" t="s">
        <v>681</v>
      </c>
      <c r="S277" s="33">
        <f>17478.42</f>
        <v>17478.419999999998</v>
      </c>
      <c r="T277" s="30">
        <f>402762</f>
        <v>402762</v>
      </c>
      <c r="U277" s="30">
        <f>1208</f>
        <v>1208</v>
      </c>
      <c r="V277" s="30">
        <f>7029246515</f>
        <v>7029246515</v>
      </c>
      <c r="W277" s="30">
        <f>21135955</f>
        <v>21135955</v>
      </c>
      <c r="X277" s="34">
        <f>19</f>
        <v>19</v>
      </c>
    </row>
    <row r="278" spans="1:24" x14ac:dyDescent="0.15">
      <c r="A278" s="25" t="s">
        <v>1078</v>
      </c>
      <c r="B278" s="25" t="s">
        <v>620</v>
      </c>
      <c r="C278" s="25" t="s">
        <v>621</v>
      </c>
      <c r="D278" s="25" t="s">
        <v>622</v>
      </c>
      <c r="E278" s="26" t="s">
        <v>43</v>
      </c>
      <c r="F278" s="27" t="s">
        <v>43</v>
      </c>
      <c r="G278" s="28" t="s">
        <v>43</v>
      </c>
      <c r="H278" s="29"/>
      <c r="I278" s="29" t="s">
        <v>44</v>
      </c>
      <c r="J278" s="30">
        <v>1</v>
      </c>
      <c r="K278" s="31">
        <f>31700</f>
        <v>31700</v>
      </c>
      <c r="L278" s="32" t="s">
        <v>674</v>
      </c>
      <c r="M278" s="31">
        <f>33840</f>
        <v>33840</v>
      </c>
      <c r="N278" s="32" t="s">
        <v>778</v>
      </c>
      <c r="O278" s="31">
        <f>31700</f>
        <v>31700</v>
      </c>
      <c r="P278" s="32" t="s">
        <v>674</v>
      </c>
      <c r="Q278" s="31">
        <f>33610</f>
        <v>33610</v>
      </c>
      <c r="R278" s="32" t="s">
        <v>883</v>
      </c>
      <c r="S278" s="33">
        <f>33058.89</f>
        <v>33058.89</v>
      </c>
      <c r="T278" s="30">
        <f>73</f>
        <v>73</v>
      </c>
      <c r="U278" s="30" t="str">
        <f>"－"</f>
        <v>－</v>
      </c>
      <c r="V278" s="30">
        <f>2367490</f>
        <v>2367490</v>
      </c>
      <c r="W278" s="30" t="str">
        <f>"－"</f>
        <v>－</v>
      </c>
      <c r="X278" s="34">
        <f>9</f>
        <v>9</v>
      </c>
    </row>
    <row r="279" spans="1:24" x14ac:dyDescent="0.15">
      <c r="A279" s="25" t="s">
        <v>1078</v>
      </c>
      <c r="B279" s="25" t="s">
        <v>623</v>
      </c>
      <c r="C279" s="25" t="s">
        <v>624</v>
      </c>
      <c r="D279" s="25" t="s">
        <v>625</v>
      </c>
      <c r="E279" s="26" t="s">
        <v>43</v>
      </c>
      <c r="F279" s="27" t="s">
        <v>43</v>
      </c>
      <c r="G279" s="28" t="s">
        <v>43</v>
      </c>
      <c r="H279" s="29"/>
      <c r="I279" s="29" t="s">
        <v>44</v>
      </c>
      <c r="J279" s="30">
        <v>1</v>
      </c>
      <c r="K279" s="31">
        <f>2458</f>
        <v>2458</v>
      </c>
      <c r="L279" s="32" t="s">
        <v>675</v>
      </c>
      <c r="M279" s="31">
        <f>2505</f>
        <v>2505</v>
      </c>
      <c r="N279" s="32" t="s">
        <v>876</v>
      </c>
      <c r="O279" s="31">
        <f>2426</f>
        <v>2426</v>
      </c>
      <c r="P279" s="32" t="s">
        <v>681</v>
      </c>
      <c r="Q279" s="31">
        <f>2432</f>
        <v>2432</v>
      </c>
      <c r="R279" s="32" t="s">
        <v>681</v>
      </c>
      <c r="S279" s="33">
        <f>2460.95</f>
        <v>2460.9499999999998</v>
      </c>
      <c r="T279" s="30">
        <f>3548836</f>
        <v>3548836</v>
      </c>
      <c r="U279" s="30">
        <f>3224347</f>
        <v>3224347</v>
      </c>
      <c r="V279" s="30">
        <f>8774618713</f>
        <v>8774618713</v>
      </c>
      <c r="W279" s="30">
        <f>7975792223</f>
        <v>7975792223</v>
      </c>
      <c r="X279" s="34">
        <f>19</f>
        <v>19</v>
      </c>
    </row>
    <row r="280" spans="1:24" x14ac:dyDescent="0.15">
      <c r="A280" s="25" t="s">
        <v>1078</v>
      </c>
      <c r="B280" s="25" t="s">
        <v>626</v>
      </c>
      <c r="C280" s="25" t="s">
        <v>627</v>
      </c>
      <c r="D280" s="25" t="s">
        <v>628</v>
      </c>
      <c r="E280" s="26" t="s">
        <v>43</v>
      </c>
      <c r="F280" s="27" t="s">
        <v>43</v>
      </c>
      <c r="G280" s="28" t="s">
        <v>43</v>
      </c>
      <c r="H280" s="29"/>
      <c r="I280" s="29" t="s">
        <v>44</v>
      </c>
      <c r="J280" s="30">
        <v>10</v>
      </c>
      <c r="K280" s="31">
        <f>2945.5</f>
        <v>2945.5</v>
      </c>
      <c r="L280" s="32" t="s">
        <v>675</v>
      </c>
      <c r="M280" s="31">
        <f>3014</f>
        <v>3014</v>
      </c>
      <c r="N280" s="32" t="s">
        <v>681</v>
      </c>
      <c r="O280" s="31">
        <f>2917</f>
        <v>2917</v>
      </c>
      <c r="P280" s="32" t="s">
        <v>678</v>
      </c>
      <c r="Q280" s="31">
        <f>3014</f>
        <v>3014</v>
      </c>
      <c r="R280" s="32" t="s">
        <v>681</v>
      </c>
      <c r="S280" s="33">
        <f>2958.68</f>
        <v>2958.68</v>
      </c>
      <c r="T280" s="30">
        <f>2077900</f>
        <v>2077900</v>
      </c>
      <c r="U280" s="30">
        <f>1037000</f>
        <v>1037000</v>
      </c>
      <c r="V280" s="30">
        <f>6138133160</f>
        <v>6138133160</v>
      </c>
      <c r="W280" s="30">
        <f>3063021660</f>
        <v>3063021660</v>
      </c>
      <c r="X280" s="34">
        <f>19</f>
        <v>19</v>
      </c>
    </row>
    <row r="281" spans="1:24" x14ac:dyDescent="0.15">
      <c r="A281" s="25" t="s">
        <v>1078</v>
      </c>
      <c r="B281" s="25" t="s">
        <v>629</v>
      </c>
      <c r="C281" s="25" t="s">
        <v>630</v>
      </c>
      <c r="D281" s="25" t="s">
        <v>631</v>
      </c>
      <c r="E281" s="26" t="s">
        <v>43</v>
      </c>
      <c r="F281" s="27" t="s">
        <v>43</v>
      </c>
      <c r="G281" s="28" t="s">
        <v>43</v>
      </c>
      <c r="H281" s="29"/>
      <c r="I281" s="29" t="s">
        <v>44</v>
      </c>
      <c r="J281" s="30">
        <v>10</v>
      </c>
      <c r="K281" s="31">
        <f>279.7</f>
        <v>279.7</v>
      </c>
      <c r="L281" s="32" t="s">
        <v>675</v>
      </c>
      <c r="M281" s="31">
        <f>292.6</f>
        <v>292.60000000000002</v>
      </c>
      <c r="N281" s="32" t="s">
        <v>777</v>
      </c>
      <c r="O281" s="31">
        <f>278.7</f>
        <v>278.7</v>
      </c>
      <c r="P281" s="32" t="s">
        <v>674</v>
      </c>
      <c r="Q281" s="31">
        <f>291</f>
        <v>291</v>
      </c>
      <c r="R281" s="32" t="s">
        <v>681</v>
      </c>
      <c r="S281" s="33">
        <f>285.37</f>
        <v>285.37</v>
      </c>
      <c r="T281" s="30">
        <f>46808280</f>
        <v>46808280</v>
      </c>
      <c r="U281" s="30">
        <f>17618650</f>
        <v>17618650</v>
      </c>
      <c r="V281" s="30">
        <f>13375456838</f>
        <v>13375456838</v>
      </c>
      <c r="W281" s="30">
        <f>5046816128</f>
        <v>5046816128</v>
      </c>
      <c r="X281" s="34">
        <f>19</f>
        <v>19</v>
      </c>
    </row>
    <row r="282" spans="1:24" x14ac:dyDescent="0.15">
      <c r="A282" s="25" t="s">
        <v>1078</v>
      </c>
      <c r="B282" s="25" t="s">
        <v>632</v>
      </c>
      <c r="C282" s="25" t="s">
        <v>633</v>
      </c>
      <c r="D282" s="25" t="s">
        <v>634</v>
      </c>
      <c r="E282" s="26" t="s">
        <v>43</v>
      </c>
      <c r="F282" s="27" t="s">
        <v>43</v>
      </c>
      <c r="G282" s="28" t="s">
        <v>43</v>
      </c>
      <c r="H282" s="29"/>
      <c r="I282" s="29" t="s">
        <v>44</v>
      </c>
      <c r="J282" s="30">
        <v>1</v>
      </c>
      <c r="K282" s="31">
        <f>2574</f>
        <v>2574</v>
      </c>
      <c r="L282" s="32" t="s">
        <v>675</v>
      </c>
      <c r="M282" s="31">
        <f>2819</f>
        <v>2819</v>
      </c>
      <c r="N282" s="32" t="s">
        <v>681</v>
      </c>
      <c r="O282" s="31">
        <f>2574</f>
        <v>2574</v>
      </c>
      <c r="P282" s="32" t="s">
        <v>675</v>
      </c>
      <c r="Q282" s="31">
        <f>2818</f>
        <v>2818</v>
      </c>
      <c r="R282" s="32" t="s">
        <v>681</v>
      </c>
      <c r="S282" s="33">
        <f>2749.79</f>
        <v>2749.79</v>
      </c>
      <c r="T282" s="30">
        <f>1137702</f>
        <v>1137702</v>
      </c>
      <c r="U282" s="30">
        <f>129186</f>
        <v>129186</v>
      </c>
      <c r="V282" s="30">
        <f>3107448469</f>
        <v>3107448469</v>
      </c>
      <c r="W282" s="30">
        <f>351139837</f>
        <v>351139837</v>
      </c>
      <c r="X282" s="34">
        <f>19</f>
        <v>19</v>
      </c>
    </row>
    <row r="283" spans="1:24" x14ac:dyDescent="0.15">
      <c r="A283" s="25" t="s">
        <v>1078</v>
      </c>
      <c r="B283" s="25" t="s">
        <v>635</v>
      </c>
      <c r="C283" s="25" t="s">
        <v>636</v>
      </c>
      <c r="D283" s="25" t="s">
        <v>637</v>
      </c>
      <c r="E283" s="26" t="s">
        <v>43</v>
      </c>
      <c r="F283" s="27" t="s">
        <v>43</v>
      </c>
      <c r="G283" s="28" t="s">
        <v>43</v>
      </c>
      <c r="H283" s="29"/>
      <c r="I283" s="29" t="s">
        <v>44</v>
      </c>
      <c r="J283" s="30">
        <v>1</v>
      </c>
      <c r="K283" s="31">
        <f>922</f>
        <v>922</v>
      </c>
      <c r="L283" s="32" t="s">
        <v>675</v>
      </c>
      <c r="M283" s="31">
        <f>947</f>
        <v>947</v>
      </c>
      <c r="N283" s="32" t="s">
        <v>760</v>
      </c>
      <c r="O283" s="31">
        <f>904</f>
        <v>904</v>
      </c>
      <c r="P283" s="32" t="s">
        <v>681</v>
      </c>
      <c r="Q283" s="31">
        <f>908</f>
        <v>908</v>
      </c>
      <c r="R283" s="32" t="s">
        <v>681</v>
      </c>
      <c r="S283" s="33">
        <f>926.53</f>
        <v>926.53</v>
      </c>
      <c r="T283" s="30">
        <f>975541</f>
        <v>975541</v>
      </c>
      <c r="U283" s="30">
        <f>200900</f>
        <v>200900</v>
      </c>
      <c r="V283" s="30">
        <f>901830506</f>
        <v>901830506</v>
      </c>
      <c r="W283" s="30">
        <f>184509246</f>
        <v>184509246</v>
      </c>
      <c r="X283" s="34">
        <f>19</f>
        <v>19</v>
      </c>
    </row>
    <row r="284" spans="1:24" x14ac:dyDescent="0.15">
      <c r="A284" s="25" t="s">
        <v>1078</v>
      </c>
      <c r="B284" s="25" t="s">
        <v>638</v>
      </c>
      <c r="C284" s="25" t="s">
        <v>639</v>
      </c>
      <c r="D284" s="25" t="s">
        <v>640</v>
      </c>
      <c r="E284" s="26" t="s">
        <v>43</v>
      </c>
      <c r="F284" s="27" t="s">
        <v>43</v>
      </c>
      <c r="G284" s="28" t="s">
        <v>43</v>
      </c>
      <c r="H284" s="29"/>
      <c r="I284" s="29" t="s">
        <v>44</v>
      </c>
      <c r="J284" s="30">
        <v>10</v>
      </c>
      <c r="K284" s="31">
        <f>1018.5</f>
        <v>1018.5</v>
      </c>
      <c r="L284" s="32" t="s">
        <v>675</v>
      </c>
      <c r="M284" s="31">
        <f>1059.5</f>
        <v>1059.5</v>
      </c>
      <c r="N284" s="32" t="s">
        <v>875</v>
      </c>
      <c r="O284" s="31">
        <f>1006.5</f>
        <v>1006.5</v>
      </c>
      <c r="P284" s="32" t="s">
        <v>675</v>
      </c>
      <c r="Q284" s="31">
        <f>1013.5</f>
        <v>1013.5</v>
      </c>
      <c r="R284" s="32" t="s">
        <v>681</v>
      </c>
      <c r="S284" s="33">
        <f>1021.58</f>
        <v>1021.58</v>
      </c>
      <c r="T284" s="30">
        <f>95880</f>
        <v>95880</v>
      </c>
      <c r="U284" s="30">
        <f>68950</f>
        <v>68950</v>
      </c>
      <c r="V284" s="30">
        <f>97923356</f>
        <v>97923356</v>
      </c>
      <c r="W284" s="30">
        <f>70457991</f>
        <v>70457991</v>
      </c>
      <c r="X284" s="34">
        <f>19</f>
        <v>19</v>
      </c>
    </row>
    <row r="285" spans="1:24" x14ac:dyDescent="0.15">
      <c r="A285" s="25" t="s">
        <v>1078</v>
      </c>
      <c r="B285" s="25" t="s">
        <v>641</v>
      </c>
      <c r="C285" s="25" t="s">
        <v>642</v>
      </c>
      <c r="D285" s="25" t="s">
        <v>643</v>
      </c>
      <c r="E285" s="26" t="s">
        <v>43</v>
      </c>
      <c r="F285" s="27" t="s">
        <v>43</v>
      </c>
      <c r="G285" s="28" t="s">
        <v>43</v>
      </c>
      <c r="H285" s="29"/>
      <c r="I285" s="29" t="s">
        <v>44</v>
      </c>
      <c r="J285" s="30">
        <v>10</v>
      </c>
      <c r="K285" s="31">
        <f>314.9</f>
        <v>314.89999999999998</v>
      </c>
      <c r="L285" s="32" t="s">
        <v>675</v>
      </c>
      <c r="M285" s="31">
        <f>358.8</f>
        <v>358.8</v>
      </c>
      <c r="N285" s="32" t="s">
        <v>680</v>
      </c>
      <c r="O285" s="31">
        <f>314.9</f>
        <v>314.89999999999998</v>
      </c>
      <c r="P285" s="32" t="s">
        <v>675</v>
      </c>
      <c r="Q285" s="31">
        <f>342.7</f>
        <v>342.7</v>
      </c>
      <c r="R285" s="32" t="s">
        <v>883</v>
      </c>
      <c r="S285" s="33">
        <f>334.84</f>
        <v>334.84</v>
      </c>
      <c r="T285" s="30">
        <f>14460</f>
        <v>14460</v>
      </c>
      <c r="U285" s="30" t="str">
        <f>"－"</f>
        <v>－</v>
      </c>
      <c r="V285" s="30">
        <f>4888779</f>
        <v>4888779</v>
      </c>
      <c r="W285" s="30" t="str">
        <f>"－"</f>
        <v>－</v>
      </c>
      <c r="X285" s="34">
        <f>16</f>
        <v>16</v>
      </c>
    </row>
    <row r="286" spans="1:24" x14ac:dyDescent="0.15">
      <c r="A286" s="25" t="s">
        <v>1078</v>
      </c>
      <c r="B286" s="25" t="s">
        <v>644</v>
      </c>
      <c r="C286" s="25" t="s">
        <v>645</v>
      </c>
      <c r="D286" s="25" t="s">
        <v>646</v>
      </c>
      <c r="E286" s="26" t="s">
        <v>43</v>
      </c>
      <c r="F286" s="27" t="s">
        <v>43</v>
      </c>
      <c r="G286" s="28" t="s">
        <v>43</v>
      </c>
      <c r="H286" s="29"/>
      <c r="I286" s="29" t="s">
        <v>44</v>
      </c>
      <c r="J286" s="30">
        <v>10</v>
      </c>
      <c r="K286" s="31">
        <f>4024</f>
        <v>4024</v>
      </c>
      <c r="L286" s="32" t="s">
        <v>675</v>
      </c>
      <c r="M286" s="31">
        <f>4461</f>
        <v>4461</v>
      </c>
      <c r="N286" s="32" t="s">
        <v>777</v>
      </c>
      <c r="O286" s="31">
        <f>4019</f>
        <v>4019</v>
      </c>
      <c r="P286" s="32" t="s">
        <v>675</v>
      </c>
      <c r="Q286" s="31">
        <f>4400</f>
        <v>4400</v>
      </c>
      <c r="R286" s="32" t="s">
        <v>681</v>
      </c>
      <c r="S286" s="33">
        <f>4286.11</f>
        <v>4286.1099999999997</v>
      </c>
      <c r="T286" s="30">
        <f>2206100</f>
        <v>2206100</v>
      </c>
      <c r="U286" s="30">
        <f>300</f>
        <v>300</v>
      </c>
      <c r="V286" s="30">
        <f>9455403950</f>
        <v>9455403950</v>
      </c>
      <c r="W286" s="30">
        <f>1248860</f>
        <v>1248860</v>
      </c>
      <c r="X286" s="34">
        <f>19</f>
        <v>19</v>
      </c>
    </row>
    <row r="287" spans="1:24" x14ac:dyDescent="0.15">
      <c r="A287" s="25" t="s">
        <v>1078</v>
      </c>
      <c r="B287" s="25" t="s">
        <v>647</v>
      </c>
      <c r="C287" s="25" t="s">
        <v>648</v>
      </c>
      <c r="D287" s="25" t="s">
        <v>649</v>
      </c>
      <c r="E287" s="26" t="s">
        <v>43</v>
      </c>
      <c r="F287" s="27" t="s">
        <v>43</v>
      </c>
      <c r="G287" s="28" t="s">
        <v>43</v>
      </c>
      <c r="H287" s="29"/>
      <c r="I287" s="29" t="s">
        <v>44</v>
      </c>
      <c r="J287" s="30">
        <v>10</v>
      </c>
      <c r="K287" s="31">
        <f>2654</f>
        <v>2654</v>
      </c>
      <c r="L287" s="32" t="s">
        <v>675</v>
      </c>
      <c r="M287" s="31">
        <f>2859.5</f>
        <v>2859.5</v>
      </c>
      <c r="N287" s="32" t="s">
        <v>777</v>
      </c>
      <c r="O287" s="31">
        <f>2643</f>
        <v>2643</v>
      </c>
      <c r="P287" s="32" t="s">
        <v>674</v>
      </c>
      <c r="Q287" s="31">
        <f>2812</f>
        <v>2812</v>
      </c>
      <c r="R287" s="32" t="s">
        <v>681</v>
      </c>
      <c r="S287" s="33">
        <f>2762.13</f>
        <v>2762.13</v>
      </c>
      <c r="T287" s="30">
        <f>2392150</f>
        <v>2392150</v>
      </c>
      <c r="U287" s="30">
        <f>35010</f>
        <v>35010</v>
      </c>
      <c r="V287" s="30">
        <f>6596326545</f>
        <v>6596326545</v>
      </c>
      <c r="W287" s="30">
        <f>100046565</f>
        <v>100046565</v>
      </c>
      <c r="X287" s="34">
        <f>19</f>
        <v>19</v>
      </c>
    </row>
    <row r="288" spans="1:24" x14ac:dyDescent="0.15">
      <c r="A288" s="25" t="s">
        <v>1078</v>
      </c>
      <c r="B288" s="25" t="s">
        <v>650</v>
      </c>
      <c r="C288" s="25" t="s">
        <v>651</v>
      </c>
      <c r="D288" s="25" t="s">
        <v>652</v>
      </c>
      <c r="E288" s="26" t="s">
        <v>43</v>
      </c>
      <c r="F288" s="27" t="s">
        <v>43</v>
      </c>
      <c r="G288" s="28" t="s">
        <v>43</v>
      </c>
      <c r="H288" s="29"/>
      <c r="I288" s="29" t="s">
        <v>44</v>
      </c>
      <c r="J288" s="30">
        <v>10</v>
      </c>
      <c r="K288" s="31">
        <f>322.5</f>
        <v>322.5</v>
      </c>
      <c r="L288" s="32" t="s">
        <v>675</v>
      </c>
      <c r="M288" s="31">
        <f>335</f>
        <v>335</v>
      </c>
      <c r="N288" s="32" t="s">
        <v>680</v>
      </c>
      <c r="O288" s="31">
        <f>322.5</f>
        <v>322.5</v>
      </c>
      <c r="P288" s="32" t="s">
        <v>675</v>
      </c>
      <c r="Q288" s="31">
        <f>333.6</f>
        <v>333.6</v>
      </c>
      <c r="R288" s="32" t="s">
        <v>681</v>
      </c>
      <c r="S288" s="33">
        <f>331.06</f>
        <v>331.06</v>
      </c>
      <c r="T288" s="30">
        <f>45766790</f>
        <v>45766790</v>
      </c>
      <c r="U288" s="30">
        <f>32995990</f>
        <v>32995990</v>
      </c>
      <c r="V288" s="30">
        <f>15058792501</f>
        <v>15058792501</v>
      </c>
      <c r="W288" s="30">
        <f>10839674155</f>
        <v>10839674155</v>
      </c>
      <c r="X288" s="34">
        <f>19</f>
        <v>19</v>
      </c>
    </row>
    <row r="289" spans="1:24" x14ac:dyDescent="0.15">
      <c r="A289" s="25" t="s">
        <v>1078</v>
      </c>
      <c r="B289" s="25" t="s">
        <v>653</v>
      </c>
      <c r="C289" s="25" t="s">
        <v>654</v>
      </c>
      <c r="D289" s="25" t="s">
        <v>655</v>
      </c>
      <c r="E289" s="26" t="s">
        <v>43</v>
      </c>
      <c r="F289" s="27" t="s">
        <v>43</v>
      </c>
      <c r="G289" s="28" t="s">
        <v>43</v>
      </c>
      <c r="H289" s="29"/>
      <c r="I289" s="29" t="s">
        <v>44</v>
      </c>
      <c r="J289" s="30">
        <v>1</v>
      </c>
      <c r="K289" s="31">
        <f>1355</f>
        <v>1355</v>
      </c>
      <c r="L289" s="32" t="s">
        <v>675</v>
      </c>
      <c r="M289" s="31">
        <f>1358</f>
        <v>1358</v>
      </c>
      <c r="N289" s="32" t="s">
        <v>675</v>
      </c>
      <c r="O289" s="31">
        <f>1261</f>
        <v>1261</v>
      </c>
      <c r="P289" s="32" t="s">
        <v>679</v>
      </c>
      <c r="Q289" s="31">
        <f>1303</f>
        <v>1303</v>
      </c>
      <c r="R289" s="32" t="s">
        <v>681</v>
      </c>
      <c r="S289" s="33">
        <f>1299.53</f>
        <v>1299.53</v>
      </c>
      <c r="T289" s="30">
        <f>31568685</f>
        <v>31568685</v>
      </c>
      <c r="U289" s="30">
        <f>5566</f>
        <v>5566</v>
      </c>
      <c r="V289" s="30">
        <f>41092714049</f>
        <v>41092714049</v>
      </c>
      <c r="W289" s="30">
        <f>7335135</f>
        <v>7335135</v>
      </c>
      <c r="X289" s="34">
        <f>19</f>
        <v>19</v>
      </c>
    </row>
    <row r="290" spans="1:24" x14ac:dyDescent="0.15">
      <c r="A290" s="25" t="s">
        <v>1078</v>
      </c>
      <c r="B290" s="25" t="s">
        <v>656</v>
      </c>
      <c r="C290" s="25" t="s">
        <v>657</v>
      </c>
      <c r="D290" s="25" t="s">
        <v>658</v>
      </c>
      <c r="E290" s="26" t="s">
        <v>43</v>
      </c>
      <c r="F290" s="27" t="s">
        <v>43</v>
      </c>
      <c r="G290" s="28" t="s">
        <v>43</v>
      </c>
      <c r="H290" s="29"/>
      <c r="I290" s="29" t="s">
        <v>44</v>
      </c>
      <c r="J290" s="30">
        <v>1</v>
      </c>
      <c r="K290" s="31">
        <f>1820</f>
        <v>1820</v>
      </c>
      <c r="L290" s="32" t="s">
        <v>675</v>
      </c>
      <c r="M290" s="31">
        <f>1820</f>
        <v>1820</v>
      </c>
      <c r="N290" s="32" t="s">
        <v>675</v>
      </c>
      <c r="O290" s="31">
        <f>1748</f>
        <v>1748</v>
      </c>
      <c r="P290" s="32" t="s">
        <v>759</v>
      </c>
      <c r="Q290" s="31">
        <f>1775</f>
        <v>1775</v>
      </c>
      <c r="R290" s="32" t="s">
        <v>681</v>
      </c>
      <c r="S290" s="33">
        <f>1769.74</f>
        <v>1769.74</v>
      </c>
      <c r="T290" s="30">
        <f>85705</f>
        <v>85705</v>
      </c>
      <c r="U290" s="30">
        <f>4</f>
        <v>4</v>
      </c>
      <c r="V290" s="30">
        <f>152262946</f>
        <v>152262946</v>
      </c>
      <c r="W290" s="30">
        <f>7133</f>
        <v>7133</v>
      </c>
      <c r="X290" s="34">
        <f>19</f>
        <v>19</v>
      </c>
    </row>
    <row r="291" spans="1:24" x14ac:dyDescent="0.15">
      <c r="A291" s="25" t="s">
        <v>1078</v>
      </c>
      <c r="B291" s="25" t="s">
        <v>659</v>
      </c>
      <c r="C291" s="25" t="s">
        <v>660</v>
      </c>
      <c r="D291" s="25" t="s">
        <v>661</v>
      </c>
      <c r="E291" s="26" t="s">
        <v>43</v>
      </c>
      <c r="F291" s="27" t="s">
        <v>43</v>
      </c>
      <c r="G291" s="28" t="s">
        <v>43</v>
      </c>
      <c r="H291" s="29"/>
      <c r="I291" s="29" t="s">
        <v>44</v>
      </c>
      <c r="J291" s="30">
        <v>1</v>
      </c>
      <c r="K291" s="31">
        <f>2136</f>
        <v>2136</v>
      </c>
      <c r="L291" s="32" t="s">
        <v>675</v>
      </c>
      <c r="M291" s="31">
        <f>2140</f>
        <v>2140</v>
      </c>
      <c r="N291" s="32" t="s">
        <v>675</v>
      </c>
      <c r="O291" s="31">
        <f>2107</f>
        <v>2107</v>
      </c>
      <c r="P291" s="32" t="s">
        <v>678</v>
      </c>
      <c r="Q291" s="31">
        <f>2129</f>
        <v>2129</v>
      </c>
      <c r="R291" s="32" t="s">
        <v>681</v>
      </c>
      <c r="S291" s="33">
        <f>2122.33</f>
        <v>2122.33</v>
      </c>
      <c r="T291" s="30">
        <f>1570268</f>
        <v>1570268</v>
      </c>
      <c r="U291" s="30">
        <f>1565000</f>
        <v>1565000</v>
      </c>
      <c r="V291" s="30">
        <f>3333118356</f>
        <v>3333118356</v>
      </c>
      <c r="W291" s="30">
        <f>3321937400</f>
        <v>3321937400</v>
      </c>
      <c r="X291" s="34">
        <f>18</f>
        <v>18</v>
      </c>
    </row>
    <row r="292" spans="1:24" x14ac:dyDescent="0.15">
      <c r="A292" s="25" t="s">
        <v>1078</v>
      </c>
      <c r="B292" s="25" t="s">
        <v>662</v>
      </c>
      <c r="C292" s="25" t="s">
        <v>663</v>
      </c>
      <c r="D292" s="25" t="s">
        <v>948</v>
      </c>
      <c r="E292" s="26" t="s">
        <v>43</v>
      </c>
      <c r="F292" s="27" t="s">
        <v>43</v>
      </c>
      <c r="G292" s="28" t="s">
        <v>43</v>
      </c>
      <c r="H292" s="29"/>
      <c r="I292" s="29" t="s">
        <v>44</v>
      </c>
      <c r="J292" s="30">
        <v>1</v>
      </c>
      <c r="K292" s="31">
        <f>3320</f>
        <v>3320</v>
      </c>
      <c r="L292" s="32" t="s">
        <v>675</v>
      </c>
      <c r="M292" s="31">
        <f>3715</f>
        <v>3715</v>
      </c>
      <c r="N292" s="32" t="s">
        <v>778</v>
      </c>
      <c r="O292" s="31">
        <f>3280</f>
        <v>3280</v>
      </c>
      <c r="P292" s="32" t="s">
        <v>675</v>
      </c>
      <c r="Q292" s="31">
        <f>3640</f>
        <v>3640</v>
      </c>
      <c r="R292" s="32" t="s">
        <v>681</v>
      </c>
      <c r="S292" s="33">
        <f>3558.68</f>
        <v>3558.68</v>
      </c>
      <c r="T292" s="30">
        <f>875655</f>
        <v>875655</v>
      </c>
      <c r="U292" s="30">
        <f>482070</f>
        <v>482070</v>
      </c>
      <c r="V292" s="30">
        <f>3107016358</f>
        <v>3107016358</v>
      </c>
      <c r="W292" s="30">
        <f>1736807738</f>
        <v>1736807738</v>
      </c>
      <c r="X292" s="34">
        <f>19</f>
        <v>19</v>
      </c>
    </row>
    <row r="293" spans="1:24" x14ac:dyDescent="0.15">
      <c r="A293" s="25" t="s">
        <v>1078</v>
      </c>
      <c r="B293" s="25" t="s">
        <v>664</v>
      </c>
      <c r="C293" s="25" t="s">
        <v>665</v>
      </c>
      <c r="D293" s="25" t="s">
        <v>949</v>
      </c>
      <c r="E293" s="26" t="s">
        <v>43</v>
      </c>
      <c r="F293" s="27" t="s">
        <v>43</v>
      </c>
      <c r="G293" s="28" t="s">
        <v>43</v>
      </c>
      <c r="H293" s="29"/>
      <c r="I293" s="29" t="s">
        <v>44</v>
      </c>
      <c r="J293" s="30">
        <v>1</v>
      </c>
      <c r="K293" s="31">
        <f>2363</f>
        <v>2363</v>
      </c>
      <c r="L293" s="32" t="s">
        <v>675</v>
      </c>
      <c r="M293" s="31">
        <f>2567</f>
        <v>2567</v>
      </c>
      <c r="N293" s="32" t="s">
        <v>778</v>
      </c>
      <c r="O293" s="31">
        <f>2342</f>
        <v>2342</v>
      </c>
      <c r="P293" s="32" t="s">
        <v>675</v>
      </c>
      <c r="Q293" s="31">
        <f>2554</f>
        <v>2554</v>
      </c>
      <c r="R293" s="32" t="s">
        <v>681</v>
      </c>
      <c r="S293" s="33">
        <f>2498</f>
        <v>2498</v>
      </c>
      <c r="T293" s="30">
        <f>2252235</f>
        <v>2252235</v>
      </c>
      <c r="U293" s="30">
        <f>1303000</f>
        <v>1303000</v>
      </c>
      <c r="V293" s="30">
        <f>5556988413</f>
        <v>5556988413</v>
      </c>
      <c r="W293" s="30">
        <f>3221769375</f>
        <v>3221769375</v>
      </c>
      <c r="X293" s="34">
        <f>19</f>
        <v>19</v>
      </c>
    </row>
    <row r="294" spans="1:24" x14ac:dyDescent="0.15">
      <c r="A294" s="25" t="s">
        <v>1078</v>
      </c>
      <c r="B294" s="25" t="s">
        <v>666</v>
      </c>
      <c r="C294" s="25" t="s">
        <v>667</v>
      </c>
      <c r="D294" s="25" t="s">
        <v>668</v>
      </c>
      <c r="E294" s="26" t="s">
        <v>43</v>
      </c>
      <c r="F294" s="27" t="s">
        <v>43</v>
      </c>
      <c r="G294" s="28" t="s">
        <v>43</v>
      </c>
      <c r="H294" s="29"/>
      <c r="I294" s="29" t="s">
        <v>44</v>
      </c>
      <c r="J294" s="30">
        <v>1</v>
      </c>
      <c r="K294" s="31">
        <f>2032</f>
        <v>2032</v>
      </c>
      <c r="L294" s="32" t="s">
        <v>675</v>
      </c>
      <c r="M294" s="31">
        <f>2199</f>
        <v>2199</v>
      </c>
      <c r="N294" s="32" t="s">
        <v>760</v>
      </c>
      <c r="O294" s="31">
        <f>2020</f>
        <v>2020</v>
      </c>
      <c r="P294" s="32" t="s">
        <v>675</v>
      </c>
      <c r="Q294" s="31">
        <f>2169</f>
        <v>2169</v>
      </c>
      <c r="R294" s="32" t="s">
        <v>681</v>
      </c>
      <c r="S294" s="33">
        <f>2149.89</f>
        <v>2149.89</v>
      </c>
      <c r="T294" s="30">
        <f>65677</f>
        <v>65677</v>
      </c>
      <c r="U294" s="30">
        <f>1</f>
        <v>1</v>
      </c>
      <c r="V294" s="30">
        <f>141669968</f>
        <v>141669968</v>
      </c>
      <c r="W294" s="30">
        <f>2164</f>
        <v>2164</v>
      </c>
      <c r="X294" s="34">
        <f>19</f>
        <v>19</v>
      </c>
    </row>
    <row r="295" spans="1:24" x14ac:dyDescent="0.15">
      <c r="A295" s="25" t="s">
        <v>1078</v>
      </c>
      <c r="B295" s="25" t="s">
        <v>669</v>
      </c>
      <c r="C295" s="25" t="s">
        <v>670</v>
      </c>
      <c r="D295" s="25" t="s">
        <v>671</v>
      </c>
      <c r="E295" s="26" t="s">
        <v>43</v>
      </c>
      <c r="F295" s="27" t="s">
        <v>43</v>
      </c>
      <c r="G295" s="28" t="s">
        <v>43</v>
      </c>
      <c r="H295" s="29"/>
      <c r="I295" s="29" t="s">
        <v>44</v>
      </c>
      <c r="J295" s="30">
        <v>1</v>
      </c>
      <c r="K295" s="31">
        <f>1303</f>
        <v>1303</v>
      </c>
      <c r="L295" s="32" t="s">
        <v>675</v>
      </c>
      <c r="M295" s="31">
        <f>1346</f>
        <v>1346</v>
      </c>
      <c r="N295" s="32" t="s">
        <v>759</v>
      </c>
      <c r="O295" s="31">
        <f>1267</f>
        <v>1267</v>
      </c>
      <c r="P295" s="32" t="s">
        <v>681</v>
      </c>
      <c r="Q295" s="31">
        <f>1267</f>
        <v>1267</v>
      </c>
      <c r="R295" s="32" t="s">
        <v>681</v>
      </c>
      <c r="S295" s="33">
        <f>1302.68</f>
        <v>1302.68</v>
      </c>
      <c r="T295" s="30">
        <f>20851</f>
        <v>20851</v>
      </c>
      <c r="U295" s="30" t="str">
        <f>"－"</f>
        <v>－</v>
      </c>
      <c r="V295" s="30">
        <f>27203772</f>
        <v>27203772</v>
      </c>
      <c r="W295" s="30" t="str">
        <f>"－"</f>
        <v>－</v>
      </c>
      <c r="X295" s="34">
        <f>19</f>
        <v>19</v>
      </c>
    </row>
    <row r="296" spans="1:24" x14ac:dyDescent="0.15">
      <c r="A296" s="25" t="s">
        <v>1078</v>
      </c>
      <c r="B296" s="25" t="s">
        <v>687</v>
      </c>
      <c r="C296" s="25" t="s">
        <v>688</v>
      </c>
      <c r="D296" s="25" t="s">
        <v>689</v>
      </c>
      <c r="E296" s="26" t="s">
        <v>43</v>
      </c>
      <c r="F296" s="27" t="s">
        <v>43</v>
      </c>
      <c r="G296" s="28" t="s">
        <v>43</v>
      </c>
      <c r="H296" s="29"/>
      <c r="I296" s="29" t="s">
        <v>44</v>
      </c>
      <c r="J296" s="30">
        <v>1</v>
      </c>
      <c r="K296" s="31">
        <f>1725</f>
        <v>1725</v>
      </c>
      <c r="L296" s="32" t="s">
        <v>675</v>
      </c>
      <c r="M296" s="31">
        <f>1725</f>
        <v>1725</v>
      </c>
      <c r="N296" s="32" t="s">
        <v>675</v>
      </c>
      <c r="O296" s="31">
        <f>1460</f>
        <v>1460</v>
      </c>
      <c r="P296" s="32" t="s">
        <v>681</v>
      </c>
      <c r="Q296" s="31">
        <f>1490</f>
        <v>1490</v>
      </c>
      <c r="R296" s="32" t="s">
        <v>681</v>
      </c>
      <c r="S296" s="33">
        <f>1596.32</f>
        <v>1596.32</v>
      </c>
      <c r="T296" s="30">
        <f>72696</f>
        <v>72696</v>
      </c>
      <c r="U296" s="30" t="str">
        <f>"－"</f>
        <v>－</v>
      </c>
      <c r="V296" s="30">
        <f>114201672</f>
        <v>114201672</v>
      </c>
      <c r="W296" s="30" t="str">
        <f>"－"</f>
        <v>－</v>
      </c>
      <c r="X296" s="34">
        <f>19</f>
        <v>19</v>
      </c>
    </row>
    <row r="297" spans="1:24" x14ac:dyDescent="0.15">
      <c r="A297" s="25" t="s">
        <v>1078</v>
      </c>
      <c r="B297" s="25" t="s">
        <v>690</v>
      </c>
      <c r="C297" s="25" t="s">
        <v>691</v>
      </c>
      <c r="D297" s="25" t="s">
        <v>692</v>
      </c>
      <c r="E297" s="26" t="s">
        <v>43</v>
      </c>
      <c r="F297" s="27" t="s">
        <v>43</v>
      </c>
      <c r="G297" s="28" t="s">
        <v>43</v>
      </c>
      <c r="H297" s="29"/>
      <c r="I297" s="29" t="s">
        <v>44</v>
      </c>
      <c r="J297" s="30">
        <v>1</v>
      </c>
      <c r="K297" s="31">
        <f>2191</f>
        <v>2191</v>
      </c>
      <c r="L297" s="32" t="s">
        <v>675</v>
      </c>
      <c r="M297" s="31">
        <f>2240</f>
        <v>2240</v>
      </c>
      <c r="N297" s="32" t="s">
        <v>679</v>
      </c>
      <c r="O297" s="31">
        <f>2082</f>
        <v>2082</v>
      </c>
      <c r="P297" s="32" t="s">
        <v>778</v>
      </c>
      <c r="Q297" s="31">
        <f>2100</f>
        <v>2100</v>
      </c>
      <c r="R297" s="32" t="s">
        <v>681</v>
      </c>
      <c r="S297" s="33">
        <f>2141.63</f>
        <v>2141.63</v>
      </c>
      <c r="T297" s="30">
        <f>10812</f>
        <v>10812</v>
      </c>
      <c r="U297" s="30" t="str">
        <f>"－"</f>
        <v>－</v>
      </c>
      <c r="V297" s="30">
        <f>23181715</f>
        <v>23181715</v>
      </c>
      <c r="W297" s="30" t="str">
        <f>"－"</f>
        <v>－</v>
      </c>
      <c r="X297" s="34">
        <f>19</f>
        <v>19</v>
      </c>
    </row>
    <row r="298" spans="1:24" x14ac:dyDescent="0.15">
      <c r="A298" s="25" t="s">
        <v>1078</v>
      </c>
      <c r="B298" s="25" t="s">
        <v>693</v>
      </c>
      <c r="C298" s="25" t="s">
        <v>694</v>
      </c>
      <c r="D298" s="25" t="s">
        <v>695</v>
      </c>
      <c r="E298" s="26" t="s">
        <v>43</v>
      </c>
      <c r="F298" s="27" t="s">
        <v>43</v>
      </c>
      <c r="G298" s="28" t="s">
        <v>43</v>
      </c>
      <c r="H298" s="29"/>
      <c r="I298" s="29" t="s">
        <v>44</v>
      </c>
      <c r="J298" s="30">
        <v>1</v>
      </c>
      <c r="K298" s="31">
        <f>11035</f>
        <v>11035</v>
      </c>
      <c r="L298" s="32" t="s">
        <v>675</v>
      </c>
      <c r="M298" s="31">
        <f>11540</f>
        <v>11540</v>
      </c>
      <c r="N298" s="32" t="s">
        <v>777</v>
      </c>
      <c r="O298" s="31">
        <f>10990</f>
        <v>10990</v>
      </c>
      <c r="P298" s="32" t="s">
        <v>674</v>
      </c>
      <c r="Q298" s="31">
        <f>11485</f>
        <v>11485</v>
      </c>
      <c r="R298" s="32" t="s">
        <v>681</v>
      </c>
      <c r="S298" s="33">
        <f>11261.58</f>
        <v>11261.58</v>
      </c>
      <c r="T298" s="30">
        <f>560538</f>
        <v>560538</v>
      </c>
      <c r="U298" s="30">
        <f>268100</f>
        <v>268100</v>
      </c>
      <c r="V298" s="30">
        <f>6350976267</f>
        <v>6350976267</v>
      </c>
      <c r="W298" s="30">
        <f>3051988057</f>
        <v>3051988057</v>
      </c>
      <c r="X298" s="34">
        <f>19</f>
        <v>19</v>
      </c>
    </row>
    <row r="299" spans="1:24" x14ac:dyDescent="0.15">
      <c r="A299" s="25" t="s">
        <v>1078</v>
      </c>
      <c r="B299" s="25" t="s">
        <v>696</v>
      </c>
      <c r="C299" s="25" t="s">
        <v>697</v>
      </c>
      <c r="D299" s="25" t="s">
        <v>698</v>
      </c>
      <c r="E299" s="26" t="s">
        <v>43</v>
      </c>
      <c r="F299" s="27" t="s">
        <v>43</v>
      </c>
      <c r="G299" s="28" t="s">
        <v>43</v>
      </c>
      <c r="H299" s="29"/>
      <c r="I299" s="29" t="s">
        <v>44</v>
      </c>
      <c r="J299" s="30">
        <v>1</v>
      </c>
      <c r="K299" s="31">
        <f>16820</f>
        <v>16820</v>
      </c>
      <c r="L299" s="32" t="s">
        <v>675</v>
      </c>
      <c r="M299" s="31">
        <f>18640</f>
        <v>18640</v>
      </c>
      <c r="N299" s="32" t="s">
        <v>777</v>
      </c>
      <c r="O299" s="31">
        <f>16790</f>
        <v>16790</v>
      </c>
      <c r="P299" s="32" t="s">
        <v>675</v>
      </c>
      <c r="Q299" s="31">
        <f>18385</f>
        <v>18385</v>
      </c>
      <c r="R299" s="32" t="s">
        <v>681</v>
      </c>
      <c r="S299" s="33">
        <f>17906.05</f>
        <v>17906.05</v>
      </c>
      <c r="T299" s="30">
        <f>663111</f>
        <v>663111</v>
      </c>
      <c r="U299" s="30">
        <f>15896</f>
        <v>15896</v>
      </c>
      <c r="V299" s="30">
        <f>11856392635</f>
        <v>11856392635</v>
      </c>
      <c r="W299" s="30">
        <f>293928555</f>
        <v>293928555</v>
      </c>
      <c r="X299" s="34">
        <f>19</f>
        <v>19</v>
      </c>
    </row>
    <row r="300" spans="1:24" x14ac:dyDescent="0.15">
      <c r="A300" s="25" t="s">
        <v>1078</v>
      </c>
      <c r="B300" s="25" t="s">
        <v>699</v>
      </c>
      <c r="C300" s="25" t="s">
        <v>700</v>
      </c>
      <c r="D300" s="25" t="s">
        <v>701</v>
      </c>
      <c r="E300" s="26" t="s">
        <v>43</v>
      </c>
      <c r="F300" s="27" t="s">
        <v>43</v>
      </c>
      <c r="G300" s="28" t="s">
        <v>43</v>
      </c>
      <c r="H300" s="29"/>
      <c r="I300" s="29" t="s">
        <v>44</v>
      </c>
      <c r="J300" s="30">
        <v>1</v>
      </c>
      <c r="K300" s="31">
        <f>11145</f>
        <v>11145</v>
      </c>
      <c r="L300" s="32" t="s">
        <v>675</v>
      </c>
      <c r="M300" s="31">
        <f>11985</f>
        <v>11985</v>
      </c>
      <c r="N300" s="32" t="s">
        <v>777</v>
      </c>
      <c r="O300" s="31">
        <f>11080</f>
        <v>11080</v>
      </c>
      <c r="P300" s="32" t="s">
        <v>674</v>
      </c>
      <c r="Q300" s="31">
        <f>11790</f>
        <v>11790</v>
      </c>
      <c r="R300" s="32" t="s">
        <v>681</v>
      </c>
      <c r="S300" s="33">
        <f>11577.37</f>
        <v>11577.37</v>
      </c>
      <c r="T300" s="30">
        <f>550826</f>
        <v>550826</v>
      </c>
      <c r="U300" s="30">
        <f>91671</f>
        <v>91671</v>
      </c>
      <c r="V300" s="30">
        <f>6401177197</f>
        <v>6401177197</v>
      </c>
      <c r="W300" s="30">
        <f>1095881977</f>
        <v>1095881977</v>
      </c>
      <c r="X300" s="34">
        <f>19</f>
        <v>19</v>
      </c>
    </row>
    <row r="301" spans="1:24" x14ac:dyDescent="0.15">
      <c r="A301" s="25" t="s">
        <v>1078</v>
      </c>
      <c r="B301" s="25" t="s">
        <v>702</v>
      </c>
      <c r="C301" s="25" t="s">
        <v>703</v>
      </c>
      <c r="D301" s="25" t="s">
        <v>704</v>
      </c>
      <c r="E301" s="26" t="s">
        <v>43</v>
      </c>
      <c r="F301" s="27" t="s">
        <v>43</v>
      </c>
      <c r="G301" s="28" t="s">
        <v>43</v>
      </c>
      <c r="H301" s="29"/>
      <c r="I301" s="29" t="s">
        <v>44</v>
      </c>
      <c r="J301" s="30">
        <v>10</v>
      </c>
      <c r="K301" s="31">
        <f>311.1</f>
        <v>311.10000000000002</v>
      </c>
      <c r="L301" s="32" t="s">
        <v>675</v>
      </c>
      <c r="M301" s="31">
        <f>335.8</f>
        <v>335.8</v>
      </c>
      <c r="N301" s="32" t="s">
        <v>777</v>
      </c>
      <c r="O301" s="31">
        <f>310.6</f>
        <v>310.60000000000002</v>
      </c>
      <c r="P301" s="32" t="s">
        <v>675</v>
      </c>
      <c r="Q301" s="31">
        <f>334.7</f>
        <v>334.7</v>
      </c>
      <c r="R301" s="32" t="s">
        <v>681</v>
      </c>
      <c r="S301" s="33">
        <f>325.74</f>
        <v>325.74</v>
      </c>
      <c r="T301" s="30">
        <f>7598660</f>
        <v>7598660</v>
      </c>
      <c r="U301" s="30">
        <f>534800</f>
        <v>534800</v>
      </c>
      <c r="V301" s="30">
        <f>2468382907</f>
        <v>2468382907</v>
      </c>
      <c r="W301" s="30">
        <f>171068980</f>
        <v>171068980</v>
      </c>
      <c r="X301" s="34">
        <f>19</f>
        <v>19</v>
      </c>
    </row>
    <row r="302" spans="1:24" x14ac:dyDescent="0.15">
      <c r="A302" s="25" t="s">
        <v>1078</v>
      </c>
      <c r="B302" s="25" t="s">
        <v>705</v>
      </c>
      <c r="C302" s="25" t="s">
        <v>706</v>
      </c>
      <c r="D302" s="25" t="s">
        <v>707</v>
      </c>
      <c r="E302" s="26" t="s">
        <v>43</v>
      </c>
      <c r="F302" s="27" t="s">
        <v>43</v>
      </c>
      <c r="G302" s="28" t="s">
        <v>43</v>
      </c>
      <c r="H302" s="29"/>
      <c r="I302" s="29" t="s">
        <v>44</v>
      </c>
      <c r="J302" s="30">
        <v>10</v>
      </c>
      <c r="K302" s="31">
        <f>2173.5</f>
        <v>2173.5</v>
      </c>
      <c r="L302" s="32" t="s">
        <v>675</v>
      </c>
      <c r="M302" s="31">
        <f>2272</f>
        <v>2272</v>
      </c>
      <c r="N302" s="32" t="s">
        <v>777</v>
      </c>
      <c r="O302" s="31">
        <f>2165.5</f>
        <v>2165.5</v>
      </c>
      <c r="P302" s="32" t="s">
        <v>674</v>
      </c>
      <c r="Q302" s="31">
        <f>2260</f>
        <v>2260</v>
      </c>
      <c r="R302" s="32" t="s">
        <v>681</v>
      </c>
      <c r="S302" s="33">
        <f>2216.97</f>
        <v>2216.9699999999998</v>
      </c>
      <c r="T302" s="30">
        <f>2334790</f>
        <v>2334790</v>
      </c>
      <c r="U302" s="30">
        <f>910950</f>
        <v>910950</v>
      </c>
      <c r="V302" s="30">
        <f>5205913445</f>
        <v>5205913445</v>
      </c>
      <c r="W302" s="30">
        <f>2032491315</f>
        <v>2032491315</v>
      </c>
      <c r="X302" s="34">
        <f>19</f>
        <v>19</v>
      </c>
    </row>
    <row r="303" spans="1:24" x14ac:dyDescent="0.15">
      <c r="A303" s="25" t="s">
        <v>1078</v>
      </c>
      <c r="B303" s="25" t="s">
        <v>708</v>
      </c>
      <c r="C303" s="25" t="s">
        <v>709</v>
      </c>
      <c r="D303" s="25" t="s">
        <v>710</v>
      </c>
      <c r="E303" s="26" t="s">
        <v>43</v>
      </c>
      <c r="F303" s="27" t="s">
        <v>43</v>
      </c>
      <c r="G303" s="28" t="s">
        <v>43</v>
      </c>
      <c r="H303" s="29"/>
      <c r="I303" s="29" t="s">
        <v>44</v>
      </c>
      <c r="J303" s="30">
        <v>10</v>
      </c>
      <c r="K303" s="31">
        <f>3255</f>
        <v>3255</v>
      </c>
      <c r="L303" s="32" t="s">
        <v>675</v>
      </c>
      <c r="M303" s="31">
        <f>3500</f>
        <v>3500</v>
      </c>
      <c r="N303" s="32" t="s">
        <v>683</v>
      </c>
      <c r="O303" s="31">
        <f>3234</f>
        <v>3234</v>
      </c>
      <c r="P303" s="32" t="s">
        <v>675</v>
      </c>
      <c r="Q303" s="31">
        <f>3477</f>
        <v>3477</v>
      </c>
      <c r="R303" s="32" t="s">
        <v>681</v>
      </c>
      <c r="S303" s="33">
        <f>3388.47</f>
        <v>3388.47</v>
      </c>
      <c r="T303" s="30">
        <f>97190</f>
        <v>97190</v>
      </c>
      <c r="U303" s="30">
        <f>80020</f>
        <v>80020</v>
      </c>
      <c r="V303" s="30">
        <f>317536660</f>
        <v>317536660</v>
      </c>
      <c r="W303" s="30">
        <f>259898830</f>
        <v>259898830</v>
      </c>
      <c r="X303" s="34">
        <f>19</f>
        <v>19</v>
      </c>
    </row>
    <row r="304" spans="1:24" x14ac:dyDescent="0.15">
      <c r="A304" s="25" t="s">
        <v>1078</v>
      </c>
      <c r="B304" s="25" t="s">
        <v>711</v>
      </c>
      <c r="C304" s="25" t="s">
        <v>712</v>
      </c>
      <c r="D304" s="25" t="s">
        <v>713</v>
      </c>
      <c r="E304" s="26" t="s">
        <v>43</v>
      </c>
      <c r="F304" s="27" t="s">
        <v>43</v>
      </c>
      <c r="G304" s="28" t="s">
        <v>43</v>
      </c>
      <c r="H304" s="29"/>
      <c r="I304" s="29" t="s">
        <v>44</v>
      </c>
      <c r="J304" s="30">
        <v>1</v>
      </c>
      <c r="K304" s="31">
        <f>2891</f>
        <v>2891</v>
      </c>
      <c r="L304" s="32" t="s">
        <v>675</v>
      </c>
      <c r="M304" s="31">
        <f>3190</f>
        <v>3190</v>
      </c>
      <c r="N304" s="32" t="s">
        <v>778</v>
      </c>
      <c r="O304" s="31">
        <f>2868</f>
        <v>2868</v>
      </c>
      <c r="P304" s="32" t="s">
        <v>675</v>
      </c>
      <c r="Q304" s="31">
        <f>3140</f>
        <v>3140</v>
      </c>
      <c r="R304" s="32" t="s">
        <v>681</v>
      </c>
      <c r="S304" s="33">
        <f>3070</f>
        <v>3070</v>
      </c>
      <c r="T304" s="30">
        <f>5574</f>
        <v>5574</v>
      </c>
      <c r="U304" s="30" t="str">
        <f>"－"</f>
        <v>－</v>
      </c>
      <c r="V304" s="30">
        <f>16964983</f>
        <v>16964983</v>
      </c>
      <c r="W304" s="30" t="str">
        <f>"－"</f>
        <v>－</v>
      </c>
      <c r="X304" s="34">
        <f>19</f>
        <v>19</v>
      </c>
    </row>
    <row r="305" spans="1:24" x14ac:dyDescent="0.15">
      <c r="A305" s="25" t="s">
        <v>1078</v>
      </c>
      <c r="B305" s="25" t="s">
        <v>714</v>
      </c>
      <c r="C305" s="25" t="s">
        <v>1035</v>
      </c>
      <c r="D305" s="25" t="s">
        <v>1034</v>
      </c>
      <c r="E305" s="26" t="s">
        <v>43</v>
      </c>
      <c r="F305" s="27" t="s">
        <v>43</v>
      </c>
      <c r="G305" s="28" t="s">
        <v>43</v>
      </c>
      <c r="H305" s="29"/>
      <c r="I305" s="29" t="s">
        <v>44</v>
      </c>
      <c r="J305" s="30">
        <v>1</v>
      </c>
      <c r="K305" s="31">
        <f>1519</f>
        <v>1519</v>
      </c>
      <c r="L305" s="32" t="s">
        <v>675</v>
      </c>
      <c r="M305" s="31">
        <f>1610</f>
        <v>1610</v>
      </c>
      <c r="N305" s="32" t="s">
        <v>683</v>
      </c>
      <c r="O305" s="31">
        <f>1500</f>
        <v>1500</v>
      </c>
      <c r="P305" s="32" t="s">
        <v>675</v>
      </c>
      <c r="Q305" s="31">
        <f>1589</f>
        <v>1589</v>
      </c>
      <c r="R305" s="32" t="s">
        <v>681</v>
      </c>
      <c r="S305" s="33">
        <f>1572.79</f>
        <v>1572.79</v>
      </c>
      <c r="T305" s="30">
        <f>171378</f>
        <v>171378</v>
      </c>
      <c r="U305" s="30">
        <f>40000</f>
        <v>40000</v>
      </c>
      <c r="V305" s="30">
        <f>272154469</f>
        <v>272154469</v>
      </c>
      <c r="W305" s="30">
        <f>64044000</f>
        <v>64044000</v>
      </c>
      <c r="X305" s="34">
        <f>19</f>
        <v>19</v>
      </c>
    </row>
    <row r="306" spans="1:24" x14ac:dyDescent="0.15">
      <c r="A306" s="25" t="s">
        <v>1078</v>
      </c>
      <c r="B306" s="25" t="s">
        <v>715</v>
      </c>
      <c r="C306" s="25" t="s">
        <v>716</v>
      </c>
      <c r="D306" s="25" t="s">
        <v>717</v>
      </c>
      <c r="E306" s="26" t="s">
        <v>43</v>
      </c>
      <c r="F306" s="27" t="s">
        <v>43</v>
      </c>
      <c r="G306" s="28" t="s">
        <v>43</v>
      </c>
      <c r="H306" s="29"/>
      <c r="I306" s="29" t="s">
        <v>44</v>
      </c>
      <c r="J306" s="30">
        <v>1</v>
      </c>
      <c r="K306" s="31">
        <f>1967</f>
        <v>1967</v>
      </c>
      <c r="L306" s="32" t="s">
        <v>675</v>
      </c>
      <c r="M306" s="31">
        <f>2146</f>
        <v>2146</v>
      </c>
      <c r="N306" s="32" t="s">
        <v>874</v>
      </c>
      <c r="O306" s="31">
        <f>1939</f>
        <v>1939</v>
      </c>
      <c r="P306" s="32" t="s">
        <v>876</v>
      </c>
      <c r="Q306" s="31">
        <f>2056</f>
        <v>2056</v>
      </c>
      <c r="R306" s="32" t="s">
        <v>681</v>
      </c>
      <c r="S306" s="33">
        <f>2054.37</f>
        <v>2054.37</v>
      </c>
      <c r="T306" s="30">
        <f>201055</f>
        <v>201055</v>
      </c>
      <c r="U306" s="30">
        <f>2</f>
        <v>2</v>
      </c>
      <c r="V306" s="30">
        <f>414429998</f>
        <v>414429998</v>
      </c>
      <c r="W306" s="30">
        <f>4142</f>
        <v>4142</v>
      </c>
      <c r="X306" s="34">
        <f>19</f>
        <v>19</v>
      </c>
    </row>
    <row r="307" spans="1:24" x14ac:dyDescent="0.15">
      <c r="A307" s="25" t="s">
        <v>1078</v>
      </c>
      <c r="B307" s="25" t="s">
        <v>718</v>
      </c>
      <c r="C307" s="25" t="s">
        <v>719</v>
      </c>
      <c r="D307" s="25" t="s">
        <v>720</v>
      </c>
      <c r="E307" s="26" t="s">
        <v>43</v>
      </c>
      <c r="F307" s="27" t="s">
        <v>43</v>
      </c>
      <c r="G307" s="28" t="s">
        <v>43</v>
      </c>
      <c r="H307" s="29"/>
      <c r="I307" s="29" t="s">
        <v>44</v>
      </c>
      <c r="J307" s="30">
        <v>1</v>
      </c>
      <c r="K307" s="31">
        <f>1580</f>
        <v>1580</v>
      </c>
      <c r="L307" s="32" t="s">
        <v>675</v>
      </c>
      <c r="M307" s="31">
        <f>1695</f>
        <v>1695</v>
      </c>
      <c r="N307" s="32" t="s">
        <v>760</v>
      </c>
      <c r="O307" s="31">
        <f>1568</f>
        <v>1568</v>
      </c>
      <c r="P307" s="32" t="s">
        <v>675</v>
      </c>
      <c r="Q307" s="31">
        <f>1635</f>
        <v>1635</v>
      </c>
      <c r="R307" s="32" t="s">
        <v>681</v>
      </c>
      <c r="S307" s="33">
        <f>1648.68</f>
        <v>1648.68</v>
      </c>
      <c r="T307" s="30">
        <f>65694</f>
        <v>65694</v>
      </c>
      <c r="U307" s="30" t="str">
        <f>"－"</f>
        <v>－</v>
      </c>
      <c r="V307" s="30">
        <f>107700738</f>
        <v>107700738</v>
      </c>
      <c r="W307" s="30" t="str">
        <f>"－"</f>
        <v>－</v>
      </c>
      <c r="X307" s="34">
        <f>19</f>
        <v>19</v>
      </c>
    </row>
    <row r="308" spans="1:24" x14ac:dyDescent="0.15">
      <c r="A308" s="25" t="s">
        <v>1078</v>
      </c>
      <c r="B308" s="25" t="s">
        <v>721</v>
      </c>
      <c r="C308" s="25" t="s">
        <v>722</v>
      </c>
      <c r="D308" s="25" t="s">
        <v>723</v>
      </c>
      <c r="E308" s="26" t="s">
        <v>43</v>
      </c>
      <c r="F308" s="27" t="s">
        <v>43</v>
      </c>
      <c r="G308" s="28" t="s">
        <v>43</v>
      </c>
      <c r="H308" s="29"/>
      <c r="I308" s="29" t="s">
        <v>44</v>
      </c>
      <c r="J308" s="30">
        <v>1</v>
      </c>
      <c r="K308" s="31">
        <f>2688</f>
        <v>2688</v>
      </c>
      <c r="L308" s="32" t="s">
        <v>675</v>
      </c>
      <c r="M308" s="31">
        <f>2989</f>
        <v>2989</v>
      </c>
      <c r="N308" s="32" t="s">
        <v>681</v>
      </c>
      <c r="O308" s="31">
        <f>2651</f>
        <v>2651</v>
      </c>
      <c r="P308" s="32" t="s">
        <v>675</v>
      </c>
      <c r="Q308" s="31">
        <f>2989</f>
        <v>2989</v>
      </c>
      <c r="R308" s="32" t="s">
        <v>681</v>
      </c>
      <c r="S308" s="33">
        <f>2897.84</f>
        <v>2897.84</v>
      </c>
      <c r="T308" s="30">
        <f>80564</f>
        <v>80564</v>
      </c>
      <c r="U308" s="30" t="str">
        <f>"－"</f>
        <v>－</v>
      </c>
      <c r="V308" s="30">
        <f>231909289</f>
        <v>231909289</v>
      </c>
      <c r="W308" s="30" t="str">
        <f>"－"</f>
        <v>－</v>
      </c>
      <c r="X308" s="34">
        <f>19</f>
        <v>19</v>
      </c>
    </row>
    <row r="309" spans="1:24" x14ac:dyDescent="0.15">
      <c r="A309" s="25" t="s">
        <v>1078</v>
      </c>
      <c r="B309" s="25" t="s">
        <v>724</v>
      </c>
      <c r="C309" s="25" t="s">
        <v>1033</v>
      </c>
      <c r="D309" s="25" t="s">
        <v>1032</v>
      </c>
      <c r="E309" s="26" t="s">
        <v>43</v>
      </c>
      <c r="F309" s="27" t="s">
        <v>43</v>
      </c>
      <c r="G309" s="28" t="s">
        <v>43</v>
      </c>
      <c r="H309" s="29"/>
      <c r="I309" s="29" t="s">
        <v>44</v>
      </c>
      <c r="J309" s="30">
        <v>1</v>
      </c>
      <c r="K309" s="31">
        <f>2570</f>
        <v>2570</v>
      </c>
      <c r="L309" s="32" t="s">
        <v>675</v>
      </c>
      <c r="M309" s="31">
        <f>2875</f>
        <v>2875</v>
      </c>
      <c r="N309" s="32" t="s">
        <v>874</v>
      </c>
      <c r="O309" s="31">
        <f>2531</f>
        <v>2531</v>
      </c>
      <c r="P309" s="32" t="s">
        <v>675</v>
      </c>
      <c r="Q309" s="31">
        <f>2810</f>
        <v>2810</v>
      </c>
      <c r="R309" s="32" t="s">
        <v>681</v>
      </c>
      <c r="S309" s="33">
        <f>2731.21</f>
        <v>2731.21</v>
      </c>
      <c r="T309" s="30">
        <f>220698</f>
        <v>220698</v>
      </c>
      <c r="U309" s="30" t="str">
        <f>"－"</f>
        <v>－</v>
      </c>
      <c r="V309" s="30">
        <f>606736415</f>
        <v>606736415</v>
      </c>
      <c r="W309" s="30" t="str">
        <f>"－"</f>
        <v>－</v>
      </c>
      <c r="X309" s="34">
        <f>19</f>
        <v>19</v>
      </c>
    </row>
    <row r="310" spans="1:24" x14ac:dyDescent="0.15">
      <c r="A310" s="25" t="s">
        <v>1078</v>
      </c>
      <c r="B310" s="25" t="s">
        <v>725</v>
      </c>
      <c r="C310" s="25" t="s">
        <v>726</v>
      </c>
      <c r="D310" s="25" t="s">
        <v>727</v>
      </c>
      <c r="E310" s="26" t="s">
        <v>43</v>
      </c>
      <c r="F310" s="27" t="s">
        <v>43</v>
      </c>
      <c r="G310" s="28" t="s">
        <v>43</v>
      </c>
      <c r="H310" s="29"/>
      <c r="I310" s="29" t="s">
        <v>44</v>
      </c>
      <c r="J310" s="30">
        <v>1</v>
      </c>
      <c r="K310" s="31">
        <f>31350</f>
        <v>31350</v>
      </c>
      <c r="L310" s="32" t="s">
        <v>675</v>
      </c>
      <c r="M310" s="31">
        <f>33730</f>
        <v>33730</v>
      </c>
      <c r="N310" s="32" t="s">
        <v>778</v>
      </c>
      <c r="O310" s="31">
        <f>31350</f>
        <v>31350</v>
      </c>
      <c r="P310" s="32" t="s">
        <v>675</v>
      </c>
      <c r="Q310" s="31">
        <f>33570</f>
        <v>33570</v>
      </c>
      <c r="R310" s="32" t="s">
        <v>681</v>
      </c>
      <c r="S310" s="33">
        <f>32892.78</f>
        <v>32892.78</v>
      </c>
      <c r="T310" s="30">
        <f>78</f>
        <v>78</v>
      </c>
      <c r="U310" s="30" t="str">
        <f>"－"</f>
        <v>－</v>
      </c>
      <c r="V310" s="30">
        <f>2571550</f>
        <v>2571550</v>
      </c>
      <c r="W310" s="30" t="str">
        <f>"－"</f>
        <v>－</v>
      </c>
      <c r="X310" s="34">
        <f>18</f>
        <v>18</v>
      </c>
    </row>
    <row r="311" spans="1:24" x14ac:dyDescent="0.15">
      <c r="A311" s="25" t="s">
        <v>1078</v>
      </c>
      <c r="B311" s="25" t="s">
        <v>728</v>
      </c>
      <c r="C311" s="25" t="s">
        <v>729</v>
      </c>
      <c r="D311" s="25" t="s">
        <v>730</v>
      </c>
      <c r="E311" s="26" t="s">
        <v>43</v>
      </c>
      <c r="F311" s="27" t="s">
        <v>43</v>
      </c>
      <c r="G311" s="28" t="s">
        <v>43</v>
      </c>
      <c r="H311" s="29"/>
      <c r="I311" s="29" t="s">
        <v>44</v>
      </c>
      <c r="J311" s="30">
        <v>1</v>
      </c>
      <c r="K311" s="31">
        <f>2417</f>
        <v>2417</v>
      </c>
      <c r="L311" s="32" t="s">
        <v>675</v>
      </c>
      <c r="M311" s="31">
        <f>2717</f>
        <v>2717</v>
      </c>
      <c r="N311" s="32" t="s">
        <v>681</v>
      </c>
      <c r="O311" s="31">
        <f>2417</f>
        <v>2417</v>
      </c>
      <c r="P311" s="32" t="s">
        <v>675</v>
      </c>
      <c r="Q311" s="31">
        <f>2635</f>
        <v>2635</v>
      </c>
      <c r="R311" s="32" t="s">
        <v>681</v>
      </c>
      <c r="S311" s="33">
        <f>2575.82</f>
        <v>2575.8200000000002</v>
      </c>
      <c r="T311" s="30">
        <f>23273</f>
        <v>23273</v>
      </c>
      <c r="U311" s="30" t="str">
        <f>"－"</f>
        <v>－</v>
      </c>
      <c r="V311" s="30">
        <f>60253456</f>
        <v>60253456</v>
      </c>
      <c r="W311" s="30" t="str">
        <f>"－"</f>
        <v>－</v>
      </c>
      <c r="X311" s="34">
        <f>17</f>
        <v>17</v>
      </c>
    </row>
    <row r="312" spans="1:24" x14ac:dyDescent="0.15">
      <c r="A312" s="25" t="s">
        <v>1078</v>
      </c>
      <c r="B312" s="25" t="s">
        <v>731</v>
      </c>
      <c r="C312" s="25" t="s">
        <v>732</v>
      </c>
      <c r="D312" s="25" t="s">
        <v>733</v>
      </c>
      <c r="E312" s="26" t="s">
        <v>43</v>
      </c>
      <c r="F312" s="27" t="s">
        <v>43</v>
      </c>
      <c r="G312" s="28" t="s">
        <v>43</v>
      </c>
      <c r="H312" s="29"/>
      <c r="I312" s="29" t="s">
        <v>44</v>
      </c>
      <c r="J312" s="30">
        <v>1</v>
      </c>
      <c r="K312" s="31">
        <f>3700</f>
        <v>3700</v>
      </c>
      <c r="L312" s="32" t="s">
        <v>675</v>
      </c>
      <c r="M312" s="31">
        <f>4395</f>
        <v>4395</v>
      </c>
      <c r="N312" s="32" t="s">
        <v>778</v>
      </c>
      <c r="O312" s="31">
        <f>3625</f>
        <v>3625</v>
      </c>
      <c r="P312" s="32" t="s">
        <v>675</v>
      </c>
      <c r="Q312" s="31">
        <f>4210</f>
        <v>4210</v>
      </c>
      <c r="R312" s="32" t="s">
        <v>681</v>
      </c>
      <c r="S312" s="33">
        <f>4040.79</f>
        <v>4040.79</v>
      </c>
      <c r="T312" s="30">
        <f>10348030</f>
        <v>10348030</v>
      </c>
      <c r="U312" s="30">
        <f>913743</f>
        <v>913743</v>
      </c>
      <c r="V312" s="30">
        <f>42592626815</f>
        <v>42592626815</v>
      </c>
      <c r="W312" s="30">
        <f>3772079550</f>
        <v>3772079550</v>
      </c>
      <c r="X312" s="34">
        <f>19</f>
        <v>19</v>
      </c>
    </row>
    <row r="313" spans="1:24" x14ac:dyDescent="0.15">
      <c r="A313" s="25" t="s">
        <v>1078</v>
      </c>
      <c r="B313" s="25" t="s">
        <v>734</v>
      </c>
      <c r="C313" s="25" t="s">
        <v>735</v>
      </c>
      <c r="D313" s="25" t="s">
        <v>736</v>
      </c>
      <c r="E313" s="26" t="s">
        <v>43</v>
      </c>
      <c r="F313" s="27" t="s">
        <v>43</v>
      </c>
      <c r="G313" s="28" t="s">
        <v>43</v>
      </c>
      <c r="H313" s="29"/>
      <c r="I313" s="29" t="s">
        <v>44</v>
      </c>
      <c r="J313" s="30">
        <v>1</v>
      </c>
      <c r="K313" s="31">
        <f>1931</f>
        <v>1931</v>
      </c>
      <c r="L313" s="32" t="s">
        <v>675</v>
      </c>
      <c r="M313" s="31">
        <f>2061</f>
        <v>2061</v>
      </c>
      <c r="N313" s="32" t="s">
        <v>683</v>
      </c>
      <c r="O313" s="31">
        <f>1910</f>
        <v>1910</v>
      </c>
      <c r="P313" s="32" t="s">
        <v>675</v>
      </c>
      <c r="Q313" s="31">
        <f>2028</f>
        <v>2028</v>
      </c>
      <c r="R313" s="32" t="s">
        <v>681</v>
      </c>
      <c r="S313" s="33">
        <f>2017.21</f>
        <v>2017.21</v>
      </c>
      <c r="T313" s="30">
        <f>16896</f>
        <v>16896</v>
      </c>
      <c r="U313" s="30" t="str">
        <f>"－"</f>
        <v>－</v>
      </c>
      <c r="V313" s="30">
        <f>33460084</f>
        <v>33460084</v>
      </c>
      <c r="W313" s="30" t="str">
        <f>"－"</f>
        <v>－</v>
      </c>
      <c r="X313" s="34">
        <f>19</f>
        <v>19</v>
      </c>
    </row>
    <row r="314" spans="1:24" x14ac:dyDescent="0.15">
      <c r="A314" s="25" t="s">
        <v>1078</v>
      </c>
      <c r="B314" s="25" t="s">
        <v>737</v>
      </c>
      <c r="C314" s="25" t="s">
        <v>738</v>
      </c>
      <c r="D314" s="25" t="s">
        <v>739</v>
      </c>
      <c r="E314" s="26" t="s">
        <v>43</v>
      </c>
      <c r="F314" s="27" t="s">
        <v>43</v>
      </c>
      <c r="G314" s="28" t="s">
        <v>43</v>
      </c>
      <c r="H314" s="29"/>
      <c r="I314" s="29" t="s">
        <v>44</v>
      </c>
      <c r="J314" s="30">
        <v>1</v>
      </c>
      <c r="K314" s="31">
        <f>1680</f>
        <v>1680</v>
      </c>
      <c r="L314" s="32" t="s">
        <v>675</v>
      </c>
      <c r="M314" s="31">
        <f>1834</f>
        <v>1834</v>
      </c>
      <c r="N314" s="32" t="s">
        <v>760</v>
      </c>
      <c r="O314" s="31">
        <f>1670</f>
        <v>1670</v>
      </c>
      <c r="P314" s="32" t="s">
        <v>675</v>
      </c>
      <c r="Q314" s="31">
        <f>1810</f>
        <v>1810</v>
      </c>
      <c r="R314" s="32" t="s">
        <v>681</v>
      </c>
      <c r="S314" s="33">
        <f>1772.32</f>
        <v>1772.32</v>
      </c>
      <c r="T314" s="30">
        <f>3904</f>
        <v>3904</v>
      </c>
      <c r="U314" s="30" t="str">
        <f>"－"</f>
        <v>－</v>
      </c>
      <c r="V314" s="30">
        <f>6890951</f>
        <v>6890951</v>
      </c>
      <c r="W314" s="30" t="str">
        <f>"－"</f>
        <v>－</v>
      </c>
      <c r="X314" s="34">
        <f>19</f>
        <v>19</v>
      </c>
    </row>
    <row r="315" spans="1:24" x14ac:dyDescent="0.15">
      <c r="A315" s="25" t="s">
        <v>1078</v>
      </c>
      <c r="B315" s="25" t="s">
        <v>740</v>
      </c>
      <c r="C315" s="25" t="s">
        <v>741</v>
      </c>
      <c r="D315" s="25" t="s">
        <v>742</v>
      </c>
      <c r="E315" s="26" t="s">
        <v>43</v>
      </c>
      <c r="F315" s="27" t="s">
        <v>43</v>
      </c>
      <c r="G315" s="28" t="s">
        <v>43</v>
      </c>
      <c r="H315" s="29"/>
      <c r="I315" s="29" t="s">
        <v>44</v>
      </c>
      <c r="J315" s="30">
        <v>10</v>
      </c>
      <c r="K315" s="31">
        <f>5397</f>
        <v>5397</v>
      </c>
      <c r="L315" s="32" t="s">
        <v>675</v>
      </c>
      <c r="M315" s="31">
        <f>5547</f>
        <v>5547</v>
      </c>
      <c r="N315" s="32" t="s">
        <v>681</v>
      </c>
      <c r="O315" s="31">
        <f>5370</f>
        <v>5370</v>
      </c>
      <c r="P315" s="32" t="s">
        <v>876</v>
      </c>
      <c r="Q315" s="31">
        <f>5544</f>
        <v>5544</v>
      </c>
      <c r="R315" s="32" t="s">
        <v>681</v>
      </c>
      <c r="S315" s="33">
        <f>5483.16</f>
        <v>5483.16</v>
      </c>
      <c r="T315" s="30">
        <f>362820</f>
        <v>362820</v>
      </c>
      <c r="U315" s="30">
        <f>237650</f>
        <v>237650</v>
      </c>
      <c r="V315" s="30">
        <f>1986639195</f>
        <v>1986639195</v>
      </c>
      <c r="W315" s="30">
        <f>1299658305</f>
        <v>1299658305</v>
      </c>
      <c r="X315" s="34">
        <f>19</f>
        <v>19</v>
      </c>
    </row>
    <row r="316" spans="1:24" x14ac:dyDescent="0.15">
      <c r="A316" s="25" t="s">
        <v>1078</v>
      </c>
      <c r="B316" s="25" t="s">
        <v>743</v>
      </c>
      <c r="C316" s="25" t="s">
        <v>744</v>
      </c>
      <c r="D316" s="25" t="s">
        <v>745</v>
      </c>
      <c r="E316" s="26" t="s">
        <v>43</v>
      </c>
      <c r="F316" s="27" t="s">
        <v>43</v>
      </c>
      <c r="G316" s="28" t="s">
        <v>43</v>
      </c>
      <c r="H316" s="29"/>
      <c r="I316" s="29" t="s">
        <v>44</v>
      </c>
      <c r="J316" s="30">
        <v>10</v>
      </c>
      <c r="K316" s="31">
        <f>3900</f>
        <v>3900</v>
      </c>
      <c r="L316" s="32" t="s">
        <v>675</v>
      </c>
      <c r="M316" s="31">
        <f>3900</f>
        <v>3900</v>
      </c>
      <c r="N316" s="32" t="s">
        <v>675</v>
      </c>
      <c r="O316" s="31">
        <f>3808</f>
        <v>3808</v>
      </c>
      <c r="P316" s="32" t="s">
        <v>679</v>
      </c>
      <c r="Q316" s="31">
        <f>3856</f>
        <v>3856</v>
      </c>
      <c r="R316" s="32" t="s">
        <v>681</v>
      </c>
      <c r="S316" s="33">
        <f>3849.89</f>
        <v>3849.89</v>
      </c>
      <c r="T316" s="30">
        <f>1218760</f>
        <v>1218760</v>
      </c>
      <c r="U316" s="30">
        <f>790720</f>
        <v>790720</v>
      </c>
      <c r="V316" s="30">
        <f>4681457636</f>
        <v>4681457636</v>
      </c>
      <c r="W316" s="30">
        <f>3035055646</f>
        <v>3035055646</v>
      </c>
      <c r="X316" s="34">
        <f>19</f>
        <v>19</v>
      </c>
    </row>
    <row r="317" spans="1:24" x14ac:dyDescent="0.15">
      <c r="A317" s="25" t="s">
        <v>1078</v>
      </c>
      <c r="B317" s="25" t="s">
        <v>746</v>
      </c>
      <c r="C317" s="25" t="s">
        <v>747</v>
      </c>
      <c r="D317" s="25" t="s">
        <v>748</v>
      </c>
      <c r="E317" s="26" t="s">
        <v>43</v>
      </c>
      <c r="F317" s="27" t="s">
        <v>43</v>
      </c>
      <c r="G317" s="28" t="s">
        <v>43</v>
      </c>
      <c r="H317" s="29"/>
      <c r="I317" s="29" t="s">
        <v>44</v>
      </c>
      <c r="J317" s="30">
        <v>10</v>
      </c>
      <c r="K317" s="31">
        <f>659.4</f>
        <v>659.4</v>
      </c>
      <c r="L317" s="32" t="s">
        <v>675</v>
      </c>
      <c r="M317" s="31">
        <f>689</f>
        <v>689</v>
      </c>
      <c r="N317" s="32" t="s">
        <v>682</v>
      </c>
      <c r="O317" s="31">
        <f>641.3</f>
        <v>641.29999999999995</v>
      </c>
      <c r="P317" s="32" t="s">
        <v>683</v>
      </c>
      <c r="Q317" s="31">
        <f>649.4</f>
        <v>649.4</v>
      </c>
      <c r="R317" s="32" t="s">
        <v>681</v>
      </c>
      <c r="S317" s="33">
        <f>649.02</f>
        <v>649.02</v>
      </c>
      <c r="T317" s="30">
        <f>53110</f>
        <v>53110</v>
      </c>
      <c r="U317" s="30">
        <f>30880</f>
        <v>30880</v>
      </c>
      <c r="V317" s="30">
        <f>34436190</f>
        <v>34436190</v>
      </c>
      <c r="W317" s="30">
        <f>20071224</f>
        <v>20071224</v>
      </c>
      <c r="X317" s="34">
        <f>18</f>
        <v>18</v>
      </c>
    </row>
    <row r="318" spans="1:24" x14ac:dyDescent="0.15">
      <c r="A318" s="25" t="s">
        <v>1078</v>
      </c>
      <c r="B318" s="25" t="s">
        <v>749</v>
      </c>
      <c r="C318" s="25" t="s">
        <v>750</v>
      </c>
      <c r="D318" s="25" t="s">
        <v>751</v>
      </c>
      <c r="E318" s="26" t="s">
        <v>43</v>
      </c>
      <c r="F318" s="27" t="s">
        <v>43</v>
      </c>
      <c r="G318" s="28" t="s">
        <v>43</v>
      </c>
      <c r="H318" s="29"/>
      <c r="I318" s="29" t="s">
        <v>44</v>
      </c>
      <c r="J318" s="30">
        <v>1</v>
      </c>
      <c r="K318" s="31">
        <f>2241</f>
        <v>2241</v>
      </c>
      <c r="L318" s="32" t="s">
        <v>675</v>
      </c>
      <c r="M318" s="31">
        <f>2399</f>
        <v>2399</v>
      </c>
      <c r="N318" s="32" t="s">
        <v>760</v>
      </c>
      <c r="O318" s="31">
        <f>2233</f>
        <v>2233</v>
      </c>
      <c r="P318" s="32" t="s">
        <v>675</v>
      </c>
      <c r="Q318" s="31">
        <f>2378</f>
        <v>2378</v>
      </c>
      <c r="R318" s="32" t="s">
        <v>681</v>
      </c>
      <c r="S318" s="33">
        <f>2337.11</f>
        <v>2337.11</v>
      </c>
      <c r="T318" s="30">
        <f>82837</f>
        <v>82837</v>
      </c>
      <c r="U318" s="30" t="str">
        <f>"－"</f>
        <v>－</v>
      </c>
      <c r="V318" s="30">
        <f>197539635</f>
        <v>197539635</v>
      </c>
      <c r="W318" s="30" t="str">
        <f>"－"</f>
        <v>－</v>
      </c>
      <c r="X318" s="34">
        <f>19</f>
        <v>19</v>
      </c>
    </row>
    <row r="319" spans="1:24" x14ac:dyDescent="0.15">
      <c r="A319" s="25" t="s">
        <v>1078</v>
      </c>
      <c r="B319" s="25" t="s">
        <v>752</v>
      </c>
      <c r="C319" s="25" t="s">
        <v>1031</v>
      </c>
      <c r="D319" s="25" t="s">
        <v>1030</v>
      </c>
      <c r="E319" s="26" t="s">
        <v>43</v>
      </c>
      <c r="F319" s="27" t="s">
        <v>43</v>
      </c>
      <c r="G319" s="28" t="s">
        <v>43</v>
      </c>
      <c r="H319" s="29"/>
      <c r="I319" s="29" t="s">
        <v>44</v>
      </c>
      <c r="J319" s="30">
        <v>1</v>
      </c>
      <c r="K319" s="31">
        <f>2112</f>
        <v>2112</v>
      </c>
      <c r="L319" s="32" t="s">
        <v>675</v>
      </c>
      <c r="M319" s="31">
        <f>2227</f>
        <v>2227</v>
      </c>
      <c r="N319" s="32" t="s">
        <v>681</v>
      </c>
      <c r="O319" s="31">
        <f>2105</f>
        <v>2105</v>
      </c>
      <c r="P319" s="32" t="s">
        <v>675</v>
      </c>
      <c r="Q319" s="31">
        <f>2186</f>
        <v>2186</v>
      </c>
      <c r="R319" s="32" t="s">
        <v>681</v>
      </c>
      <c r="S319" s="33">
        <f>2170.53</f>
        <v>2170.5300000000002</v>
      </c>
      <c r="T319" s="30">
        <f>159397</f>
        <v>159397</v>
      </c>
      <c r="U319" s="30">
        <f>150000</f>
        <v>150000</v>
      </c>
      <c r="V319" s="30">
        <f>344924515</f>
        <v>344924515</v>
      </c>
      <c r="W319" s="30">
        <f>324507000</f>
        <v>324507000</v>
      </c>
      <c r="X319" s="34">
        <f>19</f>
        <v>19</v>
      </c>
    </row>
    <row r="320" spans="1:24" x14ac:dyDescent="0.15">
      <c r="A320" s="25" t="s">
        <v>1078</v>
      </c>
      <c r="B320" s="25" t="s">
        <v>753</v>
      </c>
      <c r="C320" s="25" t="s">
        <v>754</v>
      </c>
      <c r="D320" s="25" t="s">
        <v>755</v>
      </c>
      <c r="E320" s="26" t="s">
        <v>43</v>
      </c>
      <c r="F320" s="27" t="s">
        <v>43</v>
      </c>
      <c r="G320" s="28" t="s">
        <v>43</v>
      </c>
      <c r="H320" s="29"/>
      <c r="I320" s="29" t="s">
        <v>44</v>
      </c>
      <c r="J320" s="30">
        <v>1</v>
      </c>
      <c r="K320" s="31">
        <f>8021</f>
        <v>8021</v>
      </c>
      <c r="L320" s="32" t="s">
        <v>675</v>
      </c>
      <c r="M320" s="31">
        <f>8299</f>
        <v>8299</v>
      </c>
      <c r="N320" s="32" t="s">
        <v>681</v>
      </c>
      <c r="O320" s="31">
        <f>8021</f>
        <v>8021</v>
      </c>
      <c r="P320" s="32" t="s">
        <v>675</v>
      </c>
      <c r="Q320" s="31">
        <f>8299</f>
        <v>8299</v>
      </c>
      <c r="R320" s="32" t="s">
        <v>681</v>
      </c>
      <c r="S320" s="33">
        <f>8195.05</f>
        <v>8195.0499999999993</v>
      </c>
      <c r="T320" s="30">
        <f>276393</f>
        <v>276393</v>
      </c>
      <c r="U320" s="30">
        <f>195290</f>
        <v>195290</v>
      </c>
      <c r="V320" s="30">
        <f>2268292157</f>
        <v>2268292157</v>
      </c>
      <c r="W320" s="30">
        <f>1600774145</f>
        <v>1600774145</v>
      </c>
      <c r="X320" s="34">
        <f>19</f>
        <v>19</v>
      </c>
    </row>
    <row r="321" spans="1:24" x14ac:dyDescent="0.15">
      <c r="A321" s="25" t="s">
        <v>1078</v>
      </c>
      <c r="B321" s="25" t="s">
        <v>756</v>
      </c>
      <c r="C321" s="25" t="s">
        <v>757</v>
      </c>
      <c r="D321" s="25" t="s">
        <v>758</v>
      </c>
      <c r="E321" s="26" t="s">
        <v>43</v>
      </c>
      <c r="F321" s="27" t="s">
        <v>43</v>
      </c>
      <c r="G321" s="28" t="s">
        <v>43</v>
      </c>
      <c r="H321" s="29"/>
      <c r="I321" s="29" t="s">
        <v>44</v>
      </c>
      <c r="J321" s="30">
        <v>1</v>
      </c>
      <c r="K321" s="31">
        <f>5812</f>
        <v>5812</v>
      </c>
      <c r="L321" s="32" t="s">
        <v>675</v>
      </c>
      <c r="M321" s="31">
        <f>5825</f>
        <v>5825</v>
      </c>
      <c r="N321" s="32" t="s">
        <v>674</v>
      </c>
      <c r="O321" s="31">
        <f>5679</f>
        <v>5679</v>
      </c>
      <c r="P321" s="32" t="s">
        <v>679</v>
      </c>
      <c r="Q321" s="31">
        <f>5755</f>
        <v>5755</v>
      </c>
      <c r="R321" s="32" t="s">
        <v>681</v>
      </c>
      <c r="S321" s="33">
        <f>5738.63</f>
        <v>5738.63</v>
      </c>
      <c r="T321" s="30">
        <f>1071106</f>
        <v>1071106</v>
      </c>
      <c r="U321" s="30">
        <f>1057017</f>
        <v>1057017</v>
      </c>
      <c r="V321" s="30">
        <f>6167830388</f>
        <v>6167830388</v>
      </c>
      <c r="W321" s="30">
        <f>6086747959</f>
        <v>6086747959</v>
      </c>
      <c r="X321" s="34">
        <f>19</f>
        <v>19</v>
      </c>
    </row>
    <row r="322" spans="1:24" x14ac:dyDescent="0.15">
      <c r="A322" s="25" t="s">
        <v>1078</v>
      </c>
      <c r="B322" s="25" t="s">
        <v>762</v>
      </c>
      <c r="C322" s="25" t="s">
        <v>763</v>
      </c>
      <c r="D322" s="25" t="s">
        <v>764</v>
      </c>
      <c r="E322" s="26" t="s">
        <v>43</v>
      </c>
      <c r="F322" s="27" t="s">
        <v>43</v>
      </c>
      <c r="G322" s="28" t="s">
        <v>43</v>
      </c>
      <c r="H322" s="29"/>
      <c r="I322" s="29" t="s">
        <v>44</v>
      </c>
      <c r="J322" s="30">
        <v>1</v>
      </c>
      <c r="K322" s="31">
        <f>21785</f>
        <v>21785</v>
      </c>
      <c r="L322" s="32" t="s">
        <v>675</v>
      </c>
      <c r="M322" s="31">
        <f>24110</f>
        <v>24110</v>
      </c>
      <c r="N322" s="32" t="s">
        <v>777</v>
      </c>
      <c r="O322" s="31">
        <f>21730</f>
        <v>21730</v>
      </c>
      <c r="P322" s="32" t="s">
        <v>675</v>
      </c>
      <c r="Q322" s="31">
        <f>23775</f>
        <v>23775</v>
      </c>
      <c r="R322" s="32" t="s">
        <v>681</v>
      </c>
      <c r="S322" s="33">
        <f>23168.16</f>
        <v>23168.16</v>
      </c>
      <c r="T322" s="30">
        <f>454239</f>
        <v>454239</v>
      </c>
      <c r="U322" s="30">
        <f>45</f>
        <v>45</v>
      </c>
      <c r="V322" s="30">
        <f>10468191205</f>
        <v>10468191205</v>
      </c>
      <c r="W322" s="30">
        <f>1020600</f>
        <v>1020600</v>
      </c>
      <c r="X322" s="34">
        <f>19</f>
        <v>19</v>
      </c>
    </row>
    <row r="323" spans="1:24" x14ac:dyDescent="0.15">
      <c r="A323" s="25" t="s">
        <v>1078</v>
      </c>
      <c r="B323" s="25" t="s">
        <v>765</v>
      </c>
      <c r="C323" s="25" t="s">
        <v>766</v>
      </c>
      <c r="D323" s="25" t="s">
        <v>767</v>
      </c>
      <c r="E323" s="26" t="s">
        <v>43</v>
      </c>
      <c r="F323" s="27" t="s">
        <v>43</v>
      </c>
      <c r="G323" s="28" t="s">
        <v>43</v>
      </c>
      <c r="H323" s="29"/>
      <c r="I323" s="29" t="s">
        <v>44</v>
      </c>
      <c r="J323" s="30">
        <v>1</v>
      </c>
      <c r="K323" s="31">
        <f>10515</f>
        <v>10515</v>
      </c>
      <c r="L323" s="32" t="s">
        <v>675</v>
      </c>
      <c r="M323" s="31">
        <f>11295</f>
        <v>11295</v>
      </c>
      <c r="N323" s="32" t="s">
        <v>777</v>
      </c>
      <c r="O323" s="31">
        <f>10435</f>
        <v>10435</v>
      </c>
      <c r="P323" s="32" t="s">
        <v>674</v>
      </c>
      <c r="Q323" s="31">
        <f>11110</f>
        <v>11110</v>
      </c>
      <c r="R323" s="32" t="s">
        <v>681</v>
      </c>
      <c r="S323" s="33">
        <f>10908.16</f>
        <v>10908.16</v>
      </c>
      <c r="T323" s="30">
        <f>1000597</f>
        <v>1000597</v>
      </c>
      <c r="U323" s="30">
        <f>273551</f>
        <v>273551</v>
      </c>
      <c r="V323" s="30">
        <f>10902366239</f>
        <v>10902366239</v>
      </c>
      <c r="W323" s="30">
        <f>2995297799</f>
        <v>2995297799</v>
      </c>
      <c r="X323" s="34">
        <f>19</f>
        <v>19</v>
      </c>
    </row>
    <row r="324" spans="1:24" x14ac:dyDescent="0.15">
      <c r="A324" s="25" t="s">
        <v>1078</v>
      </c>
      <c r="B324" s="25" t="s">
        <v>768</v>
      </c>
      <c r="C324" s="25" t="s">
        <v>769</v>
      </c>
      <c r="D324" s="25" t="s">
        <v>770</v>
      </c>
      <c r="E324" s="26" t="s">
        <v>43</v>
      </c>
      <c r="F324" s="27" t="s">
        <v>43</v>
      </c>
      <c r="G324" s="28" t="s">
        <v>43</v>
      </c>
      <c r="H324" s="29"/>
      <c r="I324" s="29" t="s">
        <v>44</v>
      </c>
      <c r="J324" s="30">
        <v>1</v>
      </c>
      <c r="K324" s="31">
        <f>22190</f>
        <v>22190</v>
      </c>
      <c r="L324" s="32" t="s">
        <v>675</v>
      </c>
      <c r="M324" s="31">
        <f>22580</f>
        <v>22580</v>
      </c>
      <c r="N324" s="32" t="s">
        <v>674</v>
      </c>
      <c r="O324" s="31">
        <f>20875</f>
        <v>20875</v>
      </c>
      <c r="P324" s="32" t="s">
        <v>777</v>
      </c>
      <c r="Q324" s="31">
        <f>21225</f>
        <v>21225</v>
      </c>
      <c r="R324" s="32" t="s">
        <v>681</v>
      </c>
      <c r="S324" s="33">
        <f>21632.11</f>
        <v>21632.11</v>
      </c>
      <c r="T324" s="30">
        <f>264247</f>
        <v>264247</v>
      </c>
      <c r="U324" s="30">
        <f>199963</f>
        <v>199963</v>
      </c>
      <c r="V324" s="30">
        <f>5847519345</f>
        <v>5847519345</v>
      </c>
      <c r="W324" s="30">
        <f>4453480305</f>
        <v>4453480305</v>
      </c>
      <c r="X324" s="34">
        <f>19</f>
        <v>19</v>
      </c>
    </row>
    <row r="325" spans="1:24" x14ac:dyDescent="0.15">
      <c r="A325" s="25" t="s">
        <v>1078</v>
      </c>
      <c r="B325" s="25" t="s">
        <v>771</v>
      </c>
      <c r="C325" s="25" t="s">
        <v>772</v>
      </c>
      <c r="D325" s="25" t="s">
        <v>773</v>
      </c>
      <c r="E325" s="26" t="s">
        <v>43</v>
      </c>
      <c r="F325" s="27" t="s">
        <v>43</v>
      </c>
      <c r="G325" s="28" t="s">
        <v>43</v>
      </c>
      <c r="H325" s="29"/>
      <c r="I325" s="29" t="s">
        <v>44</v>
      </c>
      <c r="J325" s="30">
        <v>10</v>
      </c>
      <c r="K325" s="31">
        <f>4220</f>
        <v>4220</v>
      </c>
      <c r="L325" s="32" t="s">
        <v>675</v>
      </c>
      <c r="M325" s="31">
        <f>4220</f>
        <v>4220</v>
      </c>
      <c r="N325" s="32" t="s">
        <v>675</v>
      </c>
      <c r="O325" s="31">
        <f>4124</f>
        <v>4124</v>
      </c>
      <c r="P325" s="32" t="s">
        <v>680</v>
      </c>
      <c r="Q325" s="31">
        <f>4200</f>
        <v>4200</v>
      </c>
      <c r="R325" s="32" t="s">
        <v>681</v>
      </c>
      <c r="S325" s="33">
        <f>4173.11</f>
        <v>4173.1099999999997</v>
      </c>
      <c r="T325" s="30">
        <f>279340</f>
        <v>279340</v>
      </c>
      <c r="U325" s="30">
        <f>218000</f>
        <v>218000</v>
      </c>
      <c r="V325" s="30">
        <f>1162542470</f>
        <v>1162542470</v>
      </c>
      <c r="W325" s="30">
        <f>907600200</f>
        <v>907600200</v>
      </c>
      <c r="X325" s="34">
        <f>19</f>
        <v>19</v>
      </c>
    </row>
    <row r="326" spans="1:24" x14ac:dyDescent="0.15">
      <c r="A326" s="25" t="s">
        <v>1078</v>
      </c>
      <c r="B326" s="25" t="s">
        <v>774</v>
      </c>
      <c r="C326" s="25" t="s">
        <v>775</v>
      </c>
      <c r="D326" s="25" t="s">
        <v>776</v>
      </c>
      <c r="E326" s="26" t="s">
        <v>43</v>
      </c>
      <c r="F326" s="27" t="s">
        <v>43</v>
      </c>
      <c r="G326" s="28" t="s">
        <v>43</v>
      </c>
      <c r="H326" s="29"/>
      <c r="I326" s="29" t="s">
        <v>44</v>
      </c>
      <c r="J326" s="30">
        <v>10</v>
      </c>
      <c r="K326" s="31">
        <f>5159</f>
        <v>5159</v>
      </c>
      <c r="L326" s="32" t="s">
        <v>675</v>
      </c>
      <c r="M326" s="31">
        <f>5185</f>
        <v>5185</v>
      </c>
      <c r="N326" s="32" t="s">
        <v>681</v>
      </c>
      <c r="O326" s="31">
        <f>5080</f>
        <v>5080</v>
      </c>
      <c r="P326" s="32" t="s">
        <v>678</v>
      </c>
      <c r="Q326" s="31">
        <f>5177</f>
        <v>5177</v>
      </c>
      <c r="R326" s="32" t="s">
        <v>681</v>
      </c>
      <c r="S326" s="33">
        <f>5129.53</f>
        <v>5129.53</v>
      </c>
      <c r="T326" s="30">
        <f>750300</f>
        <v>750300</v>
      </c>
      <c r="U326" s="30">
        <f>721800</f>
        <v>721800</v>
      </c>
      <c r="V326" s="30">
        <f>3833958348</f>
        <v>3833958348</v>
      </c>
      <c r="W326" s="30">
        <f>3687427588</f>
        <v>3687427588</v>
      </c>
      <c r="X326" s="34">
        <f>19</f>
        <v>19</v>
      </c>
    </row>
    <row r="327" spans="1:24" x14ac:dyDescent="0.15">
      <c r="A327" s="25" t="s">
        <v>1078</v>
      </c>
      <c r="B327" s="25" t="s">
        <v>786</v>
      </c>
      <c r="C327" s="25" t="s">
        <v>787</v>
      </c>
      <c r="D327" s="25" t="s">
        <v>788</v>
      </c>
      <c r="E327" s="26" t="s">
        <v>43</v>
      </c>
      <c r="F327" s="27" t="s">
        <v>43</v>
      </c>
      <c r="G327" s="28" t="s">
        <v>43</v>
      </c>
      <c r="H327" s="29"/>
      <c r="I327" s="29" t="s">
        <v>44</v>
      </c>
      <c r="J327" s="30">
        <v>10</v>
      </c>
      <c r="K327" s="31">
        <f>2201</f>
        <v>2201</v>
      </c>
      <c r="L327" s="32" t="s">
        <v>675</v>
      </c>
      <c r="M327" s="31">
        <f>2360</f>
        <v>2360</v>
      </c>
      <c r="N327" s="32" t="s">
        <v>777</v>
      </c>
      <c r="O327" s="31">
        <f>2180.5</f>
        <v>2180.5</v>
      </c>
      <c r="P327" s="32" t="s">
        <v>674</v>
      </c>
      <c r="Q327" s="31">
        <f>2321.5</f>
        <v>2321.5</v>
      </c>
      <c r="R327" s="32" t="s">
        <v>681</v>
      </c>
      <c r="S327" s="33">
        <f>2279.21</f>
        <v>2279.21</v>
      </c>
      <c r="T327" s="30">
        <f>3342780</f>
        <v>3342780</v>
      </c>
      <c r="U327" s="30">
        <f>218660</f>
        <v>218660</v>
      </c>
      <c r="V327" s="30">
        <f>7601212603</f>
        <v>7601212603</v>
      </c>
      <c r="W327" s="30">
        <f>497624498</f>
        <v>497624498</v>
      </c>
      <c r="X327" s="34">
        <f>19</f>
        <v>19</v>
      </c>
    </row>
    <row r="328" spans="1:24" x14ac:dyDescent="0.15">
      <c r="A328" s="25" t="s">
        <v>1078</v>
      </c>
      <c r="B328" s="25" t="s">
        <v>789</v>
      </c>
      <c r="C328" s="25" t="s">
        <v>790</v>
      </c>
      <c r="D328" s="25" t="s">
        <v>791</v>
      </c>
      <c r="E328" s="26" t="s">
        <v>43</v>
      </c>
      <c r="F328" s="27" t="s">
        <v>43</v>
      </c>
      <c r="G328" s="28" t="s">
        <v>43</v>
      </c>
      <c r="H328" s="29"/>
      <c r="I328" s="29" t="s">
        <v>44</v>
      </c>
      <c r="J328" s="30">
        <v>10</v>
      </c>
      <c r="K328" s="31">
        <f>2040</f>
        <v>2040</v>
      </c>
      <c r="L328" s="32" t="s">
        <v>675</v>
      </c>
      <c r="M328" s="31">
        <f>2089.5</f>
        <v>2089.5</v>
      </c>
      <c r="N328" s="32" t="s">
        <v>681</v>
      </c>
      <c r="O328" s="31">
        <f>2012.5</f>
        <v>2012.5</v>
      </c>
      <c r="P328" s="32" t="s">
        <v>680</v>
      </c>
      <c r="Q328" s="31">
        <f>2089</f>
        <v>2089</v>
      </c>
      <c r="R328" s="32" t="s">
        <v>681</v>
      </c>
      <c r="S328" s="33">
        <f>2050.26</f>
        <v>2050.2600000000002</v>
      </c>
      <c r="T328" s="30">
        <f>2558070</f>
        <v>2558070</v>
      </c>
      <c r="U328" s="30">
        <f>1997020</f>
        <v>1997020</v>
      </c>
      <c r="V328" s="30">
        <f>5230694837</f>
        <v>5230694837</v>
      </c>
      <c r="W328" s="30">
        <f>4083899957</f>
        <v>4083899957</v>
      </c>
      <c r="X328" s="34">
        <f>19</f>
        <v>19</v>
      </c>
    </row>
    <row r="329" spans="1:24" x14ac:dyDescent="0.15">
      <c r="A329" s="25" t="s">
        <v>1078</v>
      </c>
      <c r="B329" s="25" t="s">
        <v>792</v>
      </c>
      <c r="C329" s="25" t="s">
        <v>793</v>
      </c>
      <c r="D329" s="25" t="s">
        <v>794</v>
      </c>
      <c r="E329" s="26" t="s">
        <v>43</v>
      </c>
      <c r="F329" s="27" t="s">
        <v>43</v>
      </c>
      <c r="G329" s="28" t="s">
        <v>43</v>
      </c>
      <c r="H329" s="29"/>
      <c r="I329" s="29" t="s">
        <v>44</v>
      </c>
      <c r="J329" s="30">
        <v>1</v>
      </c>
      <c r="K329" s="31">
        <f>1780</f>
        <v>1780</v>
      </c>
      <c r="L329" s="32" t="s">
        <v>675</v>
      </c>
      <c r="M329" s="31">
        <f>1935</f>
        <v>1935</v>
      </c>
      <c r="N329" s="32" t="s">
        <v>760</v>
      </c>
      <c r="O329" s="31">
        <f>1768</f>
        <v>1768</v>
      </c>
      <c r="P329" s="32" t="s">
        <v>675</v>
      </c>
      <c r="Q329" s="31">
        <f>1878</f>
        <v>1878</v>
      </c>
      <c r="R329" s="32" t="s">
        <v>681</v>
      </c>
      <c r="S329" s="33">
        <f>1860.05</f>
        <v>1860.05</v>
      </c>
      <c r="T329" s="30">
        <f>14135</f>
        <v>14135</v>
      </c>
      <c r="U329" s="30" t="str">
        <f>"－"</f>
        <v>－</v>
      </c>
      <c r="V329" s="30">
        <f>26317256</f>
        <v>26317256</v>
      </c>
      <c r="W329" s="30" t="str">
        <f>"－"</f>
        <v>－</v>
      </c>
      <c r="X329" s="34">
        <f>19</f>
        <v>19</v>
      </c>
    </row>
    <row r="330" spans="1:24" x14ac:dyDescent="0.15">
      <c r="A330" s="25" t="s">
        <v>1078</v>
      </c>
      <c r="B330" s="25" t="s">
        <v>795</v>
      </c>
      <c r="C330" s="25" t="s">
        <v>796</v>
      </c>
      <c r="D330" s="25" t="s">
        <v>797</v>
      </c>
      <c r="E330" s="26" t="s">
        <v>43</v>
      </c>
      <c r="F330" s="27" t="s">
        <v>43</v>
      </c>
      <c r="G330" s="28" t="s">
        <v>43</v>
      </c>
      <c r="H330" s="29"/>
      <c r="I330" s="29" t="s">
        <v>44</v>
      </c>
      <c r="J330" s="30">
        <v>1</v>
      </c>
      <c r="K330" s="31">
        <f>1816</f>
        <v>1816</v>
      </c>
      <c r="L330" s="32" t="s">
        <v>675</v>
      </c>
      <c r="M330" s="31">
        <f>1971</f>
        <v>1971</v>
      </c>
      <c r="N330" s="32" t="s">
        <v>778</v>
      </c>
      <c r="O330" s="31">
        <f>1801</f>
        <v>1801</v>
      </c>
      <c r="P330" s="32" t="s">
        <v>675</v>
      </c>
      <c r="Q330" s="31">
        <f>1924</f>
        <v>1924</v>
      </c>
      <c r="R330" s="32" t="s">
        <v>676</v>
      </c>
      <c r="S330" s="33">
        <f>1915.44</f>
        <v>1915.44</v>
      </c>
      <c r="T330" s="30">
        <f>1836</f>
        <v>1836</v>
      </c>
      <c r="U330" s="30" t="str">
        <f>"－"</f>
        <v>－</v>
      </c>
      <c r="V330" s="30">
        <f>3555799</f>
        <v>3555799</v>
      </c>
      <c r="W330" s="30" t="str">
        <f>"－"</f>
        <v>－</v>
      </c>
      <c r="X330" s="34">
        <f>16</f>
        <v>16</v>
      </c>
    </row>
    <row r="331" spans="1:24" x14ac:dyDescent="0.15">
      <c r="A331" s="25" t="s">
        <v>1078</v>
      </c>
      <c r="B331" s="25" t="s">
        <v>798</v>
      </c>
      <c r="C331" s="25" t="s">
        <v>799</v>
      </c>
      <c r="D331" s="25" t="s">
        <v>800</v>
      </c>
      <c r="E331" s="26" t="s">
        <v>43</v>
      </c>
      <c r="F331" s="27" t="s">
        <v>43</v>
      </c>
      <c r="G331" s="28" t="s">
        <v>43</v>
      </c>
      <c r="H331" s="29"/>
      <c r="I331" s="29" t="s">
        <v>44</v>
      </c>
      <c r="J331" s="30">
        <v>1</v>
      </c>
      <c r="K331" s="31">
        <f>3875</f>
        <v>3875</v>
      </c>
      <c r="L331" s="32" t="s">
        <v>675</v>
      </c>
      <c r="M331" s="31">
        <f>4220</f>
        <v>4220</v>
      </c>
      <c r="N331" s="32" t="s">
        <v>683</v>
      </c>
      <c r="O331" s="31">
        <f>3875</f>
        <v>3875</v>
      </c>
      <c r="P331" s="32" t="s">
        <v>675</v>
      </c>
      <c r="Q331" s="31">
        <f>4155</f>
        <v>4155</v>
      </c>
      <c r="R331" s="32" t="s">
        <v>681</v>
      </c>
      <c r="S331" s="33">
        <f>4091.05</f>
        <v>4091.05</v>
      </c>
      <c r="T331" s="30">
        <f>75706</f>
        <v>75706</v>
      </c>
      <c r="U331" s="30">
        <f>50802</f>
        <v>50802</v>
      </c>
      <c r="V331" s="30">
        <f>311604655</f>
        <v>311604655</v>
      </c>
      <c r="W331" s="30">
        <f>209355040</f>
        <v>209355040</v>
      </c>
      <c r="X331" s="34">
        <f>19</f>
        <v>19</v>
      </c>
    </row>
    <row r="332" spans="1:24" x14ac:dyDescent="0.15">
      <c r="A332" s="25" t="s">
        <v>1078</v>
      </c>
      <c r="B332" s="25" t="s">
        <v>801</v>
      </c>
      <c r="C332" s="25" t="s">
        <v>802</v>
      </c>
      <c r="D332" s="25" t="s">
        <v>803</v>
      </c>
      <c r="E332" s="26" t="s">
        <v>43</v>
      </c>
      <c r="F332" s="27" t="s">
        <v>43</v>
      </c>
      <c r="G332" s="28" t="s">
        <v>43</v>
      </c>
      <c r="H332" s="29"/>
      <c r="I332" s="29" t="s">
        <v>44</v>
      </c>
      <c r="J332" s="30">
        <v>10</v>
      </c>
      <c r="K332" s="31">
        <f>2335.5</f>
        <v>2335.5</v>
      </c>
      <c r="L332" s="32" t="s">
        <v>675</v>
      </c>
      <c r="M332" s="31">
        <f>2561</f>
        <v>2561</v>
      </c>
      <c r="N332" s="32" t="s">
        <v>778</v>
      </c>
      <c r="O332" s="31">
        <f>2335.5</f>
        <v>2335.5</v>
      </c>
      <c r="P332" s="32" t="s">
        <v>675</v>
      </c>
      <c r="Q332" s="31">
        <f>2521.5</f>
        <v>2521.5</v>
      </c>
      <c r="R332" s="32" t="s">
        <v>681</v>
      </c>
      <c r="S332" s="33">
        <f>2474.96</f>
        <v>2474.96</v>
      </c>
      <c r="T332" s="30">
        <f>760</f>
        <v>760</v>
      </c>
      <c r="U332" s="30" t="str">
        <f>"－"</f>
        <v>－</v>
      </c>
      <c r="V332" s="30">
        <f>1882945</f>
        <v>1882945</v>
      </c>
      <c r="W332" s="30" t="str">
        <f>"－"</f>
        <v>－</v>
      </c>
      <c r="X332" s="34">
        <f>14</f>
        <v>14</v>
      </c>
    </row>
    <row r="333" spans="1:24" x14ac:dyDescent="0.15">
      <c r="A333" s="25" t="s">
        <v>1078</v>
      </c>
      <c r="B333" s="25" t="s">
        <v>812</v>
      </c>
      <c r="C333" s="25" t="s">
        <v>813</v>
      </c>
      <c r="D333" s="25" t="s">
        <v>814</v>
      </c>
      <c r="E333" s="26" t="s">
        <v>43</v>
      </c>
      <c r="F333" s="27" t="s">
        <v>43</v>
      </c>
      <c r="G333" s="28" t="s">
        <v>43</v>
      </c>
      <c r="H333" s="29"/>
      <c r="I333" s="29" t="s">
        <v>44</v>
      </c>
      <c r="J333" s="30">
        <v>10</v>
      </c>
      <c r="K333" s="31">
        <f>232.9</f>
        <v>232.9</v>
      </c>
      <c r="L333" s="32" t="s">
        <v>675</v>
      </c>
      <c r="M333" s="31">
        <f>255</f>
        <v>255</v>
      </c>
      <c r="N333" s="32" t="s">
        <v>778</v>
      </c>
      <c r="O333" s="31">
        <f>232.9</f>
        <v>232.9</v>
      </c>
      <c r="P333" s="32" t="s">
        <v>675</v>
      </c>
      <c r="Q333" s="31">
        <f>250.8</f>
        <v>250.8</v>
      </c>
      <c r="R333" s="32" t="s">
        <v>681</v>
      </c>
      <c r="S333" s="33">
        <f>245.47</f>
        <v>245.47</v>
      </c>
      <c r="T333" s="30">
        <f>14900</f>
        <v>14900</v>
      </c>
      <c r="U333" s="30" t="str">
        <f>"－"</f>
        <v>－</v>
      </c>
      <c r="V333" s="30">
        <f>3684242</f>
        <v>3684242</v>
      </c>
      <c r="W333" s="30" t="str">
        <f>"－"</f>
        <v>－</v>
      </c>
      <c r="X333" s="34">
        <f>18</f>
        <v>18</v>
      </c>
    </row>
    <row r="334" spans="1:24" x14ac:dyDescent="0.15">
      <c r="A334" s="25" t="s">
        <v>1078</v>
      </c>
      <c r="B334" s="25" t="s">
        <v>804</v>
      </c>
      <c r="C334" s="25" t="s">
        <v>805</v>
      </c>
      <c r="D334" s="25" t="s">
        <v>806</v>
      </c>
      <c r="E334" s="26" t="s">
        <v>43</v>
      </c>
      <c r="F334" s="27" t="s">
        <v>43</v>
      </c>
      <c r="G334" s="28" t="s">
        <v>43</v>
      </c>
      <c r="H334" s="29"/>
      <c r="I334" s="29" t="s">
        <v>44</v>
      </c>
      <c r="J334" s="30">
        <v>10</v>
      </c>
      <c r="K334" s="31">
        <f>183.2</f>
        <v>183.2</v>
      </c>
      <c r="L334" s="32" t="s">
        <v>675</v>
      </c>
      <c r="M334" s="31">
        <f>187.6</f>
        <v>187.6</v>
      </c>
      <c r="N334" s="32" t="s">
        <v>875</v>
      </c>
      <c r="O334" s="31">
        <f>175.7</f>
        <v>175.7</v>
      </c>
      <c r="P334" s="32" t="s">
        <v>675</v>
      </c>
      <c r="Q334" s="31">
        <f>177.8</f>
        <v>177.8</v>
      </c>
      <c r="R334" s="32" t="s">
        <v>681</v>
      </c>
      <c r="S334" s="33">
        <f>179.95</f>
        <v>179.95</v>
      </c>
      <c r="T334" s="30">
        <f>3826320</f>
        <v>3826320</v>
      </c>
      <c r="U334" s="30">
        <f>3812680</f>
        <v>3812680</v>
      </c>
      <c r="V334" s="30">
        <f>685046135</f>
        <v>685046135</v>
      </c>
      <c r="W334" s="30">
        <f>682591756</f>
        <v>682591756</v>
      </c>
      <c r="X334" s="34">
        <f>18</f>
        <v>18</v>
      </c>
    </row>
    <row r="335" spans="1:24" x14ac:dyDescent="0.15">
      <c r="A335" s="25" t="s">
        <v>1078</v>
      </c>
      <c r="B335" s="25" t="s">
        <v>807</v>
      </c>
      <c r="C335" s="25" t="s">
        <v>808</v>
      </c>
      <c r="D335" s="25" t="s">
        <v>809</v>
      </c>
      <c r="E335" s="26" t="s">
        <v>43</v>
      </c>
      <c r="F335" s="27" t="s">
        <v>43</v>
      </c>
      <c r="G335" s="28" t="s">
        <v>43</v>
      </c>
      <c r="H335" s="29"/>
      <c r="I335" s="29" t="s">
        <v>44</v>
      </c>
      <c r="J335" s="30">
        <v>10</v>
      </c>
      <c r="K335" s="31">
        <f>702.2</f>
        <v>702.2</v>
      </c>
      <c r="L335" s="32" t="s">
        <v>675</v>
      </c>
      <c r="M335" s="31">
        <f>703.3</f>
        <v>703.3</v>
      </c>
      <c r="N335" s="32" t="s">
        <v>675</v>
      </c>
      <c r="O335" s="31">
        <f>678.5</f>
        <v>678.5</v>
      </c>
      <c r="P335" s="32" t="s">
        <v>683</v>
      </c>
      <c r="Q335" s="31">
        <f>679.8</f>
        <v>679.8</v>
      </c>
      <c r="R335" s="32" t="s">
        <v>676</v>
      </c>
      <c r="S335" s="33">
        <f>687.72</f>
        <v>687.72</v>
      </c>
      <c r="T335" s="30">
        <f>64140</f>
        <v>64140</v>
      </c>
      <c r="U335" s="30">
        <f>63390</f>
        <v>63390</v>
      </c>
      <c r="V335" s="30">
        <f>44191599</f>
        <v>44191599</v>
      </c>
      <c r="W335" s="30">
        <f>43669311</f>
        <v>43669311</v>
      </c>
      <c r="X335" s="34">
        <f>10</f>
        <v>10</v>
      </c>
    </row>
    <row r="336" spans="1:24" x14ac:dyDescent="0.15">
      <c r="A336" s="25" t="s">
        <v>1078</v>
      </c>
      <c r="B336" s="25" t="s">
        <v>815</v>
      </c>
      <c r="C336" s="25" t="s">
        <v>816</v>
      </c>
      <c r="D336" s="25" t="s">
        <v>817</v>
      </c>
      <c r="E336" s="26" t="s">
        <v>43</v>
      </c>
      <c r="F336" s="27" t="s">
        <v>43</v>
      </c>
      <c r="G336" s="28" t="s">
        <v>43</v>
      </c>
      <c r="H336" s="29"/>
      <c r="I336" s="29" t="s">
        <v>44</v>
      </c>
      <c r="J336" s="30">
        <v>1</v>
      </c>
      <c r="K336" s="31">
        <f>1220</f>
        <v>1220</v>
      </c>
      <c r="L336" s="32" t="s">
        <v>675</v>
      </c>
      <c r="M336" s="31">
        <f>1402</f>
        <v>1402</v>
      </c>
      <c r="N336" s="32" t="s">
        <v>778</v>
      </c>
      <c r="O336" s="31">
        <f>1220</f>
        <v>1220</v>
      </c>
      <c r="P336" s="32" t="s">
        <v>675</v>
      </c>
      <c r="Q336" s="31">
        <f>1371</f>
        <v>1371</v>
      </c>
      <c r="R336" s="32" t="s">
        <v>681</v>
      </c>
      <c r="S336" s="33">
        <f>1338.68</f>
        <v>1338.68</v>
      </c>
      <c r="T336" s="30">
        <f>226866</f>
        <v>226866</v>
      </c>
      <c r="U336" s="30">
        <f>1</f>
        <v>1</v>
      </c>
      <c r="V336" s="30">
        <f>307804358</f>
        <v>307804358</v>
      </c>
      <c r="W336" s="30">
        <f>1371</f>
        <v>1371</v>
      </c>
      <c r="X336" s="34">
        <f>19</f>
        <v>19</v>
      </c>
    </row>
    <row r="337" spans="1:24" x14ac:dyDescent="0.15">
      <c r="A337" s="25" t="s">
        <v>1078</v>
      </c>
      <c r="B337" s="25" t="s">
        <v>818</v>
      </c>
      <c r="C337" s="25" t="s">
        <v>819</v>
      </c>
      <c r="D337" s="25" t="s">
        <v>820</v>
      </c>
      <c r="E337" s="26" t="s">
        <v>43</v>
      </c>
      <c r="F337" s="27" t="s">
        <v>43</v>
      </c>
      <c r="G337" s="28" t="s">
        <v>43</v>
      </c>
      <c r="H337" s="29"/>
      <c r="I337" s="29" t="s">
        <v>44</v>
      </c>
      <c r="J337" s="30">
        <v>1</v>
      </c>
      <c r="K337" s="31">
        <f>941</f>
        <v>941</v>
      </c>
      <c r="L337" s="32" t="s">
        <v>675</v>
      </c>
      <c r="M337" s="31">
        <f>960</f>
        <v>960</v>
      </c>
      <c r="N337" s="32" t="s">
        <v>760</v>
      </c>
      <c r="O337" s="31">
        <f>929</f>
        <v>929</v>
      </c>
      <c r="P337" s="32" t="s">
        <v>679</v>
      </c>
      <c r="Q337" s="31">
        <f>929</f>
        <v>929</v>
      </c>
      <c r="R337" s="32" t="s">
        <v>681</v>
      </c>
      <c r="S337" s="33">
        <f>942</f>
        <v>942</v>
      </c>
      <c r="T337" s="30">
        <f>67854</f>
        <v>67854</v>
      </c>
      <c r="U337" s="30" t="str">
        <f>"－"</f>
        <v>－</v>
      </c>
      <c r="V337" s="30">
        <f>63661687</f>
        <v>63661687</v>
      </c>
      <c r="W337" s="30" t="str">
        <f>"－"</f>
        <v>－</v>
      </c>
      <c r="X337" s="34">
        <f>19</f>
        <v>19</v>
      </c>
    </row>
    <row r="338" spans="1:24" x14ac:dyDescent="0.15">
      <c r="A338" s="25" t="s">
        <v>1078</v>
      </c>
      <c r="B338" s="25" t="s">
        <v>821</v>
      </c>
      <c r="C338" s="25" t="s">
        <v>822</v>
      </c>
      <c r="D338" s="25" t="s">
        <v>823</v>
      </c>
      <c r="E338" s="26" t="s">
        <v>43</v>
      </c>
      <c r="F338" s="27" t="s">
        <v>43</v>
      </c>
      <c r="G338" s="28" t="s">
        <v>43</v>
      </c>
      <c r="H338" s="29"/>
      <c r="I338" s="29" t="s">
        <v>44</v>
      </c>
      <c r="J338" s="30">
        <v>10</v>
      </c>
      <c r="K338" s="31">
        <f>726.3</f>
        <v>726.3</v>
      </c>
      <c r="L338" s="32" t="s">
        <v>675</v>
      </c>
      <c r="M338" s="31">
        <f>755.7</f>
        <v>755.7</v>
      </c>
      <c r="N338" s="32" t="s">
        <v>875</v>
      </c>
      <c r="O338" s="31">
        <f>716.6</f>
        <v>716.6</v>
      </c>
      <c r="P338" s="32" t="s">
        <v>679</v>
      </c>
      <c r="Q338" s="31">
        <f>721.1</f>
        <v>721.1</v>
      </c>
      <c r="R338" s="32" t="s">
        <v>681</v>
      </c>
      <c r="S338" s="33">
        <f>721.5</f>
        <v>721.5</v>
      </c>
      <c r="T338" s="30">
        <f>974650</f>
        <v>974650</v>
      </c>
      <c r="U338" s="30">
        <f>170250</f>
        <v>170250</v>
      </c>
      <c r="V338" s="30">
        <f>703635425</f>
        <v>703635425</v>
      </c>
      <c r="W338" s="30">
        <f>122801194</f>
        <v>122801194</v>
      </c>
      <c r="X338" s="34">
        <f>19</f>
        <v>19</v>
      </c>
    </row>
    <row r="339" spans="1:24" x14ac:dyDescent="0.15">
      <c r="A339" s="25" t="s">
        <v>1078</v>
      </c>
      <c r="B339" s="25" t="s">
        <v>824</v>
      </c>
      <c r="C339" s="25" t="s">
        <v>825</v>
      </c>
      <c r="D339" s="25" t="s">
        <v>826</v>
      </c>
      <c r="E339" s="26" t="s">
        <v>43</v>
      </c>
      <c r="F339" s="27" t="s">
        <v>43</v>
      </c>
      <c r="G339" s="28" t="s">
        <v>43</v>
      </c>
      <c r="H339" s="29"/>
      <c r="I339" s="29" t="s">
        <v>44</v>
      </c>
      <c r="J339" s="30">
        <v>10</v>
      </c>
      <c r="K339" s="31">
        <f>721.9</f>
        <v>721.9</v>
      </c>
      <c r="L339" s="32" t="s">
        <v>675</v>
      </c>
      <c r="M339" s="31">
        <f>721.9</f>
        <v>721.9</v>
      </c>
      <c r="N339" s="32" t="s">
        <v>675</v>
      </c>
      <c r="O339" s="31">
        <f>697</f>
        <v>697</v>
      </c>
      <c r="P339" s="32" t="s">
        <v>679</v>
      </c>
      <c r="Q339" s="31">
        <f>704.2</f>
        <v>704.2</v>
      </c>
      <c r="R339" s="32" t="s">
        <v>681</v>
      </c>
      <c r="S339" s="33">
        <f>705.03</f>
        <v>705.03</v>
      </c>
      <c r="T339" s="30">
        <f>4583740</f>
        <v>4583740</v>
      </c>
      <c r="U339" s="30">
        <f>4406010</f>
        <v>4406010</v>
      </c>
      <c r="V339" s="30">
        <f>3242778336</f>
        <v>3242778336</v>
      </c>
      <c r="W339" s="30">
        <f>3118195716</f>
        <v>3118195716</v>
      </c>
      <c r="X339" s="34">
        <f>19</f>
        <v>19</v>
      </c>
    </row>
    <row r="340" spans="1:24" x14ac:dyDescent="0.15">
      <c r="A340" s="25" t="s">
        <v>1078</v>
      </c>
      <c r="B340" s="25" t="s">
        <v>827</v>
      </c>
      <c r="C340" s="25" t="s">
        <v>828</v>
      </c>
      <c r="D340" s="25" t="s">
        <v>829</v>
      </c>
      <c r="E340" s="26" t="s">
        <v>43</v>
      </c>
      <c r="F340" s="27" t="s">
        <v>43</v>
      </c>
      <c r="G340" s="28" t="s">
        <v>43</v>
      </c>
      <c r="H340" s="29"/>
      <c r="I340" s="29" t="s">
        <v>44</v>
      </c>
      <c r="J340" s="30">
        <v>1</v>
      </c>
      <c r="K340" s="31">
        <f>1211</f>
        <v>1211</v>
      </c>
      <c r="L340" s="32" t="s">
        <v>675</v>
      </c>
      <c r="M340" s="31">
        <f>1219</f>
        <v>1219</v>
      </c>
      <c r="N340" s="32" t="s">
        <v>677</v>
      </c>
      <c r="O340" s="31">
        <f>1187</f>
        <v>1187</v>
      </c>
      <c r="P340" s="32" t="s">
        <v>677</v>
      </c>
      <c r="Q340" s="31">
        <f>1210</f>
        <v>1210</v>
      </c>
      <c r="R340" s="32" t="s">
        <v>681</v>
      </c>
      <c r="S340" s="33">
        <f>1205</f>
        <v>1205</v>
      </c>
      <c r="T340" s="30">
        <f>399481</f>
        <v>399481</v>
      </c>
      <c r="U340" s="30" t="str">
        <f>"－"</f>
        <v>－</v>
      </c>
      <c r="V340" s="30">
        <f>477193696</f>
        <v>477193696</v>
      </c>
      <c r="W340" s="30" t="str">
        <f>"－"</f>
        <v>－</v>
      </c>
      <c r="X340" s="34">
        <f>19</f>
        <v>19</v>
      </c>
    </row>
    <row r="341" spans="1:24" x14ac:dyDescent="0.15">
      <c r="A341" s="25" t="s">
        <v>1078</v>
      </c>
      <c r="B341" s="25" t="s">
        <v>836</v>
      </c>
      <c r="C341" s="25" t="s">
        <v>837</v>
      </c>
      <c r="D341" s="25" t="s">
        <v>838</v>
      </c>
      <c r="E341" s="26" t="s">
        <v>43</v>
      </c>
      <c r="F341" s="27" t="s">
        <v>43</v>
      </c>
      <c r="G341" s="28" t="s">
        <v>43</v>
      </c>
      <c r="H341" s="29"/>
      <c r="I341" s="29" t="s">
        <v>44</v>
      </c>
      <c r="J341" s="30">
        <v>10</v>
      </c>
      <c r="K341" s="31">
        <f>2467</f>
        <v>2467</v>
      </c>
      <c r="L341" s="32" t="s">
        <v>675</v>
      </c>
      <c r="M341" s="31">
        <f>2494</f>
        <v>2494</v>
      </c>
      <c r="N341" s="32" t="s">
        <v>777</v>
      </c>
      <c r="O341" s="31">
        <f>2350</f>
        <v>2350</v>
      </c>
      <c r="P341" s="32" t="s">
        <v>678</v>
      </c>
      <c r="Q341" s="31">
        <f>2494</f>
        <v>2494</v>
      </c>
      <c r="R341" s="32" t="s">
        <v>681</v>
      </c>
      <c r="S341" s="33">
        <f>2409.05</f>
        <v>2409.0500000000002</v>
      </c>
      <c r="T341" s="30">
        <f>48480</f>
        <v>48480</v>
      </c>
      <c r="U341" s="30" t="str">
        <f>"－"</f>
        <v>－</v>
      </c>
      <c r="V341" s="30">
        <f>118228825</f>
        <v>118228825</v>
      </c>
      <c r="W341" s="30" t="str">
        <f>"－"</f>
        <v>－</v>
      </c>
      <c r="X341" s="34">
        <f>19</f>
        <v>19</v>
      </c>
    </row>
    <row r="342" spans="1:24" x14ac:dyDescent="0.15">
      <c r="A342" s="25" t="s">
        <v>1078</v>
      </c>
      <c r="B342" s="25" t="s">
        <v>839</v>
      </c>
      <c r="C342" s="25" t="s">
        <v>840</v>
      </c>
      <c r="D342" s="25" t="s">
        <v>841</v>
      </c>
      <c r="E342" s="26" t="s">
        <v>43</v>
      </c>
      <c r="F342" s="27" t="s">
        <v>43</v>
      </c>
      <c r="G342" s="28" t="s">
        <v>43</v>
      </c>
      <c r="H342" s="29"/>
      <c r="I342" s="29" t="s">
        <v>44</v>
      </c>
      <c r="J342" s="30">
        <v>10</v>
      </c>
      <c r="K342" s="31">
        <f>2393</f>
        <v>2393</v>
      </c>
      <c r="L342" s="32" t="s">
        <v>675</v>
      </c>
      <c r="M342" s="31">
        <f>2445.5</f>
        <v>2445.5</v>
      </c>
      <c r="N342" s="32" t="s">
        <v>676</v>
      </c>
      <c r="O342" s="31">
        <f>2353</f>
        <v>2353</v>
      </c>
      <c r="P342" s="32" t="s">
        <v>678</v>
      </c>
      <c r="Q342" s="31">
        <f>2434.5</f>
        <v>2434.5</v>
      </c>
      <c r="R342" s="32" t="s">
        <v>681</v>
      </c>
      <c r="S342" s="33">
        <f>2398.21</f>
        <v>2398.21</v>
      </c>
      <c r="T342" s="30">
        <f>1364170</f>
        <v>1364170</v>
      </c>
      <c r="U342" s="30">
        <f>836000</f>
        <v>836000</v>
      </c>
      <c r="V342" s="30">
        <f>3273550930</f>
        <v>3273550930</v>
      </c>
      <c r="W342" s="30">
        <f>2009551885</f>
        <v>2009551885</v>
      </c>
      <c r="X342" s="34">
        <f>19</f>
        <v>19</v>
      </c>
    </row>
    <row r="343" spans="1:24" x14ac:dyDescent="0.15">
      <c r="A343" s="25" t="s">
        <v>1078</v>
      </c>
      <c r="B343" s="25" t="s">
        <v>830</v>
      </c>
      <c r="C343" s="25" t="s">
        <v>831</v>
      </c>
      <c r="D343" s="25" t="s">
        <v>832</v>
      </c>
      <c r="E343" s="26" t="s">
        <v>43</v>
      </c>
      <c r="F343" s="27" t="s">
        <v>43</v>
      </c>
      <c r="G343" s="28" t="s">
        <v>43</v>
      </c>
      <c r="H343" s="29"/>
      <c r="I343" s="29" t="s">
        <v>44</v>
      </c>
      <c r="J343" s="30">
        <v>10</v>
      </c>
      <c r="K343" s="31">
        <f>5310</f>
        <v>5310</v>
      </c>
      <c r="L343" s="32" t="s">
        <v>675</v>
      </c>
      <c r="M343" s="31">
        <f>5413</f>
        <v>5413</v>
      </c>
      <c r="N343" s="32" t="s">
        <v>680</v>
      </c>
      <c r="O343" s="31">
        <f>5285</f>
        <v>5285</v>
      </c>
      <c r="P343" s="32" t="s">
        <v>876</v>
      </c>
      <c r="Q343" s="31">
        <f>5358</f>
        <v>5358</v>
      </c>
      <c r="R343" s="32" t="s">
        <v>777</v>
      </c>
      <c r="S343" s="33">
        <f>5341.77</f>
        <v>5341.77</v>
      </c>
      <c r="T343" s="30">
        <f>167480</f>
        <v>167480</v>
      </c>
      <c r="U343" s="30" t="str">
        <f>"－"</f>
        <v>－</v>
      </c>
      <c r="V343" s="30">
        <f>891718540</f>
        <v>891718540</v>
      </c>
      <c r="W343" s="30" t="str">
        <f>"－"</f>
        <v>－</v>
      </c>
      <c r="X343" s="34">
        <f>13</f>
        <v>13</v>
      </c>
    </row>
    <row r="344" spans="1:24" x14ac:dyDescent="0.15">
      <c r="A344" s="25" t="s">
        <v>1078</v>
      </c>
      <c r="B344" s="25" t="s">
        <v>833</v>
      </c>
      <c r="C344" s="25" t="s">
        <v>834</v>
      </c>
      <c r="D344" s="25" t="s">
        <v>835</v>
      </c>
      <c r="E344" s="26" t="s">
        <v>43</v>
      </c>
      <c r="F344" s="27" t="s">
        <v>43</v>
      </c>
      <c r="G344" s="28" t="s">
        <v>43</v>
      </c>
      <c r="H344" s="29"/>
      <c r="I344" s="29" t="s">
        <v>44</v>
      </c>
      <c r="J344" s="30">
        <v>10</v>
      </c>
      <c r="K344" s="31">
        <f>4478</f>
        <v>4478</v>
      </c>
      <c r="L344" s="32" t="s">
        <v>675</v>
      </c>
      <c r="M344" s="31">
        <f>4478</f>
        <v>4478</v>
      </c>
      <c r="N344" s="32" t="s">
        <v>675</v>
      </c>
      <c r="O344" s="31">
        <f>4361</f>
        <v>4361</v>
      </c>
      <c r="P344" s="32" t="s">
        <v>680</v>
      </c>
      <c r="Q344" s="31">
        <f>4441</f>
        <v>4441</v>
      </c>
      <c r="R344" s="32" t="s">
        <v>883</v>
      </c>
      <c r="S344" s="33">
        <f>4407.79</f>
        <v>4407.79</v>
      </c>
      <c r="T344" s="30">
        <f>73310</f>
        <v>73310</v>
      </c>
      <c r="U344" s="30">
        <f>15000</f>
        <v>15000</v>
      </c>
      <c r="V344" s="30">
        <f>323738830</f>
        <v>323738830</v>
      </c>
      <c r="W344" s="30">
        <f>66308000</f>
        <v>66308000</v>
      </c>
      <c r="X344" s="34">
        <f>14</f>
        <v>14</v>
      </c>
    </row>
    <row r="345" spans="1:24" x14ac:dyDescent="0.15">
      <c r="A345" s="25" t="s">
        <v>1078</v>
      </c>
      <c r="B345" s="25" t="s">
        <v>842</v>
      </c>
      <c r="C345" s="25" t="s">
        <v>843</v>
      </c>
      <c r="D345" s="25" t="s">
        <v>844</v>
      </c>
      <c r="E345" s="26" t="s">
        <v>43</v>
      </c>
      <c r="F345" s="27" t="s">
        <v>43</v>
      </c>
      <c r="G345" s="28" t="s">
        <v>43</v>
      </c>
      <c r="H345" s="29"/>
      <c r="I345" s="29" t="s">
        <v>44</v>
      </c>
      <c r="J345" s="30">
        <v>10</v>
      </c>
      <c r="K345" s="31">
        <f>1928</f>
        <v>1928</v>
      </c>
      <c r="L345" s="32" t="s">
        <v>675</v>
      </c>
      <c r="M345" s="31">
        <f>1935</f>
        <v>1935</v>
      </c>
      <c r="N345" s="32" t="s">
        <v>681</v>
      </c>
      <c r="O345" s="31">
        <f>1906</f>
        <v>1906</v>
      </c>
      <c r="P345" s="32" t="s">
        <v>682</v>
      </c>
      <c r="Q345" s="31">
        <f>1935</f>
        <v>1935</v>
      </c>
      <c r="R345" s="32" t="s">
        <v>681</v>
      </c>
      <c r="S345" s="33">
        <f>1917.92</f>
        <v>1917.92</v>
      </c>
      <c r="T345" s="30">
        <f>390</f>
        <v>390</v>
      </c>
      <c r="U345" s="30" t="str">
        <f>"－"</f>
        <v>－</v>
      </c>
      <c r="V345" s="30">
        <f>747335</f>
        <v>747335</v>
      </c>
      <c r="W345" s="30" t="str">
        <f>"－"</f>
        <v>－</v>
      </c>
      <c r="X345" s="34">
        <f>12</f>
        <v>12</v>
      </c>
    </row>
    <row r="346" spans="1:24" x14ac:dyDescent="0.15">
      <c r="A346" s="25" t="s">
        <v>1078</v>
      </c>
      <c r="B346" s="25" t="s">
        <v>845</v>
      </c>
      <c r="C346" s="25" t="s">
        <v>846</v>
      </c>
      <c r="D346" s="25" t="s">
        <v>847</v>
      </c>
      <c r="E346" s="26" t="s">
        <v>43</v>
      </c>
      <c r="F346" s="27" t="s">
        <v>43</v>
      </c>
      <c r="G346" s="28" t="s">
        <v>43</v>
      </c>
      <c r="H346" s="29"/>
      <c r="I346" s="29" t="s">
        <v>44</v>
      </c>
      <c r="J346" s="30">
        <v>1</v>
      </c>
      <c r="K346" s="31">
        <f>1291</f>
        <v>1291</v>
      </c>
      <c r="L346" s="32" t="s">
        <v>675</v>
      </c>
      <c r="M346" s="31">
        <f>1305</f>
        <v>1305</v>
      </c>
      <c r="N346" s="32" t="s">
        <v>778</v>
      </c>
      <c r="O346" s="31">
        <f>1250</f>
        <v>1250</v>
      </c>
      <c r="P346" s="32" t="s">
        <v>680</v>
      </c>
      <c r="Q346" s="31">
        <f>1263</f>
        <v>1263</v>
      </c>
      <c r="R346" s="32" t="s">
        <v>681</v>
      </c>
      <c r="S346" s="33">
        <f>1270</f>
        <v>1270</v>
      </c>
      <c r="T346" s="30">
        <f>12521</f>
        <v>12521</v>
      </c>
      <c r="U346" s="30" t="str">
        <f>"－"</f>
        <v>－</v>
      </c>
      <c r="V346" s="30">
        <f>15867515</f>
        <v>15867515</v>
      </c>
      <c r="W346" s="30" t="str">
        <f>"－"</f>
        <v>－</v>
      </c>
      <c r="X346" s="34">
        <f>19</f>
        <v>19</v>
      </c>
    </row>
    <row r="347" spans="1:24" x14ac:dyDescent="0.15">
      <c r="A347" s="25" t="s">
        <v>1078</v>
      </c>
      <c r="B347" s="25" t="s">
        <v>848</v>
      </c>
      <c r="C347" s="25" t="s">
        <v>849</v>
      </c>
      <c r="D347" s="25" t="s">
        <v>850</v>
      </c>
      <c r="E347" s="26" t="s">
        <v>43</v>
      </c>
      <c r="F347" s="27" t="s">
        <v>43</v>
      </c>
      <c r="G347" s="28" t="s">
        <v>43</v>
      </c>
      <c r="H347" s="29"/>
      <c r="I347" s="29" t="s">
        <v>44</v>
      </c>
      <c r="J347" s="30">
        <v>1</v>
      </c>
      <c r="K347" s="31">
        <f>1078</f>
        <v>1078</v>
      </c>
      <c r="L347" s="32" t="s">
        <v>675</v>
      </c>
      <c r="M347" s="31">
        <f>1154</f>
        <v>1154</v>
      </c>
      <c r="N347" s="32" t="s">
        <v>681</v>
      </c>
      <c r="O347" s="31">
        <f>1075</f>
        <v>1075</v>
      </c>
      <c r="P347" s="32" t="s">
        <v>675</v>
      </c>
      <c r="Q347" s="31">
        <f>1144</f>
        <v>1144</v>
      </c>
      <c r="R347" s="32" t="s">
        <v>681</v>
      </c>
      <c r="S347" s="33">
        <f>1118.89</f>
        <v>1118.8900000000001</v>
      </c>
      <c r="T347" s="30">
        <f>1253644</f>
        <v>1253644</v>
      </c>
      <c r="U347" s="30">
        <f>3</f>
        <v>3</v>
      </c>
      <c r="V347" s="30">
        <f>1394319766</f>
        <v>1394319766</v>
      </c>
      <c r="W347" s="30">
        <f>3466</f>
        <v>3466</v>
      </c>
      <c r="X347" s="34">
        <f>19</f>
        <v>19</v>
      </c>
    </row>
    <row r="348" spans="1:24" x14ac:dyDescent="0.15">
      <c r="A348" s="25" t="s">
        <v>1078</v>
      </c>
      <c r="B348" s="25" t="s">
        <v>851</v>
      </c>
      <c r="C348" s="25" t="s">
        <v>852</v>
      </c>
      <c r="D348" s="25" t="s">
        <v>853</v>
      </c>
      <c r="E348" s="26" t="s">
        <v>43</v>
      </c>
      <c r="F348" s="27" t="s">
        <v>43</v>
      </c>
      <c r="G348" s="28" t="s">
        <v>43</v>
      </c>
      <c r="H348" s="29"/>
      <c r="I348" s="29" t="s">
        <v>44</v>
      </c>
      <c r="J348" s="30">
        <v>1</v>
      </c>
      <c r="K348" s="31">
        <f>936</f>
        <v>936</v>
      </c>
      <c r="L348" s="32" t="s">
        <v>675</v>
      </c>
      <c r="M348" s="31">
        <f>1000</f>
        <v>1000</v>
      </c>
      <c r="N348" s="32" t="s">
        <v>681</v>
      </c>
      <c r="O348" s="31">
        <f>936</f>
        <v>936</v>
      </c>
      <c r="P348" s="32" t="s">
        <v>675</v>
      </c>
      <c r="Q348" s="31">
        <f>998</f>
        <v>998</v>
      </c>
      <c r="R348" s="32" t="s">
        <v>681</v>
      </c>
      <c r="S348" s="33">
        <f>969.32</f>
        <v>969.32</v>
      </c>
      <c r="T348" s="30">
        <f>959737</f>
        <v>959737</v>
      </c>
      <c r="U348" s="30">
        <f>414</f>
        <v>414</v>
      </c>
      <c r="V348" s="30">
        <f>923345546</f>
        <v>923345546</v>
      </c>
      <c r="W348" s="30">
        <f>389582</f>
        <v>389582</v>
      </c>
      <c r="X348" s="34">
        <f>19</f>
        <v>19</v>
      </c>
    </row>
    <row r="349" spans="1:24" x14ac:dyDescent="0.15">
      <c r="A349" s="25" t="s">
        <v>1078</v>
      </c>
      <c r="B349" s="25" t="s">
        <v>858</v>
      </c>
      <c r="C349" s="25" t="s">
        <v>859</v>
      </c>
      <c r="D349" s="25" t="s">
        <v>860</v>
      </c>
      <c r="E349" s="26" t="s">
        <v>43</v>
      </c>
      <c r="F349" s="27" t="s">
        <v>43</v>
      </c>
      <c r="G349" s="28" t="s">
        <v>43</v>
      </c>
      <c r="H349" s="29"/>
      <c r="I349" s="29" t="s">
        <v>44</v>
      </c>
      <c r="J349" s="30">
        <v>1</v>
      </c>
      <c r="K349" s="31">
        <f>1107</f>
        <v>1107</v>
      </c>
      <c r="L349" s="32" t="s">
        <v>675</v>
      </c>
      <c r="M349" s="31">
        <f>1116</f>
        <v>1116</v>
      </c>
      <c r="N349" s="32" t="s">
        <v>677</v>
      </c>
      <c r="O349" s="31">
        <f>1060</f>
        <v>1060</v>
      </c>
      <c r="P349" s="32" t="s">
        <v>678</v>
      </c>
      <c r="Q349" s="31">
        <f>1085</f>
        <v>1085</v>
      </c>
      <c r="R349" s="32" t="s">
        <v>681</v>
      </c>
      <c r="S349" s="33">
        <f>1083.95</f>
        <v>1083.95</v>
      </c>
      <c r="T349" s="30">
        <f>19267</f>
        <v>19267</v>
      </c>
      <c r="U349" s="30" t="str">
        <f>"－"</f>
        <v>－</v>
      </c>
      <c r="V349" s="30">
        <f>20840433</f>
        <v>20840433</v>
      </c>
      <c r="W349" s="30" t="str">
        <f>"－"</f>
        <v>－</v>
      </c>
      <c r="X349" s="34">
        <f>19</f>
        <v>19</v>
      </c>
    </row>
    <row r="350" spans="1:24" x14ac:dyDescent="0.15">
      <c r="A350" s="25" t="s">
        <v>1078</v>
      </c>
      <c r="B350" s="25" t="s">
        <v>861</v>
      </c>
      <c r="C350" s="25" t="s">
        <v>862</v>
      </c>
      <c r="D350" s="25" t="s">
        <v>863</v>
      </c>
      <c r="E350" s="26" t="s">
        <v>43</v>
      </c>
      <c r="F350" s="27" t="s">
        <v>43</v>
      </c>
      <c r="G350" s="28" t="s">
        <v>43</v>
      </c>
      <c r="H350" s="29"/>
      <c r="I350" s="29" t="s">
        <v>44</v>
      </c>
      <c r="J350" s="30">
        <v>1</v>
      </c>
      <c r="K350" s="31">
        <f>976</f>
        <v>976</v>
      </c>
      <c r="L350" s="32" t="s">
        <v>675</v>
      </c>
      <c r="M350" s="31">
        <f>1020</f>
        <v>1020</v>
      </c>
      <c r="N350" s="32" t="s">
        <v>883</v>
      </c>
      <c r="O350" s="31">
        <f>970</f>
        <v>970</v>
      </c>
      <c r="P350" s="32" t="s">
        <v>675</v>
      </c>
      <c r="Q350" s="31">
        <f>1018</f>
        <v>1018</v>
      </c>
      <c r="R350" s="32" t="s">
        <v>681</v>
      </c>
      <c r="S350" s="33">
        <f>1001.74</f>
        <v>1001.74</v>
      </c>
      <c r="T350" s="30">
        <f>610026</f>
        <v>610026</v>
      </c>
      <c r="U350" s="30">
        <f>4</f>
        <v>4</v>
      </c>
      <c r="V350" s="30">
        <f>609284712</f>
        <v>609284712</v>
      </c>
      <c r="W350" s="30">
        <f>3977</f>
        <v>3977</v>
      </c>
      <c r="X350" s="34">
        <f>19</f>
        <v>19</v>
      </c>
    </row>
    <row r="351" spans="1:24" x14ac:dyDescent="0.15">
      <c r="A351" s="25" t="s">
        <v>1078</v>
      </c>
      <c r="B351" s="25" t="s">
        <v>864</v>
      </c>
      <c r="C351" s="25" t="s">
        <v>865</v>
      </c>
      <c r="D351" s="25" t="s">
        <v>950</v>
      </c>
      <c r="E351" s="26" t="s">
        <v>43</v>
      </c>
      <c r="F351" s="27" t="s">
        <v>43</v>
      </c>
      <c r="G351" s="28" t="s">
        <v>43</v>
      </c>
      <c r="H351" s="29"/>
      <c r="I351" s="29" t="s">
        <v>44</v>
      </c>
      <c r="J351" s="30">
        <v>1</v>
      </c>
      <c r="K351" s="31">
        <f>32780</f>
        <v>32780</v>
      </c>
      <c r="L351" s="32" t="s">
        <v>675</v>
      </c>
      <c r="M351" s="31">
        <f>37560</f>
        <v>37560</v>
      </c>
      <c r="N351" s="32" t="s">
        <v>777</v>
      </c>
      <c r="O351" s="31">
        <f>32290</f>
        <v>32290</v>
      </c>
      <c r="P351" s="32" t="s">
        <v>674</v>
      </c>
      <c r="Q351" s="31">
        <f>36330</f>
        <v>36330</v>
      </c>
      <c r="R351" s="32" t="s">
        <v>681</v>
      </c>
      <c r="S351" s="33">
        <f>35168.95</f>
        <v>35168.949999999997</v>
      </c>
      <c r="T351" s="30">
        <f>315943</f>
        <v>315943</v>
      </c>
      <c r="U351" s="30">
        <f>221</f>
        <v>221</v>
      </c>
      <c r="V351" s="30">
        <f>11089482390</f>
        <v>11089482390</v>
      </c>
      <c r="W351" s="30">
        <f>7570610</f>
        <v>7570610</v>
      </c>
      <c r="X351" s="34">
        <f>19</f>
        <v>19</v>
      </c>
    </row>
    <row r="352" spans="1:24" x14ac:dyDescent="0.15">
      <c r="A352" s="25" t="s">
        <v>1078</v>
      </c>
      <c r="B352" s="25" t="s">
        <v>866</v>
      </c>
      <c r="C352" s="25" t="s">
        <v>867</v>
      </c>
      <c r="D352" s="25" t="s">
        <v>951</v>
      </c>
      <c r="E352" s="26" t="s">
        <v>43</v>
      </c>
      <c r="F352" s="27" t="s">
        <v>43</v>
      </c>
      <c r="G352" s="28" t="s">
        <v>43</v>
      </c>
      <c r="H352" s="29"/>
      <c r="I352" s="29" t="s">
        <v>44</v>
      </c>
      <c r="J352" s="30">
        <v>1</v>
      </c>
      <c r="K352" s="31">
        <f>29405</f>
        <v>29405</v>
      </c>
      <c r="L352" s="32" t="s">
        <v>675</v>
      </c>
      <c r="M352" s="31">
        <f>29860</f>
        <v>29860</v>
      </c>
      <c r="N352" s="32" t="s">
        <v>674</v>
      </c>
      <c r="O352" s="31">
        <f>25495</f>
        <v>25495</v>
      </c>
      <c r="P352" s="32" t="s">
        <v>777</v>
      </c>
      <c r="Q352" s="31">
        <f>26335</f>
        <v>26335</v>
      </c>
      <c r="R352" s="32" t="s">
        <v>681</v>
      </c>
      <c r="S352" s="33">
        <f>27382.37</f>
        <v>27382.37</v>
      </c>
      <c r="T352" s="30">
        <f>161441</f>
        <v>161441</v>
      </c>
      <c r="U352" s="30">
        <f>16</f>
        <v>16</v>
      </c>
      <c r="V352" s="30">
        <f>4438899035</f>
        <v>4438899035</v>
      </c>
      <c r="W352" s="30">
        <f>415810</f>
        <v>415810</v>
      </c>
      <c r="X352" s="34">
        <f>19</f>
        <v>19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2024.03</vt:lpstr>
      <vt:lpstr>2024.02</vt:lpstr>
      <vt:lpstr>2024.01</vt:lpstr>
      <vt:lpstr>'2024.01'!Print_Titles</vt:lpstr>
      <vt:lpstr>'2024.02'!Print_Titles</vt:lpstr>
      <vt:lpstr>'2024.03'!Print_Titles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麻子</dc:creator>
  <cp:lastModifiedBy>Tokyo Stock Exchange (YU)</cp:lastModifiedBy>
  <cp:lastPrinted>2023-11-09T04:17:30Z</cp:lastPrinted>
  <dcterms:created xsi:type="dcterms:W3CDTF">2022-02-07T04:54:12Z</dcterms:created>
  <dcterms:modified xsi:type="dcterms:W3CDTF">2024-04-08T01:05:23Z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2023-04-05T05:55:28Z</vt:filetime>
  </property>
</Properties>
</file>