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<sst xmlns="http://schemas.openxmlformats.org/spreadsheetml/2006/main" count="698" uniqueCount="72">
  <si>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</si>
  <si>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</si>
  <si>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</si>
  <si>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</si>
  <si>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</si>
  <si>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</si>
  <si>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</si>
  <si>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</si>
  <si>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</si>
  <si>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</si>
  <si>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</si>
  <si>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</si>
  <si>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</si>
  <si>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</si>
  <si>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</si>
  <si>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</si>
  <si>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</si>
  <si>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</si>
  <si>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</si>
  <si>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</si>
  <si>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</si>
  <si>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</si>
  <si>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</si>
  <si>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</si>
  <si>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</si>
  <si>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</si>
  <si>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</si>
  <si>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日経225オプション</t>
  </si>
  <si>
    <t>Nikkei 225 Options</t>
  </si>
  <si>
    <t>2</t>
  </si>
  <si>
    <t>3</t>
  </si>
  <si>
    <t>4</t>
  </si>
  <si>
    <t>●</t>
  </si>
  <si>
    <t>5</t>
  </si>
  <si>
    <t>6</t>
  </si>
  <si>
    <t>7</t>
  </si>
  <si>
    <t>8</t>
  </si>
  <si>
    <t>9</t>
  </si>
  <si>
    <t>10</t>
  </si>
  <si>
    <t>◎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</si>
  <si>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</si>
  <si>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</si>
  <si>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</si>
  <si>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</si>
  <si>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</si>
  <si>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</si>
  <si>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</si>
  <si>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</si>
  <si>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</si>
  <si>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</si>
  <si>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</si>
  <si>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</si>
  <si>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</si>
  <si>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</si>
  <si>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</si>
  <si>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</si>
  <si>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</si>
  <si>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</si>
  <si>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</si>
  <si>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</si>
  <si>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</si>
  <si>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日経225ミニオプション</t>
  </si>
  <si>
    <t>Nikkei 225 mini Options</t>
  </si>
  <si>
    <t>TOPIXオプション</t>
  </si>
  <si>
    <t>TOPIX Options</t>
  </si>
  <si>
    <t>JPX日経インデックス400オプション</t>
  </si>
  <si>
    <t>JPX-Nikkei Index 400 Options</t>
  </si>
  <si>
    <t>◎●</t>
  </si>
  <si>
    <t>東証銀行業株価指数オプション</t>
  </si>
  <si>
    <t>TOPIX Banks Index Options</t>
  </si>
  <si>
    <t>東証REIT指数オプション</t>
  </si>
  <si>
    <t>TSE REIT Index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</si>
</sst>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95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/>
      <c r="F10" s="23"/>
      <c r="G10" s="25"/>
      <c r="H10" s="23"/>
      <c r="I10" s="26"/>
      <c r="J10" s="24"/>
      <c r="K10" s="25"/>
      <c r="L10" s="23"/>
      <c r="M10" s="25"/>
      <c r="N10" s="23"/>
      <c r="O10" s="26"/>
      <c r="P10" s="27"/>
      <c r="Q10" s="28"/>
      <c r="R10" s="29"/>
      <c r="S10" s="24"/>
      <c r="T10" s="25"/>
      <c r="U10" s="23"/>
      <c r="V10" s="25"/>
      <c r="W10" s="23"/>
      <c r="X10" s="26"/>
      <c r="Y10" s="24"/>
      <c r="Z10" s="25"/>
      <c r="AA10" s="23"/>
      <c r="AB10" s="25"/>
      <c r="AC10" s="23"/>
      <c r="AD10" s="26"/>
    </row>
    <row r="11">
      <c r="A11" s="30" t="s">
        <v>29</v>
      </c>
      <c r="B11" s="22" t="s">
        <v>27</v>
      </c>
      <c r="C11" s="22" t="s">
        <v>28</v>
      </c>
      <c r="D11" s="24"/>
      <c r="E11" s="25"/>
      <c r="F11" s="23"/>
      <c r="G11" s="25"/>
      <c r="H11" s="23"/>
      <c r="I11" s="26"/>
      <c r="J11" s="24"/>
      <c r="K11" s="25"/>
      <c r="L11" s="23"/>
      <c r="M11" s="25"/>
      <c r="N11" s="23"/>
      <c r="O11" s="26"/>
      <c r="P11" s="27"/>
      <c r="Q11" s="28"/>
      <c r="R11" s="29"/>
      <c r="S11" s="24"/>
      <c r="T11" s="25"/>
      <c r="U11" s="23"/>
      <c r="V11" s="25"/>
      <c r="W11" s="23"/>
      <c r="X11" s="26"/>
      <c r="Y11" s="24"/>
      <c r="Z11" s="25"/>
      <c r="AA11" s="23"/>
      <c r="AB11" s="25"/>
      <c r="AC11" s="23"/>
      <c r="AD11" s="26"/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 t="n">
        <f>64839</f>
        <v>64839.0</v>
      </c>
      <c r="F13" s="23"/>
      <c r="G13" s="25" t="n">
        <f>37278</f>
        <v>37278.0</v>
      </c>
      <c r="H13" s="23"/>
      <c r="I13" s="26" t="n">
        <f>102117</f>
        <v>102117.0</v>
      </c>
      <c r="J13" s="24"/>
      <c r="K13" s="25" t="n">
        <f>11112202509</f>
        <v>1.1112202509E10</v>
      </c>
      <c r="L13" s="23" t="s">
        <v>32</v>
      </c>
      <c r="M13" s="25" t="n">
        <f>4945933397</f>
        <v>4.945933397E9</v>
      </c>
      <c r="N13" s="23"/>
      <c r="O13" s="26" t="n">
        <f>16058135906</f>
        <v>1.6058135906E10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/>
      <c r="T13" s="25" t="n">
        <f>15146</f>
        <v>15146.0</v>
      </c>
      <c r="U13" s="23"/>
      <c r="V13" s="25" t="n">
        <f>7446</f>
        <v>7446.0</v>
      </c>
      <c r="W13" s="23"/>
      <c r="X13" s="26" t="n">
        <f>22592</f>
        <v>22592.0</v>
      </c>
      <c r="Y13" s="24"/>
      <c r="Z13" s="25" t="n">
        <f>691342</f>
        <v>691342.0</v>
      </c>
      <c r="AA13" s="23"/>
      <c r="AB13" s="25" t="n">
        <f>441001</f>
        <v>441001.0</v>
      </c>
      <c r="AC13" s="23"/>
      <c r="AD13" s="26" t="n">
        <f>1132343</f>
        <v>1132343.0</v>
      </c>
    </row>
    <row r="14">
      <c r="A14" s="30" t="s">
        <v>33</v>
      </c>
      <c r="B14" s="22" t="s">
        <v>27</v>
      </c>
      <c r="C14" s="22" t="s">
        <v>28</v>
      </c>
      <c r="D14" s="24"/>
      <c r="E14" s="25" t="n">
        <f>39810</f>
        <v>39810.0</v>
      </c>
      <c r="F14" s="23"/>
      <c r="G14" s="25" t="n">
        <f>26994</f>
        <v>26994.0</v>
      </c>
      <c r="H14" s="23"/>
      <c r="I14" s="26" t="n">
        <f>66804</f>
        <v>66804.0</v>
      </c>
      <c r="J14" s="24"/>
      <c r="K14" s="25" t="n">
        <f>6022604470</f>
        <v>6.02260447E9</v>
      </c>
      <c r="L14" s="23"/>
      <c r="M14" s="25" t="n">
        <f>5149334198</f>
        <v>5.149334198E9</v>
      </c>
      <c r="N14" s="23" t="s">
        <v>32</v>
      </c>
      <c r="O14" s="26" t="n">
        <f>11171938668</f>
        <v>1.1171938668E10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6812</f>
        <v>6812.0</v>
      </c>
      <c r="U14" s="23"/>
      <c r="V14" s="25" t="n">
        <f>5439</f>
        <v>5439.0</v>
      </c>
      <c r="W14" s="23"/>
      <c r="X14" s="26" t="n">
        <f>12251</f>
        <v>12251.0</v>
      </c>
      <c r="Y14" s="24"/>
      <c r="Z14" s="25" t="n">
        <f>698710</f>
        <v>698710.0</v>
      </c>
      <c r="AA14" s="23"/>
      <c r="AB14" s="25" t="n">
        <f>444664</f>
        <v>444664.0</v>
      </c>
      <c r="AC14" s="23"/>
      <c r="AD14" s="26" t="n">
        <f>1143374</f>
        <v>1143374.0</v>
      </c>
    </row>
    <row r="15">
      <c r="A15" s="30" t="s">
        <v>34</v>
      </c>
      <c r="B15" s="22" t="s">
        <v>27</v>
      </c>
      <c r="C15" s="22" t="s">
        <v>28</v>
      </c>
      <c r="D15" s="24"/>
      <c r="E15" s="25"/>
      <c r="F15" s="23"/>
      <c r="G15" s="25"/>
      <c r="H15" s="23"/>
      <c r="I15" s="26"/>
      <c r="J15" s="24"/>
      <c r="K15" s="25"/>
      <c r="L15" s="23"/>
      <c r="M15" s="25"/>
      <c r="N15" s="23"/>
      <c r="O15" s="26"/>
      <c r="P15" s="27"/>
      <c r="Q15" s="28"/>
      <c r="R15" s="29"/>
      <c r="S15" s="24"/>
      <c r="T15" s="25"/>
      <c r="U15" s="23"/>
      <c r="V15" s="25"/>
      <c r="W15" s="23"/>
      <c r="X15" s="26"/>
      <c r="Y15" s="24"/>
      <c r="Z15" s="25"/>
      <c r="AA15" s="23"/>
      <c r="AB15" s="25"/>
      <c r="AC15" s="23"/>
      <c r="AD15" s="26"/>
    </row>
    <row r="16">
      <c r="A16" s="30" t="s">
        <v>35</v>
      </c>
      <c r="B16" s="22" t="s">
        <v>27</v>
      </c>
      <c r="C16" s="22" t="s">
        <v>28</v>
      </c>
      <c r="D16" s="24"/>
      <c r="E16" s="25"/>
      <c r="F16" s="23"/>
      <c r="G16" s="25"/>
      <c r="H16" s="23"/>
      <c r="I16" s="26"/>
      <c r="J16" s="24"/>
      <c r="K16" s="25"/>
      <c r="L16" s="23"/>
      <c r="M16" s="25"/>
      <c r="N16" s="23"/>
      <c r="O16" s="26"/>
      <c r="P16" s="27"/>
      <c r="Q16" s="28"/>
      <c r="R16" s="29"/>
      <c r="S16" s="24"/>
      <c r="T16" s="25"/>
      <c r="U16" s="23"/>
      <c r="V16" s="25"/>
      <c r="W16" s="23"/>
      <c r="X16" s="26"/>
      <c r="Y16" s="24"/>
      <c r="Z16" s="25"/>
      <c r="AA16" s="23"/>
      <c r="AB16" s="25"/>
      <c r="AC16" s="23"/>
      <c r="AD16" s="26"/>
    </row>
    <row r="17">
      <c r="A17" s="30" t="s">
        <v>36</v>
      </c>
      <c r="B17" s="22" t="s">
        <v>27</v>
      </c>
      <c r="C17" s="22" t="s">
        <v>28</v>
      </c>
      <c r="D17" s="24"/>
      <c r="E17" s="25"/>
      <c r="F17" s="23"/>
      <c r="G17" s="25"/>
      <c r="H17" s="23"/>
      <c r="I17" s="26"/>
      <c r="J17" s="24"/>
      <c r="K17" s="25"/>
      <c r="L17" s="23"/>
      <c r="M17" s="25"/>
      <c r="N17" s="23"/>
      <c r="O17" s="26"/>
      <c r="P17" s="27"/>
      <c r="Q17" s="28"/>
      <c r="R17" s="29"/>
      <c r="S17" s="24"/>
      <c r="T17" s="25"/>
      <c r="U17" s="23"/>
      <c r="V17" s="25"/>
      <c r="W17" s="23"/>
      <c r="X17" s="26"/>
      <c r="Y17" s="24"/>
      <c r="Z17" s="25"/>
      <c r="AA17" s="23"/>
      <c r="AB17" s="25"/>
      <c r="AC17" s="23"/>
      <c r="AD17" s="26"/>
    </row>
    <row r="18">
      <c r="A18" s="30" t="s">
        <v>37</v>
      </c>
      <c r="B18" s="22" t="s">
        <v>27</v>
      </c>
      <c r="C18" s="22" t="s">
        <v>28</v>
      </c>
      <c r="D18" s="24"/>
      <c r="E18" s="25" t="n">
        <f>57809</f>
        <v>57809.0</v>
      </c>
      <c r="F18" s="23"/>
      <c r="G18" s="25" t="n">
        <f>47996</f>
        <v>47996.0</v>
      </c>
      <c r="H18" s="23"/>
      <c r="I18" s="26" t="n">
        <f>105805</f>
        <v>105805.0</v>
      </c>
      <c r="J18" s="24"/>
      <c r="K18" s="25" t="n">
        <f>10451896665</f>
        <v>1.0451896665E10</v>
      </c>
      <c r="L18" s="23"/>
      <c r="M18" s="25" t="n">
        <f>10821120713</f>
        <v>1.0821120713E10</v>
      </c>
      <c r="N18" s="23"/>
      <c r="O18" s="26" t="n">
        <f>21273017378</f>
        <v>2.1273017378E10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17596</f>
        <v>17596.0</v>
      </c>
      <c r="U18" s="23"/>
      <c r="V18" s="25" t="n">
        <f>9785</f>
        <v>9785.0</v>
      </c>
      <c r="W18" s="23"/>
      <c r="X18" s="26" t="n">
        <f>27381</f>
        <v>27381.0</v>
      </c>
      <c r="Y18" s="24"/>
      <c r="Z18" s="25" t="n">
        <f>711366</f>
        <v>711366.0</v>
      </c>
      <c r="AA18" s="23"/>
      <c r="AB18" s="25" t="n">
        <f>446904</f>
        <v>446904.0</v>
      </c>
      <c r="AC18" s="23"/>
      <c r="AD18" s="26" t="n">
        <f>1158270</f>
        <v>1158270.0</v>
      </c>
    </row>
    <row r="19">
      <c r="A19" s="30" t="s">
        <v>38</v>
      </c>
      <c r="B19" s="22" t="s">
        <v>27</v>
      </c>
      <c r="C19" s="22" t="s">
        <v>28</v>
      </c>
      <c r="D19" s="24"/>
      <c r="E19" s="25" t="n">
        <f>66753</f>
        <v>66753.0</v>
      </c>
      <c r="F19" s="23" t="s">
        <v>39</v>
      </c>
      <c r="G19" s="25" t="n">
        <f>110113</f>
        <v>110113.0</v>
      </c>
      <c r="H19" s="23" t="s">
        <v>39</v>
      </c>
      <c r="I19" s="26" t="n">
        <f>176866</f>
        <v>176866.0</v>
      </c>
      <c r="J19" s="24"/>
      <c r="K19" s="25" t="n">
        <f>21010373750</f>
        <v>2.101037375E10</v>
      </c>
      <c r="L19" s="23"/>
      <c r="M19" s="25" t="n">
        <f>32154269265</f>
        <v>3.2154269265E10</v>
      </c>
      <c r="N19" s="23"/>
      <c r="O19" s="26" t="n">
        <f>53164643015</f>
        <v>5.3164643015E10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17376</f>
        <v>17376.0</v>
      </c>
      <c r="U19" s="23" t="s">
        <v>39</v>
      </c>
      <c r="V19" s="25" t="n">
        <f>37255</f>
        <v>37255.0</v>
      </c>
      <c r="W19" s="23" t="s">
        <v>39</v>
      </c>
      <c r="X19" s="26" t="n">
        <f>54631</f>
        <v>54631.0</v>
      </c>
      <c r="Y19" s="24"/>
      <c r="Z19" s="25" t="n">
        <f>731163</f>
        <v>731163.0</v>
      </c>
      <c r="AA19" s="23"/>
      <c r="AB19" s="25" t="n">
        <f>472743</f>
        <v>472743.0</v>
      </c>
      <c r="AC19" s="23"/>
      <c r="AD19" s="26" t="n">
        <f>1203906</f>
        <v>1203906.0</v>
      </c>
    </row>
    <row r="20">
      <c r="A20" s="30" t="s">
        <v>40</v>
      </c>
      <c r="B20" s="22" t="s">
        <v>27</v>
      </c>
      <c r="C20" s="22" t="s">
        <v>28</v>
      </c>
      <c r="D20" s="24" t="s">
        <v>39</v>
      </c>
      <c r="E20" s="25" t="n">
        <f>82313</f>
        <v>82313.0</v>
      </c>
      <c r="F20" s="23"/>
      <c r="G20" s="25" t="n">
        <f>89158</f>
        <v>89158.0</v>
      </c>
      <c r="H20" s="23"/>
      <c r="I20" s="26" t="n">
        <f>171471</f>
        <v>171471.0</v>
      </c>
      <c r="J20" s="24"/>
      <c r="K20" s="25" t="n">
        <f>13061367037</f>
        <v>1.3061367037E10</v>
      </c>
      <c r="L20" s="23"/>
      <c r="M20" s="25" t="n">
        <f>26939808020</f>
        <v>2.693980802E10</v>
      </c>
      <c r="N20" s="23"/>
      <c r="O20" s="26" t="n">
        <f>40001175057</f>
        <v>4.0001175057E10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4"/>
      <c r="T20" s="25" t="n">
        <f>20258</f>
        <v>20258.0</v>
      </c>
      <c r="U20" s="23"/>
      <c r="V20" s="25" t="n">
        <f>17456</f>
        <v>17456.0</v>
      </c>
      <c r="W20" s="23"/>
      <c r="X20" s="26" t="n">
        <f>37714</f>
        <v>37714.0</v>
      </c>
      <c r="Y20" s="24"/>
      <c r="Z20" s="25" t="n">
        <f>751028</f>
        <v>751028.0</v>
      </c>
      <c r="AA20" s="23"/>
      <c r="AB20" s="25" t="n">
        <f>483185</f>
        <v>483185.0</v>
      </c>
      <c r="AC20" s="23"/>
      <c r="AD20" s="26" t="n">
        <f>1234213</f>
        <v>1234213.0</v>
      </c>
    </row>
    <row r="21">
      <c r="A21" s="30" t="s">
        <v>41</v>
      </c>
      <c r="B21" s="22" t="s">
        <v>27</v>
      </c>
      <c r="C21" s="22" t="s">
        <v>28</v>
      </c>
      <c r="D21" s="24"/>
      <c r="E21" s="25" t="n">
        <f>59668</f>
        <v>59668.0</v>
      </c>
      <c r="F21" s="23"/>
      <c r="G21" s="25" t="n">
        <f>71262</f>
        <v>71262.0</v>
      </c>
      <c r="H21" s="23"/>
      <c r="I21" s="26" t="n">
        <f>130930</f>
        <v>130930.0</v>
      </c>
      <c r="J21" s="24" t="s">
        <v>39</v>
      </c>
      <c r="K21" s="25" t="n">
        <f>24927271867</f>
        <v>2.4927271867E10</v>
      </c>
      <c r="L21" s="23" t="s">
        <v>39</v>
      </c>
      <c r="M21" s="25" t="n">
        <f>50269199629</f>
        <v>5.0269199629E10</v>
      </c>
      <c r="N21" s="23" t="s">
        <v>39</v>
      </c>
      <c r="O21" s="26" t="n">
        <f>75196471496</f>
        <v>7.5196471496E10</v>
      </c>
      <c r="P21" s="27" t="str">
        <f>"－"</f>
        <v>－</v>
      </c>
      <c r="Q21" s="28" t="n">
        <f>65069</f>
        <v>65069.0</v>
      </c>
      <c r="R21" s="29" t="n">
        <f>65069</f>
        <v>65069.0</v>
      </c>
      <c r="S21" s="24"/>
      <c r="T21" s="25" t="n">
        <f>14792</f>
        <v>14792.0</v>
      </c>
      <c r="U21" s="23"/>
      <c r="V21" s="25" t="n">
        <f>24869</f>
        <v>24869.0</v>
      </c>
      <c r="W21" s="23"/>
      <c r="X21" s="26" t="n">
        <f>39661</f>
        <v>39661.0</v>
      </c>
      <c r="Y21" s="24" t="s">
        <v>32</v>
      </c>
      <c r="Z21" s="25" t="n">
        <f>646614</f>
        <v>646614.0</v>
      </c>
      <c r="AA21" s="23" t="s">
        <v>32</v>
      </c>
      <c r="AB21" s="25" t="n">
        <f>431014</f>
        <v>431014.0</v>
      </c>
      <c r="AC21" s="23" t="s">
        <v>32</v>
      </c>
      <c r="AD21" s="26" t="n">
        <f>1077628</f>
        <v>1077628.0</v>
      </c>
    </row>
    <row r="22">
      <c r="A22" s="30" t="s">
        <v>42</v>
      </c>
      <c r="B22" s="22" t="s">
        <v>27</v>
      </c>
      <c r="C22" s="22" t="s">
        <v>28</v>
      </c>
      <c r="D22" s="24"/>
      <c r="E22" s="25"/>
      <c r="F22" s="23"/>
      <c r="G22" s="25"/>
      <c r="H22" s="23"/>
      <c r="I22" s="26"/>
      <c r="J22" s="24"/>
      <c r="K22" s="25"/>
      <c r="L22" s="23"/>
      <c r="M22" s="25"/>
      <c r="N22" s="23"/>
      <c r="O22" s="26"/>
      <c r="P22" s="27"/>
      <c r="Q22" s="28"/>
      <c r="R22" s="29"/>
      <c r="S22" s="24"/>
      <c r="T22" s="25"/>
      <c r="U22" s="23"/>
      <c r="V22" s="25"/>
      <c r="W22" s="23"/>
      <c r="X22" s="26"/>
      <c r="Y22" s="24"/>
      <c r="Z22" s="25"/>
      <c r="AA22" s="23"/>
      <c r="AB22" s="25"/>
      <c r="AC22" s="23"/>
      <c r="AD22" s="26"/>
    </row>
    <row r="23">
      <c r="A23" s="30" t="s">
        <v>43</v>
      </c>
      <c r="B23" s="22" t="s">
        <v>27</v>
      </c>
      <c r="C23" s="22" t="s">
        <v>28</v>
      </c>
      <c r="D23" s="24"/>
      <c r="E23" s="25"/>
      <c r="F23" s="23"/>
      <c r="G23" s="25"/>
      <c r="H23" s="23"/>
      <c r="I23" s="26"/>
      <c r="J23" s="24"/>
      <c r="K23" s="25"/>
      <c r="L23" s="23"/>
      <c r="M23" s="25"/>
      <c r="N23" s="23"/>
      <c r="O23" s="26"/>
      <c r="P23" s="27"/>
      <c r="Q23" s="28"/>
      <c r="R23" s="29"/>
      <c r="S23" s="24"/>
      <c r="T23" s="25"/>
      <c r="U23" s="23"/>
      <c r="V23" s="25"/>
      <c r="W23" s="23"/>
      <c r="X23" s="26"/>
      <c r="Y23" s="24"/>
      <c r="Z23" s="25"/>
      <c r="AA23" s="23"/>
      <c r="AB23" s="25"/>
      <c r="AC23" s="23"/>
      <c r="AD23" s="26"/>
    </row>
    <row r="24">
      <c r="A24" s="30" t="s">
        <v>44</v>
      </c>
      <c r="B24" s="22" t="s">
        <v>27</v>
      </c>
      <c r="C24" s="22" t="s">
        <v>28</v>
      </c>
      <c r="D24" s="24"/>
      <c r="E24" s="25" t="n">
        <f>72303</f>
        <v>72303.0</v>
      </c>
      <c r="F24" s="23"/>
      <c r="G24" s="25" t="n">
        <f>55330</f>
        <v>55330.0</v>
      </c>
      <c r="H24" s="23"/>
      <c r="I24" s="26" t="n">
        <f>127633</f>
        <v>127633.0</v>
      </c>
      <c r="J24" s="24"/>
      <c r="K24" s="25" t="n">
        <f>19872774380</f>
        <v>1.987277438E10</v>
      </c>
      <c r="L24" s="23"/>
      <c r="M24" s="25" t="n">
        <f>25273492894</f>
        <v>2.5273492894E10</v>
      </c>
      <c r="N24" s="23"/>
      <c r="O24" s="26" t="n">
        <f>45146267274</f>
        <v>4.5146267274E10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 t="s">
        <v>39</v>
      </c>
      <c r="T24" s="25" t="n">
        <f>25317</f>
        <v>25317.0</v>
      </c>
      <c r="U24" s="23"/>
      <c r="V24" s="25" t="n">
        <f>13627</f>
        <v>13627.0</v>
      </c>
      <c r="W24" s="23"/>
      <c r="X24" s="26" t="n">
        <f>38944</f>
        <v>38944.0</v>
      </c>
      <c r="Y24" s="24"/>
      <c r="Z24" s="25" t="n">
        <f>665422</f>
        <v>665422.0</v>
      </c>
      <c r="AA24" s="23"/>
      <c r="AB24" s="25" t="n">
        <f>446957</f>
        <v>446957.0</v>
      </c>
      <c r="AC24" s="23"/>
      <c r="AD24" s="26" t="n">
        <f>1112379</f>
        <v>1112379.0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61169</f>
        <v>61169.0</v>
      </c>
      <c r="F25" s="23"/>
      <c r="G25" s="25" t="n">
        <f>37474</f>
        <v>37474.0</v>
      </c>
      <c r="H25" s="23"/>
      <c r="I25" s="26" t="n">
        <f>98643</f>
        <v>98643.0</v>
      </c>
      <c r="J25" s="24"/>
      <c r="K25" s="25" t="n">
        <f>15170931780</f>
        <v>1.517093178E10</v>
      </c>
      <c r="L25" s="23"/>
      <c r="M25" s="25" t="n">
        <f>18618283630</f>
        <v>1.861828363E10</v>
      </c>
      <c r="N25" s="23"/>
      <c r="O25" s="26" t="n">
        <f>33789215410</f>
        <v>3.378921541E10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17796</f>
        <v>17796.0</v>
      </c>
      <c r="U25" s="23"/>
      <c r="V25" s="25" t="n">
        <f>10333</f>
        <v>10333.0</v>
      </c>
      <c r="W25" s="23"/>
      <c r="X25" s="26" t="n">
        <f>28129</f>
        <v>28129.0</v>
      </c>
      <c r="Y25" s="24"/>
      <c r="Z25" s="25" t="n">
        <f>675174</f>
        <v>675174.0</v>
      </c>
      <c r="AA25" s="23"/>
      <c r="AB25" s="25" t="n">
        <f>449037</f>
        <v>449037.0</v>
      </c>
      <c r="AC25" s="23"/>
      <c r="AD25" s="26" t="n">
        <f>1124211</f>
        <v>1124211.0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44353</f>
        <v>44353.0</v>
      </c>
      <c r="F26" s="23"/>
      <c r="G26" s="25" t="n">
        <f>34187</f>
        <v>34187.0</v>
      </c>
      <c r="H26" s="23"/>
      <c r="I26" s="26" t="n">
        <f>78540</f>
        <v>78540.0</v>
      </c>
      <c r="J26" s="24"/>
      <c r="K26" s="25" t="n">
        <f>13874544190</f>
        <v>1.387454419E10</v>
      </c>
      <c r="L26" s="23"/>
      <c r="M26" s="25" t="n">
        <f>12187836840</f>
        <v>1.218783684E10</v>
      </c>
      <c r="N26" s="23"/>
      <c r="O26" s="26" t="n">
        <f>26062381030</f>
        <v>2.606238103E10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 t="s">
        <v>32</v>
      </c>
      <c r="T26" s="25" t="n">
        <f>3459</f>
        <v>3459.0</v>
      </c>
      <c r="U26" s="23"/>
      <c r="V26" s="25" t="n">
        <f>7016</f>
        <v>7016.0</v>
      </c>
      <c r="W26" s="23"/>
      <c r="X26" s="26" t="n">
        <f>10475</f>
        <v>10475.0</v>
      </c>
      <c r="Y26" s="24"/>
      <c r="Z26" s="25" t="n">
        <f>684752</f>
        <v>684752.0</v>
      </c>
      <c r="AA26" s="23"/>
      <c r="AB26" s="25" t="n">
        <f>451981</f>
        <v>451981.0</v>
      </c>
      <c r="AC26" s="23"/>
      <c r="AD26" s="26" t="n">
        <f>1136733</f>
        <v>1136733.0</v>
      </c>
    </row>
    <row r="27">
      <c r="A27" s="30" t="s">
        <v>47</v>
      </c>
      <c r="B27" s="22" t="s">
        <v>27</v>
      </c>
      <c r="C27" s="22" t="s">
        <v>28</v>
      </c>
      <c r="D27" s="24"/>
      <c r="E27" s="25" t="n">
        <f>45336</f>
        <v>45336.0</v>
      </c>
      <c r="F27" s="23"/>
      <c r="G27" s="25" t="n">
        <f>24975</f>
        <v>24975.0</v>
      </c>
      <c r="H27" s="23"/>
      <c r="I27" s="26" t="n">
        <f>70311</f>
        <v>70311.0</v>
      </c>
      <c r="J27" s="24"/>
      <c r="K27" s="25" t="n">
        <f>11331451278</f>
        <v>1.1331451278E10</v>
      </c>
      <c r="L27" s="23"/>
      <c r="M27" s="25" t="n">
        <f>11377211330</f>
        <v>1.137721133E10</v>
      </c>
      <c r="N27" s="23"/>
      <c r="O27" s="26" t="n">
        <f>22708662608</f>
        <v>2.2708662608E10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4191</f>
        <v>4191.0</v>
      </c>
      <c r="U27" s="23"/>
      <c r="V27" s="25" t="n">
        <f>5552</f>
        <v>5552.0</v>
      </c>
      <c r="W27" s="23"/>
      <c r="X27" s="26" t="n">
        <f>9743</f>
        <v>9743.0</v>
      </c>
      <c r="Y27" s="24"/>
      <c r="Z27" s="25" t="n">
        <f>694870</f>
        <v>694870.0</v>
      </c>
      <c r="AA27" s="23"/>
      <c r="AB27" s="25" t="n">
        <f>454841</f>
        <v>454841.0</v>
      </c>
      <c r="AC27" s="23"/>
      <c r="AD27" s="26" t="n">
        <f>1149711</f>
        <v>1149711.0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45926</f>
        <v>45926.0</v>
      </c>
      <c r="F28" s="23"/>
      <c r="G28" s="25" t="n">
        <f>33547</f>
        <v>33547.0</v>
      </c>
      <c r="H28" s="23"/>
      <c r="I28" s="26" t="n">
        <f>79473</f>
        <v>79473.0</v>
      </c>
      <c r="J28" s="24"/>
      <c r="K28" s="25" t="n">
        <f>14526421593</f>
        <v>1.4526421593E10</v>
      </c>
      <c r="L28" s="23"/>
      <c r="M28" s="25" t="n">
        <f>11431758680</f>
        <v>1.143175868E10</v>
      </c>
      <c r="N28" s="23"/>
      <c r="O28" s="26" t="n">
        <f>25958180273</f>
        <v>2.5958180273E10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11032</f>
        <v>11032.0</v>
      </c>
      <c r="U28" s="23"/>
      <c r="V28" s="25" t="n">
        <f>10403</f>
        <v>10403.0</v>
      </c>
      <c r="W28" s="23"/>
      <c r="X28" s="26" t="n">
        <f>21435</f>
        <v>21435.0</v>
      </c>
      <c r="Y28" s="24"/>
      <c r="Z28" s="25" t="n">
        <f>704811</f>
        <v>704811.0</v>
      </c>
      <c r="AA28" s="23"/>
      <c r="AB28" s="25" t="n">
        <f>462069</f>
        <v>462069.0</v>
      </c>
      <c r="AC28" s="23"/>
      <c r="AD28" s="26" t="n">
        <f>1166880</f>
        <v>1166880.0</v>
      </c>
    </row>
    <row r="29">
      <c r="A29" s="30" t="s">
        <v>49</v>
      </c>
      <c r="B29" s="22" t="s">
        <v>27</v>
      </c>
      <c r="C29" s="22" t="s">
        <v>28</v>
      </c>
      <c r="D29" s="24"/>
      <c r="E29" s="25"/>
      <c r="F29" s="23"/>
      <c r="G29" s="25"/>
      <c r="H29" s="23"/>
      <c r="I29" s="26"/>
      <c r="J29" s="24"/>
      <c r="K29" s="25"/>
      <c r="L29" s="23"/>
      <c r="M29" s="25"/>
      <c r="N29" s="23"/>
      <c r="O29" s="26"/>
      <c r="P29" s="27"/>
      <c r="Q29" s="28"/>
      <c r="R29" s="29"/>
      <c r="S29" s="24"/>
      <c r="T29" s="25"/>
      <c r="U29" s="23"/>
      <c r="V29" s="25"/>
      <c r="W29" s="23"/>
      <c r="X29" s="26"/>
      <c r="Y29" s="24"/>
      <c r="Z29" s="25"/>
      <c r="AA29" s="23"/>
      <c r="AB29" s="25"/>
      <c r="AC29" s="23"/>
      <c r="AD29" s="26"/>
    </row>
    <row r="30">
      <c r="A30" s="30" t="s">
        <v>50</v>
      </c>
      <c r="B30" s="22" t="s">
        <v>27</v>
      </c>
      <c r="C30" s="22" t="s">
        <v>28</v>
      </c>
      <c r="D30" s="24"/>
      <c r="E30" s="25"/>
      <c r="F30" s="23"/>
      <c r="G30" s="25"/>
      <c r="H30" s="23"/>
      <c r="I30" s="26"/>
      <c r="J30" s="24"/>
      <c r="K30" s="25"/>
      <c r="L30" s="23"/>
      <c r="M30" s="25"/>
      <c r="N30" s="23"/>
      <c r="O30" s="26"/>
      <c r="P30" s="27"/>
      <c r="Q30" s="28"/>
      <c r="R30" s="29"/>
      <c r="S30" s="24"/>
      <c r="T30" s="25"/>
      <c r="U30" s="23"/>
      <c r="V30" s="25"/>
      <c r="W30" s="23"/>
      <c r="X30" s="26"/>
      <c r="Y30" s="24"/>
      <c r="Z30" s="25"/>
      <c r="AA30" s="23"/>
      <c r="AB30" s="25"/>
      <c r="AC30" s="23"/>
      <c r="AD30" s="26"/>
    </row>
    <row r="31">
      <c r="A31" s="30" t="s">
        <v>51</v>
      </c>
      <c r="B31" s="22" t="s">
        <v>27</v>
      </c>
      <c r="C31" s="22" t="s">
        <v>28</v>
      </c>
      <c r="D31" s="24"/>
      <c r="E31" s="25" t="n">
        <f>37587</f>
        <v>37587.0</v>
      </c>
      <c r="F31" s="23"/>
      <c r="G31" s="25" t="n">
        <f>35825</f>
        <v>35825.0</v>
      </c>
      <c r="H31" s="23"/>
      <c r="I31" s="26" t="n">
        <f>73412</f>
        <v>73412.0</v>
      </c>
      <c r="J31" s="24"/>
      <c r="K31" s="25" t="n">
        <f>11748125148</f>
        <v>1.1748125148E10</v>
      </c>
      <c r="L31" s="23"/>
      <c r="M31" s="25" t="n">
        <f>19399266615</f>
        <v>1.9399266615E10</v>
      </c>
      <c r="N31" s="23"/>
      <c r="O31" s="26" t="n">
        <f>31147391763</f>
        <v>3.1147391763E10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7855</f>
        <v>7855.0</v>
      </c>
      <c r="U31" s="23"/>
      <c r="V31" s="25" t="n">
        <f>9137</f>
        <v>9137.0</v>
      </c>
      <c r="W31" s="23"/>
      <c r="X31" s="26" t="n">
        <f>16992</f>
        <v>16992.0</v>
      </c>
      <c r="Y31" s="24"/>
      <c r="Z31" s="25" t="n">
        <f>712816</f>
        <v>712816.0</v>
      </c>
      <c r="AA31" s="23"/>
      <c r="AB31" s="25" t="n">
        <f>469515</f>
        <v>469515.0</v>
      </c>
      <c r="AC31" s="23"/>
      <c r="AD31" s="26" t="n">
        <f>1182331</f>
        <v>1182331.0</v>
      </c>
    </row>
    <row r="32">
      <c r="A32" s="30" t="s">
        <v>52</v>
      </c>
      <c r="B32" s="22" t="s">
        <v>27</v>
      </c>
      <c r="C32" s="22" t="s">
        <v>28</v>
      </c>
      <c r="D32" s="24"/>
      <c r="E32" s="25" t="n">
        <f>43584</f>
        <v>43584.0</v>
      </c>
      <c r="F32" s="23"/>
      <c r="G32" s="25" t="n">
        <f>45745</f>
        <v>45745.0</v>
      </c>
      <c r="H32" s="23"/>
      <c r="I32" s="26" t="n">
        <f>89329</f>
        <v>89329.0</v>
      </c>
      <c r="J32" s="24"/>
      <c r="K32" s="25" t="n">
        <f>11170362822</f>
        <v>1.1170362822E10</v>
      </c>
      <c r="L32" s="23"/>
      <c r="M32" s="25" t="n">
        <f>22956145362</f>
        <v>2.2956145362E10</v>
      </c>
      <c r="N32" s="23"/>
      <c r="O32" s="26" t="n">
        <f>34126508184</f>
        <v>3.4126508184E10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6474</f>
        <v>6474.0</v>
      </c>
      <c r="U32" s="23"/>
      <c r="V32" s="25" t="n">
        <f>13753</f>
        <v>13753.0</v>
      </c>
      <c r="W32" s="23"/>
      <c r="X32" s="26" t="n">
        <f>20227</f>
        <v>20227.0</v>
      </c>
      <c r="Y32" s="24"/>
      <c r="Z32" s="25" t="n">
        <f>721277</f>
        <v>721277.0</v>
      </c>
      <c r="AA32" s="23"/>
      <c r="AB32" s="25" t="n">
        <f>474946</f>
        <v>474946.0</v>
      </c>
      <c r="AC32" s="23"/>
      <c r="AD32" s="26" t="n">
        <f>1196223</f>
        <v>1196223.0</v>
      </c>
    </row>
    <row r="33">
      <c r="A33" s="30" t="s">
        <v>53</v>
      </c>
      <c r="B33" s="22" t="s">
        <v>27</v>
      </c>
      <c r="C33" s="22" t="s">
        <v>28</v>
      </c>
      <c r="D33" s="24"/>
      <c r="E33" s="25" t="n">
        <f>39606</f>
        <v>39606.0</v>
      </c>
      <c r="F33" s="23"/>
      <c r="G33" s="25" t="n">
        <f>34869</f>
        <v>34869.0</v>
      </c>
      <c r="H33" s="23"/>
      <c r="I33" s="26" t="n">
        <f>74475</f>
        <v>74475.0</v>
      </c>
      <c r="J33" s="24"/>
      <c r="K33" s="25" t="n">
        <f>17632827290</f>
        <v>1.763282729E10</v>
      </c>
      <c r="L33" s="23"/>
      <c r="M33" s="25" t="n">
        <f>14139920244</f>
        <v>1.4139920244E10</v>
      </c>
      <c r="N33" s="23"/>
      <c r="O33" s="26" t="n">
        <f>31772747534</f>
        <v>3.1772747534E10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6069</f>
        <v>6069.0</v>
      </c>
      <c r="U33" s="23"/>
      <c r="V33" s="25" t="n">
        <f>14684</f>
        <v>14684.0</v>
      </c>
      <c r="W33" s="23"/>
      <c r="X33" s="26" t="n">
        <f>20753</f>
        <v>20753.0</v>
      </c>
      <c r="Y33" s="24"/>
      <c r="Z33" s="25" t="n">
        <f>729885</f>
        <v>729885.0</v>
      </c>
      <c r="AA33" s="23"/>
      <c r="AB33" s="25" t="n">
        <f>479968</f>
        <v>479968.0</v>
      </c>
      <c r="AC33" s="23"/>
      <c r="AD33" s="26" t="n">
        <f>1209853</f>
        <v>1209853.0</v>
      </c>
    </row>
    <row r="34">
      <c r="A34" s="30" t="s">
        <v>54</v>
      </c>
      <c r="B34" s="22" t="s">
        <v>27</v>
      </c>
      <c r="C34" s="22" t="s">
        <v>28</v>
      </c>
      <c r="D34" s="24"/>
      <c r="E34" s="25" t="n">
        <f>29976</f>
        <v>29976.0</v>
      </c>
      <c r="F34" s="23"/>
      <c r="G34" s="25" t="n">
        <f>35406</f>
        <v>35406.0</v>
      </c>
      <c r="H34" s="23"/>
      <c r="I34" s="26" t="n">
        <f>65382</f>
        <v>65382.0</v>
      </c>
      <c r="J34" s="24" t="s">
        <v>32</v>
      </c>
      <c r="K34" s="25" t="n">
        <f>5759321130</f>
        <v>5.75932113E9</v>
      </c>
      <c r="L34" s="23"/>
      <c r="M34" s="25" t="n">
        <f>7719668880</f>
        <v>7.71966888E9</v>
      </c>
      <c r="N34" s="23"/>
      <c r="O34" s="26" t="n">
        <f>13478990010</f>
        <v>1.347899001E10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4132</f>
        <v>4132.0</v>
      </c>
      <c r="U34" s="23"/>
      <c r="V34" s="25" t="n">
        <f>5799</f>
        <v>5799.0</v>
      </c>
      <c r="W34" s="23"/>
      <c r="X34" s="26" t="n">
        <f>9931</f>
        <v>9931.0</v>
      </c>
      <c r="Y34" s="24"/>
      <c r="Z34" s="25" t="n">
        <f>732028</f>
        <v>732028.0</v>
      </c>
      <c r="AA34" s="23"/>
      <c r="AB34" s="25" t="n">
        <f>485696</f>
        <v>485696.0</v>
      </c>
      <c r="AC34" s="23"/>
      <c r="AD34" s="26" t="n">
        <f>1217724</f>
        <v>1217724.0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40259</f>
        <v>40259.0</v>
      </c>
      <c r="F35" s="23"/>
      <c r="G35" s="25" t="n">
        <f>36536</f>
        <v>36536.0</v>
      </c>
      <c r="H35" s="23"/>
      <c r="I35" s="26" t="n">
        <f>76795</f>
        <v>76795.0</v>
      </c>
      <c r="J35" s="24"/>
      <c r="K35" s="25" t="n">
        <f>14687835510</f>
        <v>1.468783551E10</v>
      </c>
      <c r="L35" s="23"/>
      <c r="M35" s="25" t="n">
        <f>12911243260</f>
        <v>1.291124326E10</v>
      </c>
      <c r="N35" s="23"/>
      <c r="O35" s="26" t="n">
        <f>27599078770</f>
        <v>2.759907877E10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5596</f>
        <v>5596.0</v>
      </c>
      <c r="U35" s="23"/>
      <c r="V35" s="25" t="n">
        <f>9359</f>
        <v>9359.0</v>
      </c>
      <c r="W35" s="23"/>
      <c r="X35" s="26" t="n">
        <f>14955</f>
        <v>14955.0</v>
      </c>
      <c r="Y35" s="24"/>
      <c r="Z35" s="25" t="n">
        <f>741794</f>
        <v>741794.0</v>
      </c>
      <c r="AA35" s="23"/>
      <c r="AB35" s="25" t="n">
        <f>491600</f>
        <v>491600.0</v>
      </c>
      <c r="AC35" s="23"/>
      <c r="AD35" s="26" t="n">
        <f>1233394</f>
        <v>1233394.0</v>
      </c>
    </row>
    <row r="36">
      <c r="A36" s="30" t="s">
        <v>56</v>
      </c>
      <c r="B36" s="22" t="s">
        <v>27</v>
      </c>
      <c r="C36" s="22" t="s">
        <v>28</v>
      </c>
      <c r="D36" s="24"/>
      <c r="E36" s="25"/>
      <c r="F36" s="23"/>
      <c r="G36" s="25"/>
      <c r="H36" s="23"/>
      <c r="I36" s="26"/>
      <c r="J36" s="24"/>
      <c r="K36" s="25"/>
      <c r="L36" s="23"/>
      <c r="M36" s="25"/>
      <c r="N36" s="23"/>
      <c r="O36" s="26"/>
      <c r="P36" s="27"/>
      <c r="Q36" s="28"/>
      <c r="R36" s="29"/>
      <c r="S36" s="24"/>
      <c r="T36" s="25"/>
      <c r="U36" s="23"/>
      <c r="V36" s="25"/>
      <c r="W36" s="23"/>
      <c r="X36" s="26"/>
      <c r="Y36" s="24"/>
      <c r="Z36" s="25"/>
      <c r="AA36" s="23"/>
      <c r="AB36" s="25"/>
      <c r="AC36" s="23"/>
      <c r="AD36" s="26"/>
    </row>
    <row r="37">
      <c r="A37" s="30" t="s">
        <v>57</v>
      </c>
      <c r="B37" s="22" t="s">
        <v>27</v>
      </c>
      <c r="C37" s="22" t="s">
        <v>28</v>
      </c>
      <c r="D37" s="24"/>
      <c r="E37" s="25"/>
      <c r="F37" s="23"/>
      <c r="G37" s="25"/>
      <c r="H37" s="23"/>
      <c r="I37" s="26"/>
      <c r="J37" s="24"/>
      <c r="K37" s="25"/>
      <c r="L37" s="23"/>
      <c r="M37" s="25"/>
      <c r="N37" s="23"/>
      <c r="O37" s="26"/>
      <c r="P37" s="27"/>
      <c r="Q37" s="28"/>
      <c r="R37" s="29"/>
      <c r="S37" s="24"/>
      <c r="T37" s="25"/>
      <c r="U37" s="23"/>
      <c r="V37" s="25"/>
      <c r="W37" s="23"/>
      <c r="X37" s="26"/>
      <c r="Y37" s="24"/>
      <c r="Z37" s="25"/>
      <c r="AA37" s="23"/>
      <c r="AB37" s="25"/>
      <c r="AC37" s="23"/>
      <c r="AD37" s="26"/>
    </row>
    <row r="38">
      <c r="A38" s="30" t="s">
        <v>58</v>
      </c>
      <c r="B38" s="22" t="s">
        <v>27</v>
      </c>
      <c r="C38" s="22" t="s">
        <v>28</v>
      </c>
      <c r="D38" s="24" t="s">
        <v>32</v>
      </c>
      <c r="E38" s="25" t="n">
        <f>29706</f>
        <v>29706.0</v>
      </c>
      <c r="F38" s="23"/>
      <c r="G38" s="25" t="n">
        <f>26233</f>
        <v>26233.0</v>
      </c>
      <c r="H38" s="23"/>
      <c r="I38" s="26" t="n">
        <f>55939</f>
        <v>55939.0</v>
      </c>
      <c r="J38" s="24"/>
      <c r="K38" s="25" t="n">
        <f>9882452529</f>
        <v>9.882452529E9</v>
      </c>
      <c r="L38" s="23"/>
      <c r="M38" s="25" t="n">
        <f>6998592400</f>
        <v>6.9985924E9</v>
      </c>
      <c r="N38" s="23"/>
      <c r="O38" s="26" t="n">
        <f>16881044929</f>
        <v>1.6881044929E10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3924</f>
        <v>3924.0</v>
      </c>
      <c r="U38" s="23"/>
      <c r="V38" s="25" t="n">
        <f>4271</f>
        <v>4271.0</v>
      </c>
      <c r="W38" s="23"/>
      <c r="X38" s="26" t="n">
        <f>8195</f>
        <v>8195.0</v>
      </c>
      <c r="Y38" s="24"/>
      <c r="Z38" s="25" t="n">
        <f>751463</f>
        <v>751463.0</v>
      </c>
      <c r="AA38" s="23"/>
      <c r="AB38" s="25" t="n">
        <f>494331</f>
        <v>494331.0</v>
      </c>
      <c r="AC38" s="23"/>
      <c r="AD38" s="26" t="n">
        <f>1245794</f>
        <v>1245794.0</v>
      </c>
    </row>
    <row r="39">
      <c r="A39" s="30" t="s">
        <v>59</v>
      </c>
      <c r="B39" s="22" t="s">
        <v>27</v>
      </c>
      <c r="C39" s="22" t="s">
        <v>28</v>
      </c>
      <c r="D39" s="24"/>
      <c r="E39" s="25" t="n">
        <f>32457</f>
        <v>32457.0</v>
      </c>
      <c r="F39" s="23" t="s">
        <v>32</v>
      </c>
      <c r="G39" s="25" t="n">
        <f>20907</f>
        <v>20907.0</v>
      </c>
      <c r="H39" s="23" t="s">
        <v>32</v>
      </c>
      <c r="I39" s="26" t="n">
        <f>53364</f>
        <v>53364.0</v>
      </c>
      <c r="J39" s="24"/>
      <c r="K39" s="25" t="n">
        <f>11936411730</f>
        <v>1.193641173E10</v>
      </c>
      <c r="L39" s="23"/>
      <c r="M39" s="25" t="n">
        <f>9064757232</f>
        <v>9.064757232E9</v>
      </c>
      <c r="N39" s="23"/>
      <c r="O39" s="26" t="n">
        <f>21001168962</f>
        <v>2.1001168962E10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5741</f>
        <v>5741.0</v>
      </c>
      <c r="U39" s="23"/>
      <c r="V39" s="25" t="n">
        <f>5001</f>
        <v>5001.0</v>
      </c>
      <c r="W39" s="23"/>
      <c r="X39" s="26" t="n">
        <f>10742</f>
        <v>10742.0</v>
      </c>
      <c r="Y39" s="24"/>
      <c r="Z39" s="25" t="n">
        <f>757158</f>
        <v>757158.0</v>
      </c>
      <c r="AA39" s="23"/>
      <c r="AB39" s="25" t="n">
        <f>497306</f>
        <v>497306.0</v>
      </c>
      <c r="AC39" s="23"/>
      <c r="AD39" s="26" t="n">
        <f>1254464</f>
        <v>1254464.0</v>
      </c>
    </row>
    <row r="40">
      <c r="A40" s="30" t="s">
        <v>60</v>
      </c>
      <c r="B40" s="22" t="s">
        <v>27</v>
      </c>
      <c r="C40" s="22" t="s">
        <v>28</v>
      </c>
      <c r="D40" s="24"/>
      <c r="E40" s="25" t="n">
        <f>39167</f>
        <v>39167.0</v>
      </c>
      <c r="F40" s="23"/>
      <c r="G40" s="25" t="n">
        <f>34432</f>
        <v>34432.0</v>
      </c>
      <c r="H40" s="23"/>
      <c r="I40" s="26" t="n">
        <f>73599</f>
        <v>73599.0</v>
      </c>
      <c r="J40" s="24"/>
      <c r="K40" s="25" t="n">
        <f>11382872919</f>
        <v>1.1382872919E10</v>
      </c>
      <c r="L40" s="23"/>
      <c r="M40" s="25" t="n">
        <f>6018828040</f>
        <v>6.01882804E9</v>
      </c>
      <c r="N40" s="23"/>
      <c r="O40" s="26" t="n">
        <f>17401700959</f>
        <v>1.7401700959E10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3973</f>
        <v>3973.0</v>
      </c>
      <c r="U40" s="23" t="s">
        <v>32</v>
      </c>
      <c r="V40" s="25" t="n">
        <f>4092</f>
        <v>4092.0</v>
      </c>
      <c r="W40" s="23" t="s">
        <v>32</v>
      </c>
      <c r="X40" s="26" t="n">
        <f>8065</f>
        <v>8065.0</v>
      </c>
      <c r="Y40" s="24" t="s">
        <v>39</v>
      </c>
      <c r="Z40" s="25" t="n">
        <f>763262</f>
        <v>763262.0</v>
      </c>
      <c r="AA40" s="23" t="s">
        <v>39</v>
      </c>
      <c r="AB40" s="25" t="n">
        <f>499598</f>
        <v>499598.0</v>
      </c>
      <c r="AC40" s="23" t="s">
        <v>39</v>
      </c>
      <c r="AD40" s="26" t="n">
        <f>1262860</f>
        <v>1262860.0</v>
      </c>
    </row>
    <row r="41">
      <c r="A41" s="30" t="s">
        <v>26</v>
      </c>
      <c r="B41" s="22" t="s">
        <v>61</v>
      </c>
      <c r="C41" s="22" t="s">
        <v>62</v>
      </c>
      <c r="D41" s="24"/>
      <c r="E41" s="25"/>
      <c r="F41" s="23"/>
      <c r="G41" s="25"/>
      <c r="H41" s="23"/>
      <c r="I41" s="26"/>
      <c r="J41" s="24"/>
      <c r="K41" s="25"/>
      <c r="L41" s="23"/>
      <c r="M41" s="25"/>
      <c r="N41" s="23"/>
      <c r="O41" s="26"/>
      <c r="P41" s="27"/>
      <c r="Q41" s="28"/>
      <c r="R41" s="29"/>
      <c r="S41" s="24"/>
      <c r="T41" s="25"/>
      <c r="U41" s="23"/>
      <c r="V41" s="25"/>
      <c r="W41" s="23"/>
      <c r="X41" s="26"/>
      <c r="Y41" s="24"/>
      <c r="Z41" s="25"/>
      <c r="AA41" s="23"/>
      <c r="AB41" s="25"/>
      <c r="AC41" s="23"/>
      <c r="AD41" s="26"/>
    </row>
    <row r="42">
      <c r="A42" s="30" t="s">
        <v>29</v>
      </c>
      <c r="B42" s="22" t="s">
        <v>61</v>
      </c>
      <c r="C42" s="22" t="s">
        <v>62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30</v>
      </c>
      <c r="B43" s="22" t="s">
        <v>61</v>
      </c>
      <c r="C43" s="22" t="s">
        <v>62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31</v>
      </c>
      <c r="B44" s="22" t="s">
        <v>61</v>
      </c>
      <c r="C44" s="22" t="s">
        <v>62</v>
      </c>
      <c r="D44" s="24" t="s">
        <v>39</v>
      </c>
      <c r="E44" s="25" t="n">
        <f>39473</f>
        <v>39473.0</v>
      </c>
      <c r="F44" s="23" t="s">
        <v>39</v>
      </c>
      <c r="G44" s="25" t="n">
        <f>36453</f>
        <v>36453.0</v>
      </c>
      <c r="H44" s="23" t="s">
        <v>39</v>
      </c>
      <c r="I44" s="26" t="n">
        <f>75926</f>
        <v>75926.0</v>
      </c>
      <c r="J44" s="24"/>
      <c r="K44" s="25" t="n">
        <f>229246230</f>
        <v>2.2924623E8</v>
      </c>
      <c r="L44" s="23"/>
      <c r="M44" s="25" t="n">
        <f>196943680</f>
        <v>1.9694368E8</v>
      </c>
      <c r="N44" s="23"/>
      <c r="O44" s="26" t="n">
        <f>426189910</f>
        <v>4.2618991E8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/>
      <c r="T44" s="25" t="n">
        <f>1990</f>
        <v>1990.0</v>
      </c>
      <c r="U44" s="23"/>
      <c r="V44" s="25" t="n">
        <f>3510</f>
        <v>3510.0</v>
      </c>
      <c r="W44" s="23"/>
      <c r="X44" s="26" t="n">
        <f>5500</f>
        <v>5500.0</v>
      </c>
      <c r="Y44" s="24"/>
      <c r="Z44" s="25" t="n">
        <f>24844</f>
        <v>24844.0</v>
      </c>
      <c r="AA44" s="23"/>
      <c r="AB44" s="25" t="n">
        <f>24013</f>
        <v>24013.0</v>
      </c>
      <c r="AC44" s="23"/>
      <c r="AD44" s="26" t="n">
        <f>48857</f>
        <v>48857.0</v>
      </c>
    </row>
    <row r="45">
      <c r="A45" s="30" t="s">
        <v>33</v>
      </c>
      <c r="B45" s="22" t="s">
        <v>61</v>
      </c>
      <c r="C45" s="22" t="s">
        <v>62</v>
      </c>
      <c r="D45" s="24" t="s">
        <v>32</v>
      </c>
      <c r="E45" s="25" t="n">
        <f>10905</f>
        <v>10905.0</v>
      </c>
      <c r="F45" s="23" t="s">
        <v>32</v>
      </c>
      <c r="G45" s="25" t="n">
        <f>10678</f>
        <v>10678.0</v>
      </c>
      <c r="H45" s="23" t="s">
        <v>32</v>
      </c>
      <c r="I45" s="26" t="n">
        <f>21583</f>
        <v>21583.0</v>
      </c>
      <c r="J45" s="24"/>
      <c r="K45" s="25" t="n">
        <f>124499770</f>
        <v>1.2449977E8</v>
      </c>
      <c r="L45" s="23"/>
      <c r="M45" s="25" t="n">
        <f>151116290</f>
        <v>1.5111629E8</v>
      </c>
      <c r="N45" s="23"/>
      <c r="O45" s="26" t="n">
        <f>275616060</f>
        <v>2.7561606E8</v>
      </c>
      <c r="P45" s="27" t="n">
        <f>283</f>
        <v>283.0</v>
      </c>
      <c r="Q45" s="28" t="n">
        <f>1127</f>
        <v>1127.0</v>
      </c>
      <c r="R45" s="29" t="n">
        <f>1410</f>
        <v>1410.0</v>
      </c>
      <c r="S45" s="24"/>
      <c r="T45" s="25" t="n">
        <f>870</f>
        <v>870.0</v>
      </c>
      <c r="U45" s="23" t="s">
        <v>32</v>
      </c>
      <c r="V45" s="25" t="n">
        <f>410</f>
        <v>410.0</v>
      </c>
      <c r="W45" s="23" t="s">
        <v>32</v>
      </c>
      <c r="X45" s="26" t="n">
        <f>1280</f>
        <v>1280.0</v>
      </c>
      <c r="Y45" s="24" t="s">
        <v>32</v>
      </c>
      <c r="Z45" s="25" t="n">
        <f>11237</f>
        <v>11237.0</v>
      </c>
      <c r="AA45" s="23" t="s">
        <v>32</v>
      </c>
      <c r="AB45" s="25" t="n">
        <f>12581</f>
        <v>12581.0</v>
      </c>
      <c r="AC45" s="23" t="s">
        <v>32</v>
      </c>
      <c r="AD45" s="26" t="n">
        <f>23818</f>
        <v>23818.0</v>
      </c>
    </row>
    <row r="46">
      <c r="A46" s="30" t="s">
        <v>34</v>
      </c>
      <c r="B46" s="22" t="s">
        <v>61</v>
      </c>
      <c r="C46" s="22" t="s">
        <v>62</v>
      </c>
      <c r="D46" s="24"/>
      <c r="E46" s="25"/>
      <c r="F46" s="23"/>
      <c r="G46" s="25"/>
      <c r="H46" s="23"/>
      <c r="I46" s="26"/>
      <c r="J46" s="24"/>
      <c r="K46" s="25"/>
      <c r="L46" s="23"/>
      <c r="M46" s="25"/>
      <c r="N46" s="23"/>
      <c r="O46" s="26"/>
      <c r="P46" s="27"/>
      <c r="Q46" s="28"/>
      <c r="R46" s="29"/>
      <c r="S46" s="24"/>
      <c r="T46" s="25"/>
      <c r="U46" s="23"/>
      <c r="V46" s="25"/>
      <c r="W46" s="23"/>
      <c r="X46" s="26"/>
      <c r="Y46" s="24"/>
      <c r="Z46" s="25"/>
      <c r="AA46" s="23"/>
      <c r="AB46" s="25"/>
      <c r="AC46" s="23"/>
      <c r="AD46" s="26"/>
    </row>
    <row r="47">
      <c r="A47" s="30" t="s">
        <v>35</v>
      </c>
      <c r="B47" s="22" t="s">
        <v>61</v>
      </c>
      <c r="C47" s="22" t="s">
        <v>62</v>
      </c>
      <c r="D47" s="24"/>
      <c r="E47" s="25"/>
      <c r="F47" s="23"/>
      <c r="G47" s="25"/>
      <c r="H47" s="23"/>
      <c r="I47" s="26"/>
      <c r="J47" s="24"/>
      <c r="K47" s="25"/>
      <c r="L47" s="23"/>
      <c r="M47" s="25"/>
      <c r="N47" s="23"/>
      <c r="O47" s="26"/>
      <c r="P47" s="27"/>
      <c r="Q47" s="28"/>
      <c r="R47" s="29"/>
      <c r="S47" s="24"/>
      <c r="T47" s="25"/>
      <c r="U47" s="23"/>
      <c r="V47" s="25"/>
      <c r="W47" s="23"/>
      <c r="X47" s="26"/>
      <c r="Y47" s="24"/>
      <c r="Z47" s="25"/>
      <c r="AA47" s="23"/>
      <c r="AB47" s="25"/>
      <c r="AC47" s="23"/>
      <c r="AD47" s="26"/>
    </row>
    <row r="48">
      <c r="A48" s="30" t="s">
        <v>36</v>
      </c>
      <c r="B48" s="22" t="s">
        <v>61</v>
      </c>
      <c r="C48" s="22" t="s">
        <v>62</v>
      </c>
      <c r="D48" s="24"/>
      <c r="E48" s="25"/>
      <c r="F48" s="23"/>
      <c r="G48" s="25"/>
      <c r="H48" s="23"/>
      <c r="I48" s="26"/>
      <c r="J48" s="24"/>
      <c r="K48" s="25"/>
      <c r="L48" s="23"/>
      <c r="M48" s="25"/>
      <c r="N48" s="23"/>
      <c r="O48" s="26"/>
      <c r="P48" s="27"/>
      <c r="Q48" s="28"/>
      <c r="R48" s="29"/>
      <c r="S48" s="24"/>
      <c r="T48" s="25"/>
      <c r="U48" s="23"/>
      <c r="V48" s="25"/>
      <c r="W48" s="23"/>
      <c r="X48" s="26"/>
      <c r="Y48" s="24"/>
      <c r="Z48" s="25"/>
      <c r="AA48" s="23"/>
      <c r="AB48" s="25"/>
      <c r="AC48" s="23"/>
      <c r="AD48" s="26"/>
    </row>
    <row r="49">
      <c r="A49" s="30" t="s">
        <v>37</v>
      </c>
      <c r="B49" s="22" t="s">
        <v>61</v>
      </c>
      <c r="C49" s="22" t="s">
        <v>62</v>
      </c>
      <c r="D49" s="24"/>
      <c r="E49" s="25" t="n">
        <f>14610</f>
        <v>14610.0</v>
      </c>
      <c r="F49" s="23"/>
      <c r="G49" s="25" t="n">
        <f>15449</f>
        <v>15449.0</v>
      </c>
      <c r="H49" s="23"/>
      <c r="I49" s="26" t="n">
        <f>30059</f>
        <v>30059.0</v>
      </c>
      <c r="J49" s="24" t="s">
        <v>32</v>
      </c>
      <c r="K49" s="25" t="n">
        <f>106294330</f>
        <v>1.0629433E8</v>
      </c>
      <c r="L49" s="23"/>
      <c r="M49" s="25" t="n">
        <f>167904860</f>
        <v>1.6790486E8</v>
      </c>
      <c r="N49" s="23"/>
      <c r="O49" s="26" t="n">
        <f>274199190</f>
        <v>2.7419919E8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1050</f>
        <v>1050.0</v>
      </c>
      <c r="U49" s="23"/>
      <c r="V49" s="25" t="n">
        <f>900</f>
        <v>900.0</v>
      </c>
      <c r="W49" s="23"/>
      <c r="X49" s="26" t="n">
        <f>1950</f>
        <v>1950.0</v>
      </c>
      <c r="Y49" s="24"/>
      <c r="Z49" s="25" t="n">
        <f>12578</f>
        <v>12578.0</v>
      </c>
      <c r="AA49" s="23"/>
      <c r="AB49" s="25" t="n">
        <f>14800</f>
        <v>14800.0</v>
      </c>
      <c r="AC49" s="23"/>
      <c r="AD49" s="26" t="n">
        <f>27378</f>
        <v>27378.0</v>
      </c>
    </row>
    <row r="50">
      <c r="A50" s="30" t="s">
        <v>38</v>
      </c>
      <c r="B50" s="22" t="s">
        <v>61</v>
      </c>
      <c r="C50" s="22" t="s">
        <v>62</v>
      </c>
      <c r="D50" s="24"/>
      <c r="E50" s="25" t="n">
        <f>18199</f>
        <v>18199.0</v>
      </c>
      <c r="F50" s="23"/>
      <c r="G50" s="25" t="n">
        <f>29570</f>
        <v>29570.0</v>
      </c>
      <c r="H50" s="23"/>
      <c r="I50" s="26" t="n">
        <f>47769</f>
        <v>47769.0</v>
      </c>
      <c r="J50" s="24"/>
      <c r="K50" s="25" t="n">
        <f>146075150</f>
        <v>1.4607515E8</v>
      </c>
      <c r="L50" s="23"/>
      <c r="M50" s="25" t="n">
        <f>440762510</f>
        <v>4.4076251E8</v>
      </c>
      <c r="N50" s="23"/>
      <c r="O50" s="26" t="n">
        <f>586837660</f>
        <v>5.8683766E8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 t="s">
        <v>32</v>
      </c>
      <c r="T50" s="25" t="n">
        <f>780</f>
        <v>780.0</v>
      </c>
      <c r="U50" s="23"/>
      <c r="V50" s="25" t="n">
        <f>2500</f>
        <v>2500.0</v>
      </c>
      <c r="W50" s="23"/>
      <c r="X50" s="26" t="n">
        <f>3280</f>
        <v>3280.0</v>
      </c>
      <c r="Y50" s="24"/>
      <c r="Z50" s="25" t="n">
        <f>15941</f>
        <v>15941.0</v>
      </c>
      <c r="AA50" s="23"/>
      <c r="AB50" s="25" t="n">
        <f>20554</f>
        <v>20554.0</v>
      </c>
      <c r="AC50" s="23"/>
      <c r="AD50" s="26" t="n">
        <f>36495</f>
        <v>36495.0</v>
      </c>
    </row>
    <row r="51">
      <c r="A51" s="30" t="s">
        <v>40</v>
      </c>
      <c r="B51" s="22" t="s">
        <v>61</v>
      </c>
      <c r="C51" s="22" t="s">
        <v>62</v>
      </c>
      <c r="D51" s="24"/>
      <c r="E51" s="25" t="n">
        <f>32126</f>
        <v>32126.0</v>
      </c>
      <c r="F51" s="23"/>
      <c r="G51" s="25" t="n">
        <f>32054</f>
        <v>32054.0</v>
      </c>
      <c r="H51" s="23"/>
      <c r="I51" s="26" t="n">
        <f>64180</f>
        <v>64180.0</v>
      </c>
      <c r="J51" s="24"/>
      <c r="K51" s="25" t="n">
        <f>249691650</f>
        <v>2.4969165E8</v>
      </c>
      <c r="L51" s="23" t="s">
        <v>39</v>
      </c>
      <c r="M51" s="25" t="n">
        <f>523539850</f>
        <v>5.2353985E8</v>
      </c>
      <c r="N51" s="23"/>
      <c r="O51" s="26" t="n">
        <f>773231500</f>
        <v>7.732315E8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2380</f>
        <v>2380.0</v>
      </c>
      <c r="U51" s="23"/>
      <c r="V51" s="25" t="n">
        <f>4290</f>
        <v>4290.0</v>
      </c>
      <c r="W51" s="23"/>
      <c r="X51" s="26" t="n">
        <f>6670</f>
        <v>6670.0</v>
      </c>
      <c r="Y51" s="24"/>
      <c r="Z51" s="25" t="n">
        <f>26067</f>
        <v>26067.0</v>
      </c>
      <c r="AA51" s="23"/>
      <c r="AB51" s="25" t="n">
        <f>23012</f>
        <v>23012.0</v>
      </c>
      <c r="AC51" s="23"/>
      <c r="AD51" s="26" t="n">
        <f>49079</f>
        <v>49079.0</v>
      </c>
    </row>
    <row r="52">
      <c r="A52" s="30" t="s">
        <v>41</v>
      </c>
      <c r="B52" s="22" t="s">
        <v>61</v>
      </c>
      <c r="C52" s="22" t="s">
        <v>62</v>
      </c>
      <c r="D52" s="24"/>
      <c r="E52" s="25" t="n">
        <f>29107</f>
        <v>29107.0</v>
      </c>
      <c r="F52" s="23"/>
      <c r="G52" s="25" t="n">
        <f>21129</f>
        <v>21129.0</v>
      </c>
      <c r="H52" s="23"/>
      <c r="I52" s="26" t="n">
        <f>50236</f>
        <v>50236.0</v>
      </c>
      <c r="J52" s="24"/>
      <c r="K52" s="25" t="n">
        <f>304041890</f>
        <v>3.0404189E8</v>
      </c>
      <c r="L52" s="23"/>
      <c r="M52" s="25" t="n">
        <f>488062110</f>
        <v>4.8806211E8</v>
      </c>
      <c r="N52" s="23"/>
      <c r="O52" s="26" t="n">
        <f>792104000</f>
        <v>7.92104E8</v>
      </c>
      <c r="P52" s="27" t="n">
        <f>2</f>
        <v>2.0</v>
      </c>
      <c r="Q52" s="28" t="n">
        <f>7974</f>
        <v>7974.0</v>
      </c>
      <c r="R52" s="29" t="n">
        <f>7976</f>
        <v>7976.0</v>
      </c>
      <c r="S52" s="24"/>
      <c r="T52" s="25" t="n">
        <f>3980</f>
        <v>3980.0</v>
      </c>
      <c r="U52" s="23"/>
      <c r="V52" s="25" t="n">
        <f>1540</f>
        <v>1540.0</v>
      </c>
      <c r="W52" s="23"/>
      <c r="X52" s="26" t="n">
        <f>5520</f>
        <v>5520.0</v>
      </c>
      <c r="Y52" s="24"/>
      <c r="Z52" s="25" t="n">
        <f>22754</f>
        <v>22754.0</v>
      </c>
      <c r="AA52" s="23"/>
      <c r="AB52" s="25" t="n">
        <f>17353</f>
        <v>17353.0</v>
      </c>
      <c r="AC52" s="23"/>
      <c r="AD52" s="26" t="n">
        <f>40107</f>
        <v>40107.0</v>
      </c>
    </row>
    <row r="53">
      <c r="A53" s="30" t="s">
        <v>42</v>
      </c>
      <c r="B53" s="22" t="s">
        <v>61</v>
      </c>
      <c r="C53" s="22" t="s">
        <v>62</v>
      </c>
      <c r="D53" s="24"/>
      <c r="E53" s="25"/>
      <c r="F53" s="23"/>
      <c r="G53" s="25"/>
      <c r="H53" s="23"/>
      <c r="I53" s="26"/>
      <c r="J53" s="24"/>
      <c r="K53" s="25"/>
      <c r="L53" s="23"/>
      <c r="M53" s="25"/>
      <c r="N53" s="23"/>
      <c r="O53" s="26"/>
      <c r="P53" s="27"/>
      <c r="Q53" s="28"/>
      <c r="R53" s="29"/>
      <c r="S53" s="24"/>
      <c r="T53" s="25"/>
      <c r="U53" s="23"/>
      <c r="V53" s="25"/>
      <c r="W53" s="23"/>
      <c r="X53" s="26"/>
      <c r="Y53" s="24"/>
      <c r="Z53" s="25"/>
      <c r="AA53" s="23"/>
      <c r="AB53" s="25"/>
      <c r="AC53" s="23"/>
      <c r="AD53" s="26"/>
    </row>
    <row r="54">
      <c r="A54" s="30" t="s">
        <v>43</v>
      </c>
      <c r="B54" s="22" t="s">
        <v>61</v>
      </c>
      <c r="C54" s="22" t="s">
        <v>62</v>
      </c>
      <c r="D54" s="24"/>
      <c r="E54" s="25"/>
      <c r="F54" s="23"/>
      <c r="G54" s="25"/>
      <c r="H54" s="23"/>
      <c r="I54" s="26"/>
      <c r="J54" s="24"/>
      <c r="K54" s="25"/>
      <c r="L54" s="23"/>
      <c r="M54" s="25"/>
      <c r="N54" s="23"/>
      <c r="O54" s="26"/>
      <c r="P54" s="27"/>
      <c r="Q54" s="28"/>
      <c r="R54" s="29"/>
      <c r="S54" s="24"/>
      <c r="T54" s="25"/>
      <c r="U54" s="23"/>
      <c r="V54" s="25"/>
      <c r="W54" s="23"/>
      <c r="X54" s="26"/>
      <c r="Y54" s="24"/>
      <c r="Z54" s="25"/>
      <c r="AA54" s="23"/>
      <c r="AB54" s="25"/>
      <c r="AC54" s="23"/>
      <c r="AD54" s="26"/>
    </row>
    <row r="55">
      <c r="A55" s="30" t="s">
        <v>44</v>
      </c>
      <c r="B55" s="22" t="s">
        <v>61</v>
      </c>
      <c r="C55" s="22" t="s">
        <v>62</v>
      </c>
      <c r="D55" s="24"/>
      <c r="E55" s="25" t="n">
        <f>34009</f>
        <v>34009.0</v>
      </c>
      <c r="F55" s="23"/>
      <c r="G55" s="25" t="n">
        <f>20088</f>
        <v>20088.0</v>
      </c>
      <c r="H55" s="23"/>
      <c r="I55" s="26" t="n">
        <f>54097</f>
        <v>54097.0</v>
      </c>
      <c r="J55" s="24"/>
      <c r="K55" s="25" t="n">
        <f>327840920</f>
        <v>3.2784092E8</v>
      </c>
      <c r="L55" s="23"/>
      <c r="M55" s="25" t="n">
        <f>458503560</f>
        <v>4.5850356E8</v>
      </c>
      <c r="N55" s="23"/>
      <c r="O55" s="26" t="n">
        <f>786344480</f>
        <v>7.8634448E8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2960</f>
        <v>2960.0</v>
      </c>
      <c r="U55" s="23"/>
      <c r="V55" s="25" t="n">
        <f>1540</f>
        <v>1540.0</v>
      </c>
      <c r="W55" s="23"/>
      <c r="X55" s="26" t="n">
        <f>4500</f>
        <v>4500.0</v>
      </c>
      <c r="Y55" s="24"/>
      <c r="Z55" s="25" t="n">
        <f>31829</f>
        <v>31829.0</v>
      </c>
      <c r="AA55" s="23"/>
      <c r="AB55" s="25" t="n">
        <f>21268</f>
        <v>21268.0</v>
      </c>
      <c r="AC55" s="23"/>
      <c r="AD55" s="26" t="n">
        <f>53097</f>
        <v>53097.0</v>
      </c>
    </row>
    <row r="56">
      <c r="A56" s="30" t="s">
        <v>45</v>
      </c>
      <c r="B56" s="22" t="s">
        <v>61</v>
      </c>
      <c r="C56" s="22" t="s">
        <v>62</v>
      </c>
      <c r="D56" s="24"/>
      <c r="E56" s="25" t="n">
        <f>28702</f>
        <v>28702.0</v>
      </c>
      <c r="F56" s="23"/>
      <c r="G56" s="25" t="n">
        <f>23216</f>
        <v>23216.0</v>
      </c>
      <c r="H56" s="23"/>
      <c r="I56" s="26" t="n">
        <f>51918</f>
        <v>51918.0</v>
      </c>
      <c r="J56" s="24"/>
      <c r="K56" s="25" t="n">
        <f>253406420</f>
        <v>2.5340642E8</v>
      </c>
      <c r="L56" s="23"/>
      <c r="M56" s="25" t="n">
        <f>308050280</f>
        <v>3.0805028E8</v>
      </c>
      <c r="N56" s="23"/>
      <c r="O56" s="26" t="n">
        <f>561456700</f>
        <v>5.614567E8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4990</f>
        <v>4990.0</v>
      </c>
      <c r="U56" s="23"/>
      <c r="V56" s="25" t="n">
        <f>1950</f>
        <v>1950.0</v>
      </c>
      <c r="W56" s="23"/>
      <c r="X56" s="26" t="n">
        <f>6940</f>
        <v>6940.0</v>
      </c>
      <c r="Y56" s="24"/>
      <c r="Z56" s="25" t="n">
        <f>42373</f>
        <v>42373.0</v>
      </c>
      <c r="AA56" s="23"/>
      <c r="AB56" s="25" t="n">
        <f>28012</f>
        <v>28012.0</v>
      </c>
      <c r="AC56" s="23"/>
      <c r="AD56" s="26" t="n">
        <f>70385</f>
        <v>70385.0</v>
      </c>
    </row>
    <row r="57">
      <c r="A57" s="30" t="s">
        <v>46</v>
      </c>
      <c r="B57" s="22" t="s">
        <v>61</v>
      </c>
      <c r="C57" s="22" t="s">
        <v>62</v>
      </c>
      <c r="D57" s="24"/>
      <c r="E57" s="25" t="n">
        <f>38959</f>
        <v>38959.0</v>
      </c>
      <c r="F57" s="23"/>
      <c r="G57" s="25" t="n">
        <f>33639</f>
        <v>33639.0</v>
      </c>
      <c r="H57" s="23"/>
      <c r="I57" s="26" t="n">
        <f>72598</f>
        <v>72598.0</v>
      </c>
      <c r="J57" s="24" t="s">
        <v>39</v>
      </c>
      <c r="K57" s="25" t="n">
        <f>352041190</f>
        <v>3.5204119E8</v>
      </c>
      <c r="L57" s="23"/>
      <c r="M57" s="25" t="n">
        <f>445711220</f>
        <v>4.4571122E8</v>
      </c>
      <c r="N57" s="23" t="s">
        <v>39</v>
      </c>
      <c r="O57" s="26" t="n">
        <f>797752410</f>
        <v>7.9775241E8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 t="s">
        <v>39</v>
      </c>
      <c r="T57" s="25" t="n">
        <f>7800</f>
        <v>7800.0</v>
      </c>
      <c r="U57" s="23"/>
      <c r="V57" s="25" t="n">
        <f>2970</f>
        <v>2970.0</v>
      </c>
      <c r="W57" s="23" t="s">
        <v>39</v>
      </c>
      <c r="X57" s="26" t="n">
        <f>10770</f>
        <v>10770.0</v>
      </c>
      <c r="Y57" s="24"/>
      <c r="Z57" s="25" t="n">
        <f>43296</f>
        <v>43296.0</v>
      </c>
      <c r="AA57" s="23"/>
      <c r="AB57" s="25" t="n">
        <f>31892</f>
        <v>31892.0</v>
      </c>
      <c r="AC57" s="23"/>
      <c r="AD57" s="26" t="n">
        <f>75188</f>
        <v>75188.0</v>
      </c>
    </row>
    <row r="58">
      <c r="A58" s="30" t="s">
        <v>47</v>
      </c>
      <c r="B58" s="22" t="s">
        <v>61</v>
      </c>
      <c r="C58" s="22" t="s">
        <v>62</v>
      </c>
      <c r="D58" s="24"/>
      <c r="E58" s="25" t="n">
        <f>36235</f>
        <v>36235.0</v>
      </c>
      <c r="F58" s="23"/>
      <c r="G58" s="25" t="n">
        <f>28656</f>
        <v>28656.0</v>
      </c>
      <c r="H58" s="23"/>
      <c r="I58" s="26" t="n">
        <f>64891</f>
        <v>64891.0</v>
      </c>
      <c r="J58" s="24"/>
      <c r="K58" s="25" t="n">
        <f>258163130</f>
        <v>2.5816313E8</v>
      </c>
      <c r="L58" s="23"/>
      <c r="M58" s="25" t="n">
        <f>248401840</f>
        <v>2.4840184E8</v>
      </c>
      <c r="N58" s="23"/>
      <c r="O58" s="26" t="n">
        <f>506564970</f>
        <v>5.0656497E8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5260</f>
        <v>5260.0</v>
      </c>
      <c r="U58" s="23"/>
      <c r="V58" s="25" t="n">
        <f>3900</f>
        <v>3900.0</v>
      </c>
      <c r="W58" s="23"/>
      <c r="X58" s="26" t="n">
        <f>9160</f>
        <v>9160.0</v>
      </c>
      <c r="Y58" s="24" t="s">
        <v>39</v>
      </c>
      <c r="Z58" s="25" t="n">
        <f>48289</f>
        <v>48289.0</v>
      </c>
      <c r="AA58" s="23" t="s">
        <v>39</v>
      </c>
      <c r="AB58" s="25" t="n">
        <f>37818</f>
        <v>37818.0</v>
      </c>
      <c r="AC58" s="23" t="s">
        <v>39</v>
      </c>
      <c r="AD58" s="26" t="n">
        <f>86107</f>
        <v>86107.0</v>
      </c>
    </row>
    <row r="59">
      <c r="A59" s="30" t="s">
        <v>48</v>
      </c>
      <c r="B59" s="22" t="s">
        <v>61</v>
      </c>
      <c r="C59" s="22" t="s">
        <v>62</v>
      </c>
      <c r="D59" s="24"/>
      <c r="E59" s="25" t="n">
        <f>17071</f>
        <v>17071.0</v>
      </c>
      <c r="F59" s="23"/>
      <c r="G59" s="25" t="n">
        <f>12590</f>
        <v>12590.0</v>
      </c>
      <c r="H59" s="23"/>
      <c r="I59" s="26" t="n">
        <f>29661</f>
        <v>29661.0</v>
      </c>
      <c r="J59" s="24"/>
      <c r="K59" s="25" t="n">
        <f>165769910</f>
        <v>1.6576991E8</v>
      </c>
      <c r="L59" s="23"/>
      <c r="M59" s="25" t="n">
        <f>204760700</f>
        <v>2.047607E8</v>
      </c>
      <c r="N59" s="23"/>
      <c r="O59" s="26" t="n">
        <f>370530610</f>
        <v>3.7053061E8</v>
      </c>
      <c r="P59" s="27" t="n">
        <f>27</f>
        <v>27.0</v>
      </c>
      <c r="Q59" s="28" t="n">
        <f>6779</f>
        <v>6779.0</v>
      </c>
      <c r="R59" s="29" t="n">
        <f>6806</f>
        <v>6806.0</v>
      </c>
      <c r="S59" s="24"/>
      <c r="T59" s="25" t="n">
        <f>1970</f>
        <v>1970.0</v>
      </c>
      <c r="U59" s="23"/>
      <c r="V59" s="25" t="n">
        <f>1180</f>
        <v>1180.0</v>
      </c>
      <c r="W59" s="23"/>
      <c r="X59" s="26" t="n">
        <f>3150</f>
        <v>3150.0</v>
      </c>
      <c r="Y59" s="24"/>
      <c r="Z59" s="25" t="n">
        <f>18167</f>
        <v>18167.0</v>
      </c>
      <c r="AA59" s="23"/>
      <c r="AB59" s="25" t="n">
        <f>14556</f>
        <v>14556.0</v>
      </c>
      <c r="AC59" s="23"/>
      <c r="AD59" s="26" t="n">
        <f>32723</f>
        <v>32723.0</v>
      </c>
    </row>
    <row r="60">
      <c r="A60" s="30" t="s">
        <v>49</v>
      </c>
      <c r="B60" s="22" t="s">
        <v>61</v>
      </c>
      <c r="C60" s="22" t="s">
        <v>62</v>
      </c>
      <c r="D60" s="24"/>
      <c r="E60" s="25"/>
      <c r="F60" s="23"/>
      <c r="G60" s="25"/>
      <c r="H60" s="23"/>
      <c r="I60" s="26"/>
      <c r="J60" s="24"/>
      <c r="K60" s="25"/>
      <c r="L60" s="23"/>
      <c r="M60" s="25"/>
      <c r="N60" s="23"/>
      <c r="O60" s="26"/>
      <c r="P60" s="27"/>
      <c r="Q60" s="28"/>
      <c r="R60" s="29"/>
      <c r="S60" s="24"/>
      <c r="T60" s="25"/>
      <c r="U60" s="23"/>
      <c r="V60" s="25"/>
      <c r="W60" s="23"/>
      <c r="X60" s="26"/>
      <c r="Y60" s="24"/>
      <c r="Z60" s="25"/>
      <c r="AA60" s="23"/>
      <c r="AB60" s="25"/>
      <c r="AC60" s="23"/>
      <c r="AD60" s="26"/>
    </row>
    <row r="61">
      <c r="A61" s="30" t="s">
        <v>50</v>
      </c>
      <c r="B61" s="22" t="s">
        <v>61</v>
      </c>
      <c r="C61" s="22" t="s">
        <v>62</v>
      </c>
      <c r="D61" s="24"/>
      <c r="E61" s="25"/>
      <c r="F61" s="23"/>
      <c r="G61" s="25"/>
      <c r="H61" s="23"/>
      <c r="I61" s="26"/>
      <c r="J61" s="24"/>
      <c r="K61" s="25"/>
      <c r="L61" s="23"/>
      <c r="M61" s="25"/>
      <c r="N61" s="23"/>
      <c r="O61" s="26"/>
      <c r="P61" s="27"/>
      <c r="Q61" s="28"/>
      <c r="R61" s="29"/>
      <c r="S61" s="24"/>
      <c r="T61" s="25"/>
      <c r="U61" s="23"/>
      <c r="V61" s="25"/>
      <c r="W61" s="23"/>
      <c r="X61" s="26"/>
      <c r="Y61" s="24"/>
      <c r="Z61" s="25"/>
      <c r="AA61" s="23"/>
      <c r="AB61" s="25"/>
      <c r="AC61" s="23"/>
      <c r="AD61" s="26"/>
    </row>
    <row r="62">
      <c r="A62" s="30" t="s">
        <v>51</v>
      </c>
      <c r="B62" s="22" t="s">
        <v>61</v>
      </c>
      <c r="C62" s="22" t="s">
        <v>62</v>
      </c>
      <c r="D62" s="24"/>
      <c r="E62" s="25" t="n">
        <f>25803</f>
        <v>25803.0</v>
      </c>
      <c r="F62" s="23"/>
      <c r="G62" s="25" t="n">
        <f>21200</f>
        <v>21200.0</v>
      </c>
      <c r="H62" s="23"/>
      <c r="I62" s="26" t="n">
        <f>47003</f>
        <v>47003.0</v>
      </c>
      <c r="J62" s="24"/>
      <c r="K62" s="25" t="n">
        <f>203432600</f>
        <v>2.034326E8</v>
      </c>
      <c r="L62" s="23"/>
      <c r="M62" s="25" t="n">
        <f>442378310</f>
        <v>4.4237831E8</v>
      </c>
      <c r="N62" s="23"/>
      <c r="O62" s="26" t="n">
        <f>645810910</f>
        <v>6.4581091E8</v>
      </c>
      <c r="P62" s="27" t="str">
        <f>"－"</f>
        <v>－</v>
      </c>
      <c r="Q62" s="28" t="str">
        <f>"－"</f>
        <v>－</v>
      </c>
      <c r="R62" s="29" t="str">
        <f>"－"</f>
        <v>－</v>
      </c>
      <c r="S62" s="24"/>
      <c r="T62" s="25" t="n">
        <f>2880</f>
        <v>2880.0</v>
      </c>
      <c r="U62" s="23"/>
      <c r="V62" s="25" t="n">
        <f>1890</f>
        <v>1890.0</v>
      </c>
      <c r="W62" s="23"/>
      <c r="X62" s="26" t="n">
        <f>4770</f>
        <v>4770.0</v>
      </c>
      <c r="Y62" s="24"/>
      <c r="Z62" s="25" t="n">
        <f>24613</f>
        <v>24613.0</v>
      </c>
      <c r="AA62" s="23"/>
      <c r="AB62" s="25" t="n">
        <f>21060</f>
        <v>21060.0</v>
      </c>
      <c r="AC62" s="23"/>
      <c r="AD62" s="26" t="n">
        <f>45673</f>
        <v>45673.0</v>
      </c>
    </row>
    <row r="63">
      <c r="A63" s="30" t="s">
        <v>52</v>
      </c>
      <c r="B63" s="22" t="s">
        <v>61</v>
      </c>
      <c r="C63" s="22" t="s">
        <v>62</v>
      </c>
      <c r="D63" s="24"/>
      <c r="E63" s="25" t="n">
        <f>35773</f>
        <v>35773.0</v>
      </c>
      <c r="F63" s="23"/>
      <c r="G63" s="25" t="n">
        <f>20884</f>
        <v>20884.0</v>
      </c>
      <c r="H63" s="23"/>
      <c r="I63" s="26" t="n">
        <f>56657</f>
        <v>56657.0</v>
      </c>
      <c r="J63" s="24"/>
      <c r="K63" s="25" t="n">
        <f>263980070</f>
        <v>2.6398007E8</v>
      </c>
      <c r="L63" s="23"/>
      <c r="M63" s="25" t="n">
        <f>355032190</f>
        <v>3.5503219E8</v>
      </c>
      <c r="N63" s="23"/>
      <c r="O63" s="26" t="n">
        <f>619012260</f>
        <v>6.1901226E8</v>
      </c>
      <c r="P63" s="27" t="str">
        <f>"－"</f>
        <v>－</v>
      </c>
      <c r="Q63" s="28" t="str">
        <f>"－"</f>
        <v>－</v>
      </c>
      <c r="R63" s="29" t="str">
        <f>"－"</f>
        <v>－</v>
      </c>
      <c r="S63" s="24"/>
      <c r="T63" s="25" t="n">
        <f>5680</f>
        <v>5680.0</v>
      </c>
      <c r="U63" s="23"/>
      <c r="V63" s="25" t="n">
        <f>3190</f>
        <v>3190.0</v>
      </c>
      <c r="W63" s="23"/>
      <c r="X63" s="26" t="n">
        <f>8870</f>
        <v>8870.0</v>
      </c>
      <c r="Y63" s="24"/>
      <c r="Z63" s="25" t="n">
        <f>31578</f>
        <v>31578.0</v>
      </c>
      <c r="AA63" s="23"/>
      <c r="AB63" s="25" t="n">
        <f>24573</f>
        <v>24573.0</v>
      </c>
      <c r="AC63" s="23"/>
      <c r="AD63" s="26" t="n">
        <f>56151</f>
        <v>56151.0</v>
      </c>
    </row>
    <row r="64">
      <c r="A64" s="30" t="s">
        <v>53</v>
      </c>
      <c r="B64" s="22" t="s">
        <v>61</v>
      </c>
      <c r="C64" s="22" t="s">
        <v>62</v>
      </c>
      <c r="D64" s="24"/>
      <c r="E64" s="25" t="n">
        <f>26870</f>
        <v>26870.0</v>
      </c>
      <c r="F64" s="23"/>
      <c r="G64" s="25" t="n">
        <f>31679</f>
        <v>31679.0</v>
      </c>
      <c r="H64" s="23"/>
      <c r="I64" s="26" t="n">
        <f>58549</f>
        <v>58549.0</v>
      </c>
      <c r="J64" s="24"/>
      <c r="K64" s="25" t="n">
        <f>235513820</f>
        <v>2.3551382E8</v>
      </c>
      <c r="L64" s="23"/>
      <c r="M64" s="25" t="n">
        <f>291118310</f>
        <v>2.9111831E8</v>
      </c>
      <c r="N64" s="23"/>
      <c r="O64" s="26" t="n">
        <f>526632130</f>
        <v>5.2663213E8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/>
      <c r="T64" s="25" t="n">
        <f>3660</f>
        <v>3660.0</v>
      </c>
      <c r="U64" s="23"/>
      <c r="V64" s="25" t="n">
        <f>3450</f>
        <v>3450.0</v>
      </c>
      <c r="W64" s="23"/>
      <c r="X64" s="26" t="n">
        <f>7110</f>
        <v>7110.0</v>
      </c>
      <c r="Y64" s="24"/>
      <c r="Z64" s="25" t="n">
        <f>33318</f>
        <v>33318.0</v>
      </c>
      <c r="AA64" s="23"/>
      <c r="AB64" s="25" t="n">
        <f>29307</f>
        <v>29307.0</v>
      </c>
      <c r="AC64" s="23"/>
      <c r="AD64" s="26" t="n">
        <f>62625</f>
        <v>62625.0</v>
      </c>
    </row>
    <row r="65">
      <c r="A65" s="30" t="s">
        <v>54</v>
      </c>
      <c r="B65" s="22" t="s">
        <v>61</v>
      </c>
      <c r="C65" s="22" t="s">
        <v>62</v>
      </c>
      <c r="D65" s="24"/>
      <c r="E65" s="25" t="n">
        <f>34028</f>
        <v>34028.0</v>
      </c>
      <c r="F65" s="23"/>
      <c r="G65" s="25" t="n">
        <f>26029</f>
        <v>26029.0</v>
      </c>
      <c r="H65" s="23"/>
      <c r="I65" s="26" t="n">
        <f>60057</f>
        <v>60057.0</v>
      </c>
      <c r="J65" s="24"/>
      <c r="K65" s="25" t="n">
        <f>224482210</f>
        <v>2.2448221E8</v>
      </c>
      <c r="L65" s="23"/>
      <c r="M65" s="25" t="n">
        <f>223249620</f>
        <v>2.2324962E8</v>
      </c>
      <c r="N65" s="23"/>
      <c r="O65" s="26" t="n">
        <f>447731830</f>
        <v>4.4773183E8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5230</f>
        <v>5230.0</v>
      </c>
      <c r="U65" s="23"/>
      <c r="V65" s="25" t="n">
        <f>4810</f>
        <v>4810.0</v>
      </c>
      <c r="W65" s="23"/>
      <c r="X65" s="26" t="n">
        <f>10040</f>
        <v>10040.0</v>
      </c>
      <c r="Y65" s="24"/>
      <c r="Z65" s="25" t="n">
        <f>35725</f>
        <v>35725.0</v>
      </c>
      <c r="AA65" s="23"/>
      <c r="AB65" s="25" t="n">
        <f>32076</f>
        <v>32076.0</v>
      </c>
      <c r="AC65" s="23"/>
      <c r="AD65" s="26" t="n">
        <f>67801</f>
        <v>67801.0</v>
      </c>
    </row>
    <row r="66">
      <c r="A66" s="30" t="s">
        <v>55</v>
      </c>
      <c r="B66" s="22" t="s">
        <v>61</v>
      </c>
      <c r="C66" s="22" t="s">
        <v>62</v>
      </c>
      <c r="D66" s="24"/>
      <c r="E66" s="25" t="n">
        <f>14320</f>
        <v>14320.0</v>
      </c>
      <c r="F66" s="23"/>
      <c r="G66" s="25" t="n">
        <f>22133</f>
        <v>22133.0</v>
      </c>
      <c r="H66" s="23"/>
      <c r="I66" s="26" t="n">
        <f>36453</f>
        <v>36453.0</v>
      </c>
      <c r="J66" s="24"/>
      <c r="K66" s="25" t="n">
        <f>157892180</f>
        <v>1.5789218E8</v>
      </c>
      <c r="L66" s="23"/>
      <c r="M66" s="25" t="n">
        <f>192279870</f>
        <v>1.9227987E8</v>
      </c>
      <c r="N66" s="23"/>
      <c r="O66" s="26" t="n">
        <f>350172050</f>
        <v>3.5017205E8</v>
      </c>
      <c r="P66" s="27" t="n">
        <f>1163</f>
        <v>1163.0</v>
      </c>
      <c r="Q66" s="28" t="n">
        <f>303</f>
        <v>303.0</v>
      </c>
      <c r="R66" s="29" t="n">
        <f>1466</f>
        <v>1466.0</v>
      </c>
      <c r="S66" s="24"/>
      <c r="T66" s="25" t="n">
        <f>1360</f>
        <v>1360.0</v>
      </c>
      <c r="U66" s="23" t="s">
        <v>39</v>
      </c>
      <c r="V66" s="25" t="n">
        <f>4920</f>
        <v>4920.0</v>
      </c>
      <c r="W66" s="23"/>
      <c r="X66" s="26" t="n">
        <f>6280</f>
        <v>6280.0</v>
      </c>
      <c r="Y66" s="24"/>
      <c r="Z66" s="25" t="n">
        <f>18860</f>
        <v>18860.0</v>
      </c>
      <c r="AA66" s="23"/>
      <c r="AB66" s="25" t="n">
        <f>20004</f>
        <v>20004.0</v>
      </c>
      <c r="AC66" s="23"/>
      <c r="AD66" s="26" t="n">
        <f>38864</f>
        <v>38864.0</v>
      </c>
    </row>
    <row r="67">
      <c r="A67" s="30" t="s">
        <v>56</v>
      </c>
      <c r="B67" s="22" t="s">
        <v>61</v>
      </c>
      <c r="C67" s="22" t="s">
        <v>62</v>
      </c>
      <c r="D67" s="24"/>
      <c r="E67" s="25"/>
      <c r="F67" s="23"/>
      <c r="G67" s="25"/>
      <c r="H67" s="23"/>
      <c r="I67" s="26"/>
      <c r="J67" s="24"/>
      <c r="K67" s="25"/>
      <c r="L67" s="23"/>
      <c r="M67" s="25"/>
      <c r="N67" s="23"/>
      <c r="O67" s="26"/>
      <c r="P67" s="27"/>
      <c r="Q67" s="28"/>
      <c r="R67" s="29"/>
      <c r="S67" s="24"/>
      <c r="T67" s="25"/>
      <c r="U67" s="23"/>
      <c r="V67" s="25"/>
      <c r="W67" s="23"/>
      <c r="X67" s="26"/>
      <c r="Y67" s="24"/>
      <c r="Z67" s="25"/>
      <c r="AA67" s="23"/>
      <c r="AB67" s="25"/>
      <c r="AC67" s="23"/>
      <c r="AD67" s="26"/>
    </row>
    <row r="68">
      <c r="A68" s="30" t="s">
        <v>57</v>
      </c>
      <c r="B68" s="22" t="s">
        <v>61</v>
      </c>
      <c r="C68" s="22" t="s">
        <v>62</v>
      </c>
      <c r="D68" s="24"/>
      <c r="E68" s="25"/>
      <c r="F68" s="23"/>
      <c r="G68" s="25"/>
      <c r="H68" s="23"/>
      <c r="I68" s="26"/>
      <c r="J68" s="24"/>
      <c r="K68" s="25"/>
      <c r="L68" s="23"/>
      <c r="M68" s="25"/>
      <c r="N68" s="23"/>
      <c r="O68" s="26"/>
      <c r="P68" s="27"/>
      <c r="Q68" s="28"/>
      <c r="R68" s="29"/>
      <c r="S68" s="24"/>
      <c r="T68" s="25"/>
      <c r="U68" s="23"/>
      <c r="V68" s="25"/>
      <c r="W68" s="23"/>
      <c r="X68" s="26"/>
      <c r="Y68" s="24"/>
      <c r="Z68" s="25"/>
      <c r="AA68" s="23"/>
      <c r="AB68" s="25"/>
      <c r="AC68" s="23"/>
      <c r="AD68" s="26"/>
    </row>
    <row r="69">
      <c r="A69" s="30" t="s">
        <v>58</v>
      </c>
      <c r="B69" s="22" t="s">
        <v>61</v>
      </c>
      <c r="C69" s="22" t="s">
        <v>62</v>
      </c>
      <c r="D69" s="24"/>
      <c r="E69" s="25" t="n">
        <f>19688</f>
        <v>19688.0</v>
      </c>
      <c r="F69" s="23"/>
      <c r="G69" s="25" t="n">
        <f>18629</f>
        <v>18629.0</v>
      </c>
      <c r="H69" s="23"/>
      <c r="I69" s="26" t="n">
        <f>38317</f>
        <v>38317.0</v>
      </c>
      <c r="J69" s="24"/>
      <c r="K69" s="25" t="n">
        <f>185089800</f>
        <v>1.850898E8</v>
      </c>
      <c r="L69" s="23"/>
      <c r="M69" s="25" t="n">
        <f>161379600</f>
        <v>1.613796E8</v>
      </c>
      <c r="N69" s="23"/>
      <c r="O69" s="26" t="n">
        <f>346469400</f>
        <v>3.464694E8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3820</f>
        <v>3820.0</v>
      </c>
      <c r="U69" s="23"/>
      <c r="V69" s="25" t="n">
        <f>2270</f>
        <v>2270.0</v>
      </c>
      <c r="W69" s="23"/>
      <c r="X69" s="26" t="n">
        <f>6090</f>
        <v>6090.0</v>
      </c>
      <c r="Y69" s="24"/>
      <c r="Z69" s="25" t="n">
        <f>21604</f>
        <v>21604.0</v>
      </c>
      <c r="AA69" s="23"/>
      <c r="AB69" s="25" t="n">
        <f>21938</f>
        <v>21938.0</v>
      </c>
      <c r="AC69" s="23"/>
      <c r="AD69" s="26" t="n">
        <f>43542</f>
        <v>43542.0</v>
      </c>
    </row>
    <row r="70">
      <c r="A70" s="30" t="s">
        <v>59</v>
      </c>
      <c r="B70" s="22" t="s">
        <v>61</v>
      </c>
      <c r="C70" s="22" t="s">
        <v>62</v>
      </c>
      <c r="D70" s="24"/>
      <c r="E70" s="25" t="n">
        <f>16643</f>
        <v>16643.0</v>
      </c>
      <c r="F70" s="23"/>
      <c r="G70" s="25" t="n">
        <f>13011</f>
        <v>13011.0</v>
      </c>
      <c r="H70" s="23"/>
      <c r="I70" s="26" t="n">
        <f>29654</f>
        <v>29654.0</v>
      </c>
      <c r="J70" s="24"/>
      <c r="K70" s="25" t="n">
        <f>112404310</f>
        <v>1.1240431E8</v>
      </c>
      <c r="L70" s="23" t="s">
        <v>32</v>
      </c>
      <c r="M70" s="25" t="n">
        <f>114465980</f>
        <v>1.1446598E8</v>
      </c>
      <c r="N70" s="23" t="s">
        <v>32</v>
      </c>
      <c r="O70" s="26" t="n">
        <f>226870290</f>
        <v>2.2687029E8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1890</f>
        <v>1890.0</v>
      </c>
      <c r="U70" s="23"/>
      <c r="V70" s="25" t="n">
        <f>1680</f>
        <v>1680.0</v>
      </c>
      <c r="W70" s="23"/>
      <c r="X70" s="26" t="n">
        <f>3570</f>
        <v>3570.0</v>
      </c>
      <c r="Y70" s="24"/>
      <c r="Z70" s="25" t="n">
        <f>21866</f>
        <v>21866.0</v>
      </c>
      <c r="AA70" s="23"/>
      <c r="AB70" s="25" t="n">
        <f>24181</f>
        <v>24181.0</v>
      </c>
      <c r="AC70" s="23"/>
      <c r="AD70" s="26" t="n">
        <f>46047</f>
        <v>46047.0</v>
      </c>
    </row>
    <row r="71">
      <c r="A71" s="30" t="s">
        <v>60</v>
      </c>
      <c r="B71" s="22" t="s">
        <v>61</v>
      </c>
      <c r="C71" s="22" t="s">
        <v>62</v>
      </c>
      <c r="D71" s="24"/>
      <c r="E71" s="25" t="n">
        <f>23534</f>
        <v>23534.0</v>
      </c>
      <c r="F71" s="23"/>
      <c r="G71" s="25" t="n">
        <f>21878</f>
        <v>21878.0</v>
      </c>
      <c r="H71" s="23"/>
      <c r="I71" s="26" t="n">
        <f>45412</f>
        <v>45412.0</v>
      </c>
      <c r="J71" s="24"/>
      <c r="K71" s="25" t="n">
        <f>165796460</f>
        <v>1.6579646E8</v>
      </c>
      <c r="L71" s="23"/>
      <c r="M71" s="25" t="n">
        <f>151706060</f>
        <v>1.5170606E8</v>
      </c>
      <c r="N71" s="23"/>
      <c r="O71" s="26" t="n">
        <f>317502520</f>
        <v>3.1750252E8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n">
        <f>4260</f>
        <v>4260.0</v>
      </c>
      <c r="U71" s="23"/>
      <c r="V71" s="25" t="n">
        <f>4460</f>
        <v>4460.0</v>
      </c>
      <c r="W71" s="23"/>
      <c r="X71" s="26" t="n">
        <f>8720</f>
        <v>8720.0</v>
      </c>
      <c r="Y71" s="24"/>
      <c r="Z71" s="25" t="n">
        <f>24025</f>
        <v>24025.0</v>
      </c>
      <c r="AA71" s="23"/>
      <c r="AB71" s="25" t="n">
        <f>25519</f>
        <v>25519.0</v>
      </c>
      <c r="AC71" s="23"/>
      <c r="AD71" s="26" t="n">
        <f>49544</f>
        <v>49544.0</v>
      </c>
    </row>
    <row r="72">
      <c r="A72" s="30" t="s">
        <v>26</v>
      </c>
      <c r="B72" s="22" t="s">
        <v>63</v>
      </c>
      <c r="C72" s="22" t="s">
        <v>64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29</v>
      </c>
      <c r="B73" s="22" t="s">
        <v>63</v>
      </c>
      <c r="C73" s="22" t="s">
        <v>64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30</v>
      </c>
      <c r="B74" s="22" t="s">
        <v>63</v>
      </c>
      <c r="C74" s="22" t="s">
        <v>64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31</v>
      </c>
      <c r="B75" s="22" t="s">
        <v>63</v>
      </c>
      <c r="C75" s="22" t="s">
        <v>64</v>
      </c>
      <c r="D75" s="24"/>
      <c r="E75" s="25" t="n">
        <f>2218</f>
        <v>2218.0</v>
      </c>
      <c r="F75" s="23"/>
      <c r="G75" s="25" t="n">
        <f>64</f>
        <v>64.0</v>
      </c>
      <c r="H75" s="23"/>
      <c r="I75" s="26" t="n">
        <f>2282</f>
        <v>2282.0</v>
      </c>
      <c r="J75" s="24"/>
      <c r="K75" s="25" t="n">
        <f>157087656</f>
        <v>1.57087656E8</v>
      </c>
      <c r="L75" s="23"/>
      <c r="M75" s="25" t="n">
        <f>35599000</f>
        <v>3.5599E7</v>
      </c>
      <c r="N75" s="23"/>
      <c r="O75" s="26" t="n">
        <f>192686656</f>
        <v>1.92686656E8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n">
        <f>1368</f>
        <v>1368.0</v>
      </c>
      <c r="U75" s="23" t="s">
        <v>32</v>
      </c>
      <c r="V75" s="25" t="str">
        <f>"－"</f>
        <v>－</v>
      </c>
      <c r="W75" s="23"/>
      <c r="X75" s="26" t="n">
        <f>1368</f>
        <v>1368.0</v>
      </c>
      <c r="Y75" s="24"/>
      <c r="Z75" s="25" t="n">
        <f>77280</f>
        <v>77280.0</v>
      </c>
      <c r="AA75" s="23"/>
      <c r="AB75" s="25" t="n">
        <f>52942</f>
        <v>52942.0</v>
      </c>
      <c r="AC75" s="23"/>
      <c r="AD75" s="26" t="n">
        <f>130222</f>
        <v>130222.0</v>
      </c>
    </row>
    <row r="76">
      <c r="A76" s="30" t="s">
        <v>33</v>
      </c>
      <c r="B76" s="22" t="s">
        <v>63</v>
      </c>
      <c r="C76" s="22" t="s">
        <v>64</v>
      </c>
      <c r="D76" s="24"/>
      <c r="E76" s="25" t="n">
        <f>509</f>
        <v>509.0</v>
      </c>
      <c r="F76" s="23"/>
      <c r="G76" s="25" t="n">
        <f>305</f>
        <v>305.0</v>
      </c>
      <c r="H76" s="23"/>
      <c r="I76" s="26" t="n">
        <f>814</f>
        <v>814.0</v>
      </c>
      <c r="J76" s="24"/>
      <c r="K76" s="25" t="n">
        <f>31050900</f>
        <v>3.10509E7</v>
      </c>
      <c r="L76" s="23"/>
      <c r="M76" s="25" t="n">
        <f>366629000</f>
        <v>3.66629E8</v>
      </c>
      <c r="N76" s="23"/>
      <c r="O76" s="26" t="n">
        <f>397679900</f>
        <v>3.976799E8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n">
        <f>509</f>
        <v>509.0</v>
      </c>
      <c r="U76" s="23"/>
      <c r="V76" s="25" t="n">
        <f>200</f>
        <v>200.0</v>
      </c>
      <c r="W76" s="23"/>
      <c r="X76" s="26" t="n">
        <f>709</f>
        <v>709.0</v>
      </c>
      <c r="Y76" s="24"/>
      <c r="Z76" s="25" t="n">
        <f>77689</f>
        <v>77689.0</v>
      </c>
      <c r="AA76" s="23"/>
      <c r="AB76" s="25" t="n">
        <f>53093</f>
        <v>53093.0</v>
      </c>
      <c r="AC76" s="23"/>
      <c r="AD76" s="26" t="n">
        <f>130782</f>
        <v>130782.0</v>
      </c>
    </row>
    <row r="77">
      <c r="A77" s="30" t="s">
        <v>34</v>
      </c>
      <c r="B77" s="22" t="s">
        <v>63</v>
      </c>
      <c r="C77" s="22" t="s">
        <v>64</v>
      </c>
      <c r="D77" s="24"/>
      <c r="E77" s="25"/>
      <c r="F77" s="23"/>
      <c r="G77" s="25"/>
      <c r="H77" s="23"/>
      <c r="I77" s="26"/>
      <c r="J77" s="24"/>
      <c r="K77" s="25"/>
      <c r="L77" s="23"/>
      <c r="M77" s="25"/>
      <c r="N77" s="23"/>
      <c r="O77" s="26"/>
      <c r="P77" s="27"/>
      <c r="Q77" s="28"/>
      <c r="R77" s="29"/>
      <c r="S77" s="24"/>
      <c r="T77" s="25"/>
      <c r="U77" s="23"/>
      <c r="V77" s="25"/>
      <c r="W77" s="23"/>
      <c r="X77" s="26"/>
      <c r="Y77" s="24"/>
      <c r="Z77" s="25"/>
      <c r="AA77" s="23"/>
      <c r="AB77" s="25"/>
      <c r="AC77" s="23"/>
      <c r="AD77" s="26"/>
    </row>
    <row r="78">
      <c r="A78" s="30" t="s">
        <v>35</v>
      </c>
      <c r="B78" s="22" t="s">
        <v>63</v>
      </c>
      <c r="C78" s="22" t="s">
        <v>64</v>
      </c>
      <c r="D78" s="24"/>
      <c r="E78" s="25"/>
      <c r="F78" s="23"/>
      <c r="G78" s="25"/>
      <c r="H78" s="23"/>
      <c r="I78" s="26"/>
      <c r="J78" s="24"/>
      <c r="K78" s="25"/>
      <c r="L78" s="23"/>
      <c r="M78" s="25"/>
      <c r="N78" s="23"/>
      <c r="O78" s="26"/>
      <c r="P78" s="27"/>
      <c r="Q78" s="28"/>
      <c r="R78" s="29"/>
      <c r="S78" s="24"/>
      <c r="T78" s="25"/>
      <c r="U78" s="23"/>
      <c r="V78" s="25"/>
      <c r="W78" s="23"/>
      <c r="X78" s="26"/>
      <c r="Y78" s="24"/>
      <c r="Z78" s="25"/>
      <c r="AA78" s="23"/>
      <c r="AB78" s="25"/>
      <c r="AC78" s="23"/>
      <c r="AD78" s="26"/>
    </row>
    <row r="79">
      <c r="A79" s="30" t="s">
        <v>36</v>
      </c>
      <c r="B79" s="22" t="s">
        <v>63</v>
      </c>
      <c r="C79" s="22" t="s">
        <v>64</v>
      </c>
      <c r="D79" s="24"/>
      <c r="E79" s="25"/>
      <c r="F79" s="23"/>
      <c r="G79" s="25"/>
      <c r="H79" s="23"/>
      <c r="I79" s="26"/>
      <c r="J79" s="24"/>
      <c r="K79" s="25"/>
      <c r="L79" s="23"/>
      <c r="M79" s="25"/>
      <c r="N79" s="23"/>
      <c r="O79" s="26"/>
      <c r="P79" s="27"/>
      <c r="Q79" s="28"/>
      <c r="R79" s="29"/>
      <c r="S79" s="24"/>
      <c r="T79" s="25"/>
      <c r="U79" s="23"/>
      <c r="V79" s="25"/>
      <c r="W79" s="23"/>
      <c r="X79" s="26"/>
      <c r="Y79" s="24"/>
      <c r="Z79" s="25"/>
      <c r="AA79" s="23"/>
      <c r="AB79" s="25"/>
      <c r="AC79" s="23"/>
      <c r="AD79" s="26"/>
    </row>
    <row r="80">
      <c r="A80" s="30" t="s">
        <v>37</v>
      </c>
      <c r="B80" s="22" t="s">
        <v>63</v>
      </c>
      <c r="C80" s="22" t="s">
        <v>64</v>
      </c>
      <c r="D80" s="24" t="s">
        <v>32</v>
      </c>
      <c r="E80" s="25" t="str">
        <f>"－"</f>
        <v>－</v>
      </c>
      <c r="F80" s="23" t="s">
        <v>32</v>
      </c>
      <c r="G80" s="25" t="n">
        <f>20</f>
        <v>20.0</v>
      </c>
      <c r="H80" s="23" t="s">
        <v>32</v>
      </c>
      <c r="I80" s="26" t="n">
        <f>20</f>
        <v>20.0</v>
      </c>
      <c r="J80" s="24" t="s">
        <v>32</v>
      </c>
      <c r="K80" s="25" t="str">
        <f>"－"</f>
        <v>－</v>
      </c>
      <c r="L80" s="23" t="s">
        <v>32</v>
      </c>
      <c r="M80" s="25" t="n">
        <f>1460000</f>
        <v>1460000.0</v>
      </c>
      <c r="N80" s="23" t="s">
        <v>32</v>
      </c>
      <c r="O80" s="26" t="n">
        <f>1460000</f>
        <v>1460000.0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 t="s">
        <v>32</v>
      </c>
      <c r="T80" s="25" t="str">
        <f>"－"</f>
        <v>－</v>
      </c>
      <c r="U80" s="23"/>
      <c r="V80" s="25" t="str">
        <f>"－"</f>
        <v>－</v>
      </c>
      <c r="W80" s="23" t="s">
        <v>32</v>
      </c>
      <c r="X80" s="26" t="str">
        <f>"－"</f>
        <v>－</v>
      </c>
      <c r="Y80" s="24"/>
      <c r="Z80" s="25" t="n">
        <f>77689</f>
        <v>77689.0</v>
      </c>
      <c r="AA80" s="23"/>
      <c r="AB80" s="25" t="n">
        <f>53113</f>
        <v>53113.0</v>
      </c>
      <c r="AC80" s="23"/>
      <c r="AD80" s="26" t="n">
        <f>130802</f>
        <v>130802.0</v>
      </c>
    </row>
    <row r="81">
      <c r="A81" s="30" t="s">
        <v>38</v>
      </c>
      <c r="B81" s="22" t="s">
        <v>63</v>
      </c>
      <c r="C81" s="22" t="s">
        <v>64</v>
      </c>
      <c r="D81" s="24"/>
      <c r="E81" s="25" t="str">
        <f>"－"</f>
        <v>－</v>
      </c>
      <c r="F81" s="23"/>
      <c r="G81" s="25" t="n">
        <f>1087</f>
        <v>1087.0</v>
      </c>
      <c r="H81" s="23"/>
      <c r="I81" s="26" t="n">
        <f>1087</f>
        <v>1087.0</v>
      </c>
      <c r="J81" s="24"/>
      <c r="K81" s="25" t="str">
        <f>"－"</f>
        <v>－</v>
      </c>
      <c r="L81" s="23"/>
      <c r="M81" s="25" t="n">
        <f>306017272</f>
        <v>3.06017272E8</v>
      </c>
      <c r="N81" s="23"/>
      <c r="O81" s="26" t="n">
        <f>306017272</f>
        <v>3.06017272E8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str">
        <f>"－"</f>
        <v>－</v>
      </c>
      <c r="U81" s="23"/>
      <c r="V81" s="25" t="n">
        <f>789</f>
        <v>789.0</v>
      </c>
      <c r="W81" s="23"/>
      <c r="X81" s="26" t="n">
        <f>789</f>
        <v>789.0</v>
      </c>
      <c r="Y81" s="24"/>
      <c r="Z81" s="25" t="n">
        <f>77689</f>
        <v>77689.0</v>
      </c>
      <c r="AA81" s="23"/>
      <c r="AB81" s="25" t="n">
        <f>53923</f>
        <v>53923.0</v>
      </c>
      <c r="AC81" s="23"/>
      <c r="AD81" s="26" t="n">
        <f>131612</f>
        <v>131612.0</v>
      </c>
    </row>
    <row r="82">
      <c r="A82" s="30" t="s">
        <v>40</v>
      </c>
      <c r="B82" s="22" t="s">
        <v>63</v>
      </c>
      <c r="C82" s="22" t="s">
        <v>64</v>
      </c>
      <c r="D82" s="24"/>
      <c r="E82" s="25" t="n">
        <f>1862</f>
        <v>1862.0</v>
      </c>
      <c r="F82" s="23"/>
      <c r="G82" s="25" t="n">
        <f>2071</f>
        <v>2071.0</v>
      </c>
      <c r="H82" s="23"/>
      <c r="I82" s="26" t="n">
        <f>3933</f>
        <v>3933.0</v>
      </c>
      <c r="J82" s="24"/>
      <c r="K82" s="25" t="n">
        <f>493088250</f>
        <v>4.9308825E8</v>
      </c>
      <c r="L82" s="23"/>
      <c r="M82" s="25" t="n">
        <f>817432720</f>
        <v>8.1743272E8</v>
      </c>
      <c r="N82" s="23"/>
      <c r="O82" s="26" t="n">
        <f>1310520970</f>
        <v>1.31052097E9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n">
        <f>335</f>
        <v>335.0</v>
      </c>
      <c r="U82" s="23"/>
      <c r="V82" s="25" t="n">
        <f>930</f>
        <v>930.0</v>
      </c>
      <c r="W82" s="23"/>
      <c r="X82" s="26" t="n">
        <f>1265</f>
        <v>1265.0</v>
      </c>
      <c r="Y82" s="24"/>
      <c r="Z82" s="25" t="n">
        <f>79067</f>
        <v>79067.0</v>
      </c>
      <c r="AA82" s="23"/>
      <c r="AB82" s="25" t="n">
        <f>54957</f>
        <v>54957.0</v>
      </c>
      <c r="AC82" s="23"/>
      <c r="AD82" s="26" t="n">
        <f>134024</f>
        <v>134024.0</v>
      </c>
    </row>
    <row r="83">
      <c r="A83" s="30" t="s">
        <v>41</v>
      </c>
      <c r="B83" s="22" t="s">
        <v>63</v>
      </c>
      <c r="C83" s="22" t="s">
        <v>64</v>
      </c>
      <c r="D83" s="24"/>
      <c r="E83" s="25" t="n">
        <f>1200</f>
        <v>1200.0</v>
      </c>
      <c r="F83" s="23"/>
      <c r="G83" s="25" t="n">
        <f>800</f>
        <v>800.0</v>
      </c>
      <c r="H83" s="23"/>
      <c r="I83" s="26" t="n">
        <f>2000</f>
        <v>2000.0</v>
      </c>
      <c r="J83" s="24"/>
      <c r="K83" s="25" t="n">
        <f>636300000</f>
        <v>6.363E8</v>
      </c>
      <c r="L83" s="23"/>
      <c r="M83" s="25" t="n">
        <f>495280100</f>
        <v>4.952801E8</v>
      </c>
      <c r="N83" s="23"/>
      <c r="O83" s="26" t="n">
        <f>1131580100</f>
        <v>1.1315801E9</v>
      </c>
      <c r="P83" s="27" t="str">
        <f>"－"</f>
        <v>－</v>
      </c>
      <c r="Q83" s="28" t="n">
        <f>2771</f>
        <v>2771.0</v>
      </c>
      <c r="R83" s="29" t="n">
        <f>2771</f>
        <v>2771.0</v>
      </c>
      <c r="S83" s="24"/>
      <c r="T83" s="25" t="n">
        <f>150</f>
        <v>150.0</v>
      </c>
      <c r="U83" s="23"/>
      <c r="V83" s="25" t="n">
        <f>650</f>
        <v>650.0</v>
      </c>
      <c r="W83" s="23"/>
      <c r="X83" s="26" t="n">
        <f>800</f>
        <v>800.0</v>
      </c>
      <c r="Y83" s="24" t="s">
        <v>32</v>
      </c>
      <c r="Z83" s="25" t="n">
        <f>74921</f>
        <v>74921.0</v>
      </c>
      <c r="AA83" s="23" t="s">
        <v>32</v>
      </c>
      <c r="AB83" s="25" t="n">
        <f>52186</f>
        <v>52186.0</v>
      </c>
      <c r="AC83" s="23" t="s">
        <v>32</v>
      </c>
      <c r="AD83" s="26" t="n">
        <f>127107</f>
        <v>127107.0</v>
      </c>
    </row>
    <row r="84">
      <c r="A84" s="30" t="s">
        <v>42</v>
      </c>
      <c r="B84" s="22" t="s">
        <v>63</v>
      </c>
      <c r="C84" s="22" t="s">
        <v>64</v>
      </c>
      <c r="D84" s="24"/>
      <c r="E84" s="25"/>
      <c r="F84" s="23"/>
      <c r="G84" s="25"/>
      <c r="H84" s="23"/>
      <c r="I84" s="26"/>
      <c r="J84" s="24"/>
      <c r="K84" s="25"/>
      <c r="L84" s="23"/>
      <c r="M84" s="25"/>
      <c r="N84" s="23"/>
      <c r="O84" s="26"/>
      <c r="P84" s="27"/>
      <c r="Q84" s="28"/>
      <c r="R84" s="29"/>
      <c r="S84" s="24"/>
      <c r="T84" s="25"/>
      <c r="U84" s="23"/>
      <c r="V84" s="25"/>
      <c r="W84" s="23"/>
      <c r="X84" s="26"/>
      <c r="Y84" s="24"/>
      <c r="Z84" s="25"/>
      <c r="AA84" s="23"/>
      <c r="AB84" s="25"/>
      <c r="AC84" s="23"/>
      <c r="AD84" s="26"/>
    </row>
    <row r="85">
      <c r="A85" s="30" t="s">
        <v>43</v>
      </c>
      <c r="B85" s="22" t="s">
        <v>63</v>
      </c>
      <c r="C85" s="22" t="s">
        <v>64</v>
      </c>
      <c r="D85" s="24"/>
      <c r="E85" s="25"/>
      <c r="F85" s="23"/>
      <c r="G85" s="25"/>
      <c r="H85" s="23"/>
      <c r="I85" s="26"/>
      <c r="J85" s="24"/>
      <c r="K85" s="25"/>
      <c r="L85" s="23"/>
      <c r="M85" s="25"/>
      <c r="N85" s="23"/>
      <c r="O85" s="26"/>
      <c r="P85" s="27"/>
      <c r="Q85" s="28"/>
      <c r="R85" s="29"/>
      <c r="S85" s="24"/>
      <c r="T85" s="25"/>
      <c r="U85" s="23"/>
      <c r="V85" s="25"/>
      <c r="W85" s="23"/>
      <c r="X85" s="26"/>
      <c r="Y85" s="24"/>
      <c r="Z85" s="25"/>
      <c r="AA85" s="23"/>
      <c r="AB85" s="25"/>
      <c r="AC85" s="23"/>
      <c r="AD85" s="26"/>
    </row>
    <row r="86">
      <c r="A86" s="30" t="s">
        <v>44</v>
      </c>
      <c r="B86" s="22" t="s">
        <v>63</v>
      </c>
      <c r="C86" s="22" t="s">
        <v>64</v>
      </c>
      <c r="D86" s="24"/>
      <c r="E86" s="25" t="n">
        <f>396</f>
        <v>396.0</v>
      </c>
      <c r="F86" s="23"/>
      <c r="G86" s="25" t="n">
        <f>2180</f>
        <v>2180.0</v>
      </c>
      <c r="H86" s="23"/>
      <c r="I86" s="26" t="n">
        <f>2576</f>
        <v>2576.0</v>
      </c>
      <c r="J86" s="24"/>
      <c r="K86" s="25" t="n">
        <f>144101625</f>
        <v>1.44101625E8</v>
      </c>
      <c r="L86" s="23"/>
      <c r="M86" s="25" t="n">
        <f>616368935</f>
        <v>6.16368935E8</v>
      </c>
      <c r="N86" s="23"/>
      <c r="O86" s="26" t="n">
        <f>760470560</f>
        <v>7.6047056E8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n">
        <f>396</f>
        <v>396.0</v>
      </c>
      <c r="U86" s="23"/>
      <c r="V86" s="25" t="n">
        <f>2330</f>
        <v>2330.0</v>
      </c>
      <c r="W86" s="23"/>
      <c r="X86" s="26" t="n">
        <f>2726</f>
        <v>2726.0</v>
      </c>
      <c r="Y86" s="24"/>
      <c r="Z86" s="25" t="n">
        <f>75017</f>
        <v>75017.0</v>
      </c>
      <c r="AA86" s="23"/>
      <c r="AB86" s="25" t="n">
        <f>54316</f>
        <v>54316.0</v>
      </c>
      <c r="AC86" s="23"/>
      <c r="AD86" s="26" t="n">
        <f>129333</f>
        <v>129333.0</v>
      </c>
    </row>
    <row r="87">
      <c r="A87" s="30" t="s">
        <v>45</v>
      </c>
      <c r="B87" s="22" t="s">
        <v>63</v>
      </c>
      <c r="C87" s="22" t="s">
        <v>64</v>
      </c>
      <c r="D87" s="24"/>
      <c r="E87" s="25" t="n">
        <f>5061</f>
        <v>5061.0</v>
      </c>
      <c r="F87" s="23" t="s">
        <v>39</v>
      </c>
      <c r="G87" s="25" t="n">
        <f>8363</f>
        <v>8363.0</v>
      </c>
      <c r="H87" s="23" t="s">
        <v>39</v>
      </c>
      <c r="I87" s="26" t="n">
        <f>13424</f>
        <v>13424.0</v>
      </c>
      <c r="J87" s="24" t="s">
        <v>39</v>
      </c>
      <c r="K87" s="25" t="n">
        <f>9284701000</f>
        <v>9.284701E9</v>
      </c>
      <c r="L87" s="23" t="s">
        <v>39</v>
      </c>
      <c r="M87" s="25" t="n">
        <f>10112730602</f>
        <v>1.0112730602E10</v>
      </c>
      <c r="N87" s="23" t="s">
        <v>39</v>
      </c>
      <c r="O87" s="26" t="n">
        <f>19397431602</f>
        <v>1.9397431602E10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n">
        <f>500</f>
        <v>500.0</v>
      </c>
      <c r="U87" s="23" t="s">
        <v>39</v>
      </c>
      <c r="V87" s="25" t="n">
        <f>3162</f>
        <v>3162.0</v>
      </c>
      <c r="W87" s="23"/>
      <c r="X87" s="26" t="n">
        <f>3662</f>
        <v>3662.0</v>
      </c>
      <c r="Y87" s="24"/>
      <c r="Z87" s="25" t="n">
        <f>77768</f>
        <v>77768.0</v>
      </c>
      <c r="AA87" s="23"/>
      <c r="AB87" s="25" t="n">
        <f>59587</f>
        <v>59587.0</v>
      </c>
      <c r="AC87" s="23"/>
      <c r="AD87" s="26" t="n">
        <f>137355</f>
        <v>137355.0</v>
      </c>
    </row>
    <row r="88">
      <c r="A88" s="30" t="s">
        <v>46</v>
      </c>
      <c r="B88" s="22" t="s">
        <v>63</v>
      </c>
      <c r="C88" s="22" t="s">
        <v>64</v>
      </c>
      <c r="D88" s="24"/>
      <c r="E88" s="25" t="n">
        <f>4193</f>
        <v>4193.0</v>
      </c>
      <c r="F88" s="23"/>
      <c r="G88" s="25" t="n">
        <f>740</f>
        <v>740.0</v>
      </c>
      <c r="H88" s="23"/>
      <c r="I88" s="26" t="n">
        <f>4933</f>
        <v>4933.0</v>
      </c>
      <c r="J88" s="24"/>
      <c r="K88" s="25" t="n">
        <f>1219800000</f>
        <v>1.2198E9</v>
      </c>
      <c r="L88" s="23"/>
      <c r="M88" s="25" t="n">
        <f>177800000</f>
        <v>1.778E8</v>
      </c>
      <c r="N88" s="23"/>
      <c r="O88" s="26" t="n">
        <f>1397600000</f>
        <v>1.3976E9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n">
        <f>755</f>
        <v>755.0</v>
      </c>
      <c r="U88" s="23"/>
      <c r="V88" s="25" t="str">
        <f>"－"</f>
        <v>－</v>
      </c>
      <c r="W88" s="23"/>
      <c r="X88" s="26" t="n">
        <f>755</f>
        <v>755.0</v>
      </c>
      <c r="Y88" s="24"/>
      <c r="Z88" s="25" t="n">
        <f>81361</f>
        <v>81361.0</v>
      </c>
      <c r="AA88" s="23"/>
      <c r="AB88" s="25" t="n">
        <f>60227</f>
        <v>60227.0</v>
      </c>
      <c r="AC88" s="23"/>
      <c r="AD88" s="26" t="n">
        <f>141588</f>
        <v>141588.0</v>
      </c>
    </row>
    <row r="89">
      <c r="A89" s="30" t="s">
        <v>47</v>
      </c>
      <c r="B89" s="22" t="s">
        <v>63</v>
      </c>
      <c r="C89" s="22" t="s">
        <v>64</v>
      </c>
      <c r="D89" s="24"/>
      <c r="E89" s="25" t="n">
        <f>2438</f>
        <v>2438.0</v>
      </c>
      <c r="F89" s="23"/>
      <c r="G89" s="25" t="n">
        <f>1905</f>
        <v>1905.0</v>
      </c>
      <c r="H89" s="23"/>
      <c r="I89" s="26" t="n">
        <f>4343</f>
        <v>4343.0</v>
      </c>
      <c r="J89" s="24"/>
      <c r="K89" s="25" t="n">
        <f>790767993</f>
        <v>7.90767993E8</v>
      </c>
      <c r="L89" s="23"/>
      <c r="M89" s="25" t="n">
        <f>431420000</f>
        <v>4.3142E8</v>
      </c>
      <c r="N89" s="23"/>
      <c r="O89" s="26" t="n">
        <f>1222187993</f>
        <v>1.222187993E9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1180</f>
        <v>1180.0</v>
      </c>
      <c r="U89" s="23"/>
      <c r="V89" s="25" t="n">
        <f>1180</f>
        <v>1180.0</v>
      </c>
      <c r="W89" s="23"/>
      <c r="X89" s="26" t="n">
        <f>2360</f>
        <v>2360.0</v>
      </c>
      <c r="Y89" s="24"/>
      <c r="Z89" s="25" t="n">
        <f>83009</f>
        <v>83009.0</v>
      </c>
      <c r="AA89" s="23"/>
      <c r="AB89" s="25" t="n">
        <f>61982</f>
        <v>61982.0</v>
      </c>
      <c r="AC89" s="23"/>
      <c r="AD89" s="26" t="n">
        <f>144991</f>
        <v>144991.0</v>
      </c>
    </row>
    <row r="90">
      <c r="A90" s="30" t="s">
        <v>48</v>
      </c>
      <c r="B90" s="22" t="s">
        <v>63</v>
      </c>
      <c r="C90" s="22" t="s">
        <v>64</v>
      </c>
      <c r="D90" s="24"/>
      <c r="E90" s="25" t="n">
        <f>1288</f>
        <v>1288.0</v>
      </c>
      <c r="F90" s="23"/>
      <c r="G90" s="25" t="n">
        <f>300</f>
        <v>300.0</v>
      </c>
      <c r="H90" s="23"/>
      <c r="I90" s="26" t="n">
        <f>1588</f>
        <v>1588.0</v>
      </c>
      <c r="J90" s="24"/>
      <c r="K90" s="25" t="n">
        <f>1155575168</f>
        <v>1.155575168E9</v>
      </c>
      <c r="L90" s="23"/>
      <c r="M90" s="25" t="n">
        <f>426900000</f>
        <v>4.269E8</v>
      </c>
      <c r="N90" s="23"/>
      <c r="O90" s="26" t="n">
        <f>1582475168</f>
        <v>1.582475168E9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n">
        <f>888</f>
        <v>888.0</v>
      </c>
      <c r="U90" s="23"/>
      <c r="V90" s="25" t="n">
        <f>150</f>
        <v>150.0</v>
      </c>
      <c r="W90" s="23"/>
      <c r="X90" s="26" t="n">
        <f>1038</f>
        <v>1038.0</v>
      </c>
      <c r="Y90" s="24"/>
      <c r="Z90" s="25" t="n">
        <f>83861</f>
        <v>83861.0</v>
      </c>
      <c r="AA90" s="23"/>
      <c r="AB90" s="25" t="n">
        <f>61982</f>
        <v>61982.0</v>
      </c>
      <c r="AC90" s="23"/>
      <c r="AD90" s="26" t="n">
        <f>145843</f>
        <v>145843.0</v>
      </c>
    </row>
    <row r="91">
      <c r="A91" s="30" t="s">
        <v>49</v>
      </c>
      <c r="B91" s="22" t="s">
        <v>63</v>
      </c>
      <c r="C91" s="22" t="s">
        <v>64</v>
      </c>
      <c r="D91" s="24"/>
      <c r="E91" s="25"/>
      <c r="F91" s="23"/>
      <c r="G91" s="25"/>
      <c r="H91" s="23"/>
      <c r="I91" s="26"/>
      <c r="J91" s="24"/>
      <c r="K91" s="25"/>
      <c r="L91" s="23"/>
      <c r="M91" s="25"/>
      <c r="N91" s="23"/>
      <c r="O91" s="26"/>
      <c r="P91" s="27"/>
      <c r="Q91" s="28"/>
      <c r="R91" s="29"/>
      <c r="S91" s="24"/>
      <c r="T91" s="25"/>
      <c r="U91" s="23"/>
      <c r="V91" s="25"/>
      <c r="W91" s="23"/>
      <c r="X91" s="26"/>
      <c r="Y91" s="24"/>
      <c r="Z91" s="25"/>
      <c r="AA91" s="23"/>
      <c r="AB91" s="25"/>
      <c r="AC91" s="23"/>
      <c r="AD91" s="26"/>
    </row>
    <row r="92">
      <c r="A92" s="30" t="s">
        <v>50</v>
      </c>
      <c r="B92" s="22" t="s">
        <v>63</v>
      </c>
      <c r="C92" s="22" t="s">
        <v>64</v>
      </c>
      <c r="D92" s="24"/>
      <c r="E92" s="25"/>
      <c r="F92" s="23"/>
      <c r="G92" s="25"/>
      <c r="H92" s="23"/>
      <c r="I92" s="26"/>
      <c r="J92" s="24"/>
      <c r="K92" s="25"/>
      <c r="L92" s="23"/>
      <c r="M92" s="25"/>
      <c r="N92" s="23"/>
      <c r="O92" s="26"/>
      <c r="P92" s="27"/>
      <c r="Q92" s="28"/>
      <c r="R92" s="29"/>
      <c r="S92" s="24"/>
      <c r="T92" s="25"/>
      <c r="U92" s="23"/>
      <c r="V92" s="25"/>
      <c r="W92" s="23"/>
      <c r="X92" s="26"/>
      <c r="Y92" s="24"/>
      <c r="Z92" s="25"/>
      <c r="AA92" s="23"/>
      <c r="AB92" s="25"/>
      <c r="AC92" s="23"/>
      <c r="AD92" s="26"/>
    </row>
    <row r="93">
      <c r="A93" s="30" t="s">
        <v>51</v>
      </c>
      <c r="B93" s="22" t="s">
        <v>63</v>
      </c>
      <c r="C93" s="22" t="s">
        <v>64</v>
      </c>
      <c r="D93" s="24"/>
      <c r="E93" s="25" t="str">
        <f>"－"</f>
        <v>－</v>
      </c>
      <c r="F93" s="23"/>
      <c r="G93" s="25" t="n">
        <f>142</f>
        <v>142.0</v>
      </c>
      <c r="H93" s="23"/>
      <c r="I93" s="26" t="n">
        <f>142</f>
        <v>142.0</v>
      </c>
      <c r="J93" s="24"/>
      <c r="K93" s="25" t="str">
        <f>"－"</f>
        <v>－</v>
      </c>
      <c r="L93" s="23"/>
      <c r="M93" s="25" t="n">
        <f>103590775</f>
        <v>1.03590775E8</v>
      </c>
      <c r="N93" s="23"/>
      <c r="O93" s="26" t="n">
        <f>103590775</f>
        <v>1.03590775E8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str">
        <f>"－"</f>
        <v>－</v>
      </c>
      <c r="U93" s="23"/>
      <c r="V93" s="25" t="str">
        <f>"－"</f>
        <v>－</v>
      </c>
      <c r="W93" s="23"/>
      <c r="X93" s="26" t="str">
        <f>"－"</f>
        <v>－</v>
      </c>
      <c r="Y93" s="24"/>
      <c r="Z93" s="25" t="n">
        <f>83861</f>
        <v>83861.0</v>
      </c>
      <c r="AA93" s="23"/>
      <c r="AB93" s="25" t="n">
        <f>61840</f>
        <v>61840.0</v>
      </c>
      <c r="AC93" s="23"/>
      <c r="AD93" s="26" t="n">
        <f>145701</f>
        <v>145701.0</v>
      </c>
    </row>
    <row r="94">
      <c r="A94" s="30" t="s">
        <v>52</v>
      </c>
      <c r="B94" s="22" t="s">
        <v>63</v>
      </c>
      <c r="C94" s="22" t="s">
        <v>64</v>
      </c>
      <c r="D94" s="24"/>
      <c r="E94" s="25" t="n">
        <f>2800</f>
        <v>2800.0</v>
      </c>
      <c r="F94" s="23"/>
      <c r="G94" s="25" t="n">
        <f>350</f>
        <v>350.0</v>
      </c>
      <c r="H94" s="23"/>
      <c r="I94" s="26" t="n">
        <f>3150</f>
        <v>3150.0</v>
      </c>
      <c r="J94" s="24"/>
      <c r="K94" s="25" t="n">
        <f>871170000</f>
        <v>8.7117E8</v>
      </c>
      <c r="L94" s="23"/>
      <c r="M94" s="25" t="n">
        <f>351500000</f>
        <v>3.515E8</v>
      </c>
      <c r="N94" s="23"/>
      <c r="O94" s="26" t="n">
        <f>1222670000</f>
        <v>1.22267E9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/>
      <c r="T94" s="25" t="n">
        <f>2050</f>
        <v>2050.0</v>
      </c>
      <c r="U94" s="23"/>
      <c r="V94" s="25" t="n">
        <f>350</f>
        <v>350.0</v>
      </c>
      <c r="W94" s="23"/>
      <c r="X94" s="26" t="n">
        <f>2400</f>
        <v>2400.0</v>
      </c>
      <c r="Y94" s="24"/>
      <c r="Z94" s="25" t="n">
        <f>85571</f>
        <v>85571.0</v>
      </c>
      <c r="AA94" s="23"/>
      <c r="AB94" s="25" t="n">
        <f>61790</f>
        <v>61790.0</v>
      </c>
      <c r="AC94" s="23"/>
      <c r="AD94" s="26" t="n">
        <f>147361</f>
        <v>147361.0</v>
      </c>
    </row>
    <row r="95">
      <c r="A95" s="30" t="s">
        <v>53</v>
      </c>
      <c r="B95" s="22" t="s">
        <v>63</v>
      </c>
      <c r="C95" s="22" t="s">
        <v>64</v>
      </c>
      <c r="D95" s="24"/>
      <c r="E95" s="25" t="n">
        <f>521</f>
        <v>521.0</v>
      </c>
      <c r="F95" s="23"/>
      <c r="G95" s="25" t="n">
        <f>75</f>
        <v>75.0</v>
      </c>
      <c r="H95" s="23"/>
      <c r="I95" s="26" t="n">
        <f>596</f>
        <v>596.0</v>
      </c>
      <c r="J95" s="24"/>
      <c r="K95" s="25" t="n">
        <f>399741000</f>
        <v>3.99741E8</v>
      </c>
      <c r="L95" s="23"/>
      <c r="M95" s="25" t="n">
        <f>99187500</f>
        <v>9.91875E7</v>
      </c>
      <c r="N95" s="23"/>
      <c r="O95" s="26" t="n">
        <f>498928500</f>
        <v>4.989285E8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n">
        <f>446</f>
        <v>446.0</v>
      </c>
      <c r="U95" s="23"/>
      <c r="V95" s="25" t="str">
        <f>"－"</f>
        <v>－</v>
      </c>
      <c r="W95" s="23"/>
      <c r="X95" s="26" t="n">
        <f>446</f>
        <v>446.0</v>
      </c>
      <c r="Y95" s="24"/>
      <c r="Z95" s="25" t="n">
        <f>85802</f>
        <v>85802.0</v>
      </c>
      <c r="AA95" s="23"/>
      <c r="AB95" s="25" t="n">
        <f>61715</f>
        <v>61715.0</v>
      </c>
      <c r="AC95" s="23"/>
      <c r="AD95" s="26" t="n">
        <f>147517</f>
        <v>147517.0</v>
      </c>
    </row>
    <row r="96">
      <c r="A96" s="30" t="s">
        <v>54</v>
      </c>
      <c r="B96" s="22" t="s">
        <v>63</v>
      </c>
      <c r="C96" s="22" t="s">
        <v>64</v>
      </c>
      <c r="D96" s="24" t="s">
        <v>39</v>
      </c>
      <c r="E96" s="25" t="n">
        <f>7804</f>
        <v>7804.0</v>
      </c>
      <c r="F96" s="23"/>
      <c r="G96" s="25" t="n">
        <f>1570</f>
        <v>1570.0</v>
      </c>
      <c r="H96" s="23"/>
      <c r="I96" s="26" t="n">
        <f>9374</f>
        <v>9374.0</v>
      </c>
      <c r="J96" s="24"/>
      <c r="K96" s="25" t="n">
        <f>895314000</f>
        <v>8.95314E8</v>
      </c>
      <c r="L96" s="23"/>
      <c r="M96" s="25" t="n">
        <f>555636790</f>
        <v>5.5563679E8</v>
      </c>
      <c r="N96" s="23"/>
      <c r="O96" s="26" t="n">
        <f>1450950790</f>
        <v>1.45095079E9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 t="s">
        <v>39</v>
      </c>
      <c r="T96" s="25" t="n">
        <f>7417</f>
        <v>7417.0</v>
      </c>
      <c r="U96" s="23"/>
      <c r="V96" s="25" t="n">
        <f>1385</f>
        <v>1385.0</v>
      </c>
      <c r="W96" s="23" t="s">
        <v>39</v>
      </c>
      <c r="X96" s="26" t="n">
        <f>8802</f>
        <v>8802.0</v>
      </c>
      <c r="Y96" s="24"/>
      <c r="Z96" s="25" t="n">
        <f>90669</f>
        <v>90669.0</v>
      </c>
      <c r="AA96" s="23"/>
      <c r="AB96" s="25" t="n">
        <f>61687</f>
        <v>61687.0</v>
      </c>
      <c r="AC96" s="23"/>
      <c r="AD96" s="26" t="n">
        <f>152356</f>
        <v>152356.0</v>
      </c>
    </row>
    <row r="97">
      <c r="A97" s="30" t="s">
        <v>55</v>
      </c>
      <c r="B97" s="22" t="s">
        <v>63</v>
      </c>
      <c r="C97" s="22" t="s">
        <v>64</v>
      </c>
      <c r="D97" s="24"/>
      <c r="E97" s="25" t="n">
        <f>1662</f>
        <v>1662.0</v>
      </c>
      <c r="F97" s="23"/>
      <c r="G97" s="25" t="n">
        <f>1614</f>
        <v>1614.0</v>
      </c>
      <c r="H97" s="23"/>
      <c r="I97" s="26" t="n">
        <f>3276</f>
        <v>3276.0</v>
      </c>
      <c r="J97" s="24"/>
      <c r="K97" s="25" t="n">
        <f>388607500</f>
        <v>3.886075E8</v>
      </c>
      <c r="L97" s="23"/>
      <c r="M97" s="25" t="n">
        <f>1230230000</f>
        <v>1.23023E9</v>
      </c>
      <c r="N97" s="23"/>
      <c r="O97" s="26" t="n">
        <f>1618837500</f>
        <v>1.6188375E9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n">
        <f>514</f>
        <v>514.0</v>
      </c>
      <c r="U97" s="23"/>
      <c r="V97" s="25" t="n">
        <f>1064</f>
        <v>1064.0</v>
      </c>
      <c r="W97" s="23"/>
      <c r="X97" s="26" t="n">
        <f>1578</f>
        <v>1578.0</v>
      </c>
      <c r="Y97" s="24"/>
      <c r="Z97" s="25" t="n">
        <f>91370</f>
        <v>91370.0</v>
      </c>
      <c r="AA97" s="23"/>
      <c r="AB97" s="25" t="n">
        <f>61934</f>
        <v>61934.0</v>
      </c>
      <c r="AC97" s="23"/>
      <c r="AD97" s="26" t="n">
        <f>153304</f>
        <v>153304.0</v>
      </c>
    </row>
    <row r="98">
      <c r="A98" s="30" t="s">
        <v>56</v>
      </c>
      <c r="B98" s="22" t="s">
        <v>63</v>
      </c>
      <c r="C98" s="22" t="s">
        <v>64</v>
      </c>
      <c r="D98" s="24"/>
      <c r="E98" s="25"/>
      <c r="F98" s="23"/>
      <c r="G98" s="25"/>
      <c r="H98" s="23"/>
      <c r="I98" s="26"/>
      <c r="J98" s="24"/>
      <c r="K98" s="25"/>
      <c r="L98" s="23"/>
      <c r="M98" s="25"/>
      <c r="N98" s="23"/>
      <c r="O98" s="26"/>
      <c r="P98" s="27"/>
      <c r="Q98" s="28"/>
      <c r="R98" s="29"/>
      <c r="S98" s="24"/>
      <c r="T98" s="25"/>
      <c r="U98" s="23"/>
      <c r="V98" s="25"/>
      <c r="W98" s="23"/>
      <c r="X98" s="26"/>
      <c r="Y98" s="24"/>
      <c r="Z98" s="25"/>
      <c r="AA98" s="23"/>
      <c r="AB98" s="25"/>
      <c r="AC98" s="23"/>
      <c r="AD98" s="26"/>
    </row>
    <row r="99">
      <c r="A99" s="30" t="s">
        <v>57</v>
      </c>
      <c r="B99" s="22" t="s">
        <v>63</v>
      </c>
      <c r="C99" s="22" t="s">
        <v>64</v>
      </c>
      <c r="D99" s="24"/>
      <c r="E99" s="25"/>
      <c r="F99" s="23"/>
      <c r="G99" s="25"/>
      <c r="H99" s="23"/>
      <c r="I99" s="26"/>
      <c r="J99" s="24"/>
      <c r="K99" s="25"/>
      <c r="L99" s="23"/>
      <c r="M99" s="25"/>
      <c r="N99" s="23"/>
      <c r="O99" s="26"/>
      <c r="P99" s="27"/>
      <c r="Q99" s="28"/>
      <c r="R99" s="29"/>
      <c r="S99" s="24"/>
      <c r="T99" s="25"/>
      <c r="U99" s="23"/>
      <c r="V99" s="25"/>
      <c r="W99" s="23"/>
      <c r="X99" s="26"/>
      <c r="Y99" s="24"/>
      <c r="Z99" s="25"/>
      <c r="AA99" s="23"/>
      <c r="AB99" s="25"/>
      <c r="AC99" s="23"/>
      <c r="AD99" s="26"/>
    </row>
    <row r="100">
      <c r="A100" s="30" t="s">
        <v>58</v>
      </c>
      <c r="B100" s="22" t="s">
        <v>63</v>
      </c>
      <c r="C100" s="22" t="s">
        <v>64</v>
      </c>
      <c r="D100" s="24"/>
      <c r="E100" s="25" t="n">
        <f>3481</f>
        <v>3481.0</v>
      </c>
      <c r="F100" s="23"/>
      <c r="G100" s="25" t="n">
        <f>1252</f>
        <v>1252.0</v>
      </c>
      <c r="H100" s="23"/>
      <c r="I100" s="26" t="n">
        <f>4733</f>
        <v>4733.0</v>
      </c>
      <c r="J100" s="24"/>
      <c r="K100" s="25" t="n">
        <f>1382947608</f>
        <v>1.382947608E9</v>
      </c>
      <c r="L100" s="23"/>
      <c r="M100" s="25" t="n">
        <f>448085000</f>
        <v>4.48085E8</v>
      </c>
      <c r="N100" s="23"/>
      <c r="O100" s="26" t="n">
        <f>1831032608</f>
        <v>1.831032608E9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n">
        <f>2031</f>
        <v>2031.0</v>
      </c>
      <c r="U100" s="23"/>
      <c r="V100" s="25" t="str">
        <f>"－"</f>
        <v>－</v>
      </c>
      <c r="W100" s="23"/>
      <c r="X100" s="26" t="n">
        <f>2031</f>
        <v>2031.0</v>
      </c>
      <c r="Y100" s="24"/>
      <c r="Z100" s="25" t="n">
        <f>94577</f>
        <v>94577.0</v>
      </c>
      <c r="AA100" s="23"/>
      <c r="AB100" s="25" t="n">
        <f>62968</f>
        <v>62968.0</v>
      </c>
      <c r="AC100" s="23"/>
      <c r="AD100" s="26" t="n">
        <f>157545</f>
        <v>157545.0</v>
      </c>
    </row>
    <row r="101">
      <c r="A101" s="30" t="s">
        <v>59</v>
      </c>
      <c r="B101" s="22" t="s">
        <v>63</v>
      </c>
      <c r="C101" s="22" t="s">
        <v>64</v>
      </c>
      <c r="D101" s="24"/>
      <c r="E101" s="25" t="n">
        <f>1403</f>
        <v>1403.0</v>
      </c>
      <c r="F101" s="23"/>
      <c r="G101" s="25" t="n">
        <f>1624</f>
        <v>1624.0</v>
      </c>
      <c r="H101" s="23"/>
      <c r="I101" s="26" t="n">
        <f>3027</f>
        <v>3027.0</v>
      </c>
      <c r="J101" s="24"/>
      <c r="K101" s="25" t="n">
        <f>1453885000</f>
        <v>1.453885E9</v>
      </c>
      <c r="L101" s="23"/>
      <c r="M101" s="25" t="n">
        <f>1332492640</f>
        <v>1.33249264E9</v>
      </c>
      <c r="N101" s="23"/>
      <c r="O101" s="26" t="n">
        <f>2786377640</f>
        <v>2.78637764E9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n">
        <f>224</f>
        <v>224.0</v>
      </c>
      <c r="W101" s="23"/>
      <c r="X101" s="26" t="n">
        <f>224</f>
        <v>224.0</v>
      </c>
      <c r="Y101" s="24"/>
      <c r="Z101" s="25" t="n">
        <f>95380</f>
        <v>95380.0</v>
      </c>
      <c r="AA101" s="23"/>
      <c r="AB101" s="25" t="n">
        <f>64392</f>
        <v>64392.0</v>
      </c>
      <c r="AC101" s="23"/>
      <c r="AD101" s="26" t="n">
        <f>159772</f>
        <v>159772.0</v>
      </c>
    </row>
    <row r="102">
      <c r="A102" s="30" t="s">
        <v>60</v>
      </c>
      <c r="B102" s="22" t="s">
        <v>63</v>
      </c>
      <c r="C102" s="22" t="s">
        <v>64</v>
      </c>
      <c r="D102" s="24"/>
      <c r="E102" s="25" t="n">
        <f>2582</f>
        <v>2582.0</v>
      </c>
      <c r="F102" s="23"/>
      <c r="G102" s="25" t="n">
        <f>811</f>
        <v>811.0</v>
      </c>
      <c r="H102" s="23"/>
      <c r="I102" s="26" t="n">
        <f>3393</f>
        <v>3393.0</v>
      </c>
      <c r="J102" s="24"/>
      <c r="K102" s="25" t="n">
        <f>3911271163</f>
        <v>3.911271163E9</v>
      </c>
      <c r="L102" s="23"/>
      <c r="M102" s="25" t="n">
        <f>2200835000</f>
        <v>2.200835E9</v>
      </c>
      <c r="N102" s="23"/>
      <c r="O102" s="26" t="n">
        <f>6112106163</f>
        <v>6.112106163E9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n">
        <f>1447</f>
        <v>1447.0</v>
      </c>
      <c r="U102" s="23"/>
      <c r="V102" s="25" t="str">
        <f>"－"</f>
        <v>－</v>
      </c>
      <c r="W102" s="23"/>
      <c r="X102" s="26" t="n">
        <f>1447</f>
        <v>1447.0</v>
      </c>
      <c r="Y102" s="24" t="s">
        <v>39</v>
      </c>
      <c r="Z102" s="25" t="n">
        <f>97526</f>
        <v>97526.0</v>
      </c>
      <c r="AA102" s="23" t="s">
        <v>39</v>
      </c>
      <c r="AB102" s="25" t="n">
        <f>65202</f>
        <v>65202.0</v>
      </c>
      <c r="AC102" s="23" t="s">
        <v>39</v>
      </c>
      <c r="AD102" s="26" t="n">
        <f>162728</f>
        <v>162728.0</v>
      </c>
    </row>
    <row r="103">
      <c r="A103" s="30" t="s">
        <v>26</v>
      </c>
      <c r="B103" s="22" t="s">
        <v>65</v>
      </c>
      <c r="C103" s="22" t="s">
        <v>66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29</v>
      </c>
      <c r="B104" s="22" t="s">
        <v>65</v>
      </c>
      <c r="C104" s="22" t="s">
        <v>66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30</v>
      </c>
      <c r="B105" s="22" t="s">
        <v>65</v>
      </c>
      <c r="C105" s="22" t="s">
        <v>66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31</v>
      </c>
      <c r="B106" s="22" t="s">
        <v>65</v>
      </c>
      <c r="C106" s="22" t="s">
        <v>66</v>
      </c>
      <c r="D106" s="24" t="s">
        <v>67</v>
      </c>
      <c r="E106" s="25" t="str">
        <f>"－"</f>
        <v>－</v>
      </c>
      <c r="F106" s="23" t="s">
        <v>67</v>
      </c>
      <c r="G106" s="25" t="str">
        <f>"－"</f>
        <v>－</v>
      </c>
      <c r="H106" s="23" t="s">
        <v>67</v>
      </c>
      <c r="I106" s="26" t="str">
        <f>"－"</f>
        <v>－</v>
      </c>
      <c r="J106" s="24" t="s">
        <v>67</v>
      </c>
      <c r="K106" s="25" t="str">
        <f>"－"</f>
        <v>－</v>
      </c>
      <c r="L106" s="23" t="s">
        <v>67</v>
      </c>
      <c r="M106" s="25" t="str">
        <f>"－"</f>
        <v>－</v>
      </c>
      <c r="N106" s="23" t="s">
        <v>67</v>
      </c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 t="s">
        <v>67</v>
      </c>
      <c r="T106" s="25" t="str">
        <f>"－"</f>
        <v>－</v>
      </c>
      <c r="U106" s="23" t="s">
        <v>67</v>
      </c>
      <c r="V106" s="25" t="str">
        <f>"－"</f>
        <v>－</v>
      </c>
      <c r="W106" s="23" t="s">
        <v>67</v>
      </c>
      <c r="X106" s="26" t="str">
        <f>"－"</f>
        <v>－</v>
      </c>
      <c r="Y106" s="24" t="s">
        <v>67</v>
      </c>
      <c r="Z106" s="25" t="str">
        <f>"－"</f>
        <v>－</v>
      </c>
      <c r="AA106" s="23" t="s">
        <v>67</v>
      </c>
      <c r="AB106" s="25" t="str">
        <f>"－"</f>
        <v>－</v>
      </c>
      <c r="AC106" s="23" t="s">
        <v>67</v>
      </c>
      <c r="AD106" s="26" t="str">
        <f>"－"</f>
        <v>－</v>
      </c>
    </row>
    <row r="107">
      <c r="A107" s="30" t="s">
        <v>33</v>
      </c>
      <c r="B107" s="22" t="s">
        <v>65</v>
      </c>
      <c r="C107" s="22" t="s">
        <v>66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34</v>
      </c>
      <c r="B108" s="22" t="s">
        <v>65</v>
      </c>
      <c r="C108" s="22" t="s">
        <v>66</v>
      </c>
      <c r="D108" s="24"/>
      <c r="E108" s="25"/>
      <c r="F108" s="23"/>
      <c r="G108" s="25"/>
      <c r="H108" s="23"/>
      <c r="I108" s="26"/>
      <c r="J108" s="24"/>
      <c r="K108" s="25"/>
      <c r="L108" s="23"/>
      <c r="M108" s="25"/>
      <c r="N108" s="23"/>
      <c r="O108" s="26"/>
      <c r="P108" s="27"/>
      <c r="Q108" s="28"/>
      <c r="R108" s="29"/>
      <c r="S108" s="24"/>
      <c r="T108" s="25"/>
      <c r="U108" s="23"/>
      <c r="V108" s="25"/>
      <c r="W108" s="23"/>
      <c r="X108" s="26"/>
      <c r="Y108" s="24"/>
      <c r="Z108" s="25"/>
      <c r="AA108" s="23"/>
      <c r="AB108" s="25"/>
      <c r="AC108" s="23"/>
      <c r="AD108" s="26"/>
    </row>
    <row r="109">
      <c r="A109" s="30" t="s">
        <v>35</v>
      </c>
      <c r="B109" s="22" t="s">
        <v>65</v>
      </c>
      <c r="C109" s="22" t="s">
        <v>66</v>
      </c>
      <c r="D109" s="24"/>
      <c r="E109" s="25"/>
      <c r="F109" s="23"/>
      <c r="G109" s="25"/>
      <c r="H109" s="23"/>
      <c r="I109" s="26"/>
      <c r="J109" s="24"/>
      <c r="K109" s="25"/>
      <c r="L109" s="23"/>
      <c r="M109" s="25"/>
      <c r="N109" s="23"/>
      <c r="O109" s="26"/>
      <c r="P109" s="27"/>
      <c r="Q109" s="28"/>
      <c r="R109" s="29"/>
      <c r="S109" s="24"/>
      <c r="T109" s="25"/>
      <c r="U109" s="23"/>
      <c r="V109" s="25"/>
      <c r="W109" s="23"/>
      <c r="X109" s="26"/>
      <c r="Y109" s="24"/>
      <c r="Z109" s="25"/>
      <c r="AA109" s="23"/>
      <c r="AB109" s="25"/>
      <c r="AC109" s="23"/>
      <c r="AD109" s="26"/>
    </row>
    <row r="110">
      <c r="A110" s="30" t="s">
        <v>36</v>
      </c>
      <c r="B110" s="22" t="s">
        <v>65</v>
      </c>
      <c r="C110" s="22" t="s">
        <v>66</v>
      </c>
      <c r="D110" s="24"/>
      <c r="E110" s="25"/>
      <c r="F110" s="23"/>
      <c r="G110" s="25"/>
      <c r="H110" s="23"/>
      <c r="I110" s="26"/>
      <c r="J110" s="24"/>
      <c r="K110" s="25"/>
      <c r="L110" s="23"/>
      <c r="M110" s="25"/>
      <c r="N110" s="23"/>
      <c r="O110" s="26"/>
      <c r="P110" s="27"/>
      <c r="Q110" s="28"/>
      <c r="R110" s="29"/>
      <c r="S110" s="24"/>
      <c r="T110" s="25"/>
      <c r="U110" s="23"/>
      <c r="V110" s="25"/>
      <c r="W110" s="23"/>
      <c r="X110" s="26"/>
      <c r="Y110" s="24"/>
      <c r="Z110" s="25"/>
      <c r="AA110" s="23"/>
      <c r="AB110" s="25"/>
      <c r="AC110" s="23"/>
      <c r="AD110" s="26"/>
    </row>
    <row r="111">
      <c r="A111" s="30" t="s">
        <v>37</v>
      </c>
      <c r="B111" s="22" t="s">
        <v>65</v>
      </c>
      <c r="C111" s="22" t="s">
        <v>66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38</v>
      </c>
      <c r="B112" s="22" t="s">
        <v>65</v>
      </c>
      <c r="C112" s="22" t="s">
        <v>66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40</v>
      </c>
      <c r="B113" s="22" t="s">
        <v>65</v>
      </c>
      <c r="C113" s="22" t="s">
        <v>66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41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42</v>
      </c>
      <c r="B115" s="22" t="s">
        <v>65</v>
      </c>
      <c r="C115" s="22" t="s">
        <v>66</v>
      </c>
      <c r="D115" s="24"/>
      <c r="E115" s="25"/>
      <c r="F115" s="23"/>
      <c r="G115" s="25"/>
      <c r="H115" s="23"/>
      <c r="I115" s="26"/>
      <c r="J115" s="24"/>
      <c r="K115" s="25"/>
      <c r="L115" s="23"/>
      <c r="M115" s="25"/>
      <c r="N115" s="23"/>
      <c r="O115" s="26"/>
      <c r="P115" s="27"/>
      <c r="Q115" s="28"/>
      <c r="R115" s="29"/>
      <c r="S115" s="24"/>
      <c r="T115" s="25"/>
      <c r="U115" s="23"/>
      <c r="V115" s="25"/>
      <c r="W115" s="23"/>
      <c r="X115" s="26"/>
      <c r="Y115" s="24"/>
      <c r="Z115" s="25"/>
      <c r="AA115" s="23"/>
      <c r="AB115" s="25"/>
      <c r="AC115" s="23"/>
      <c r="AD115" s="26"/>
    </row>
    <row r="116">
      <c r="A116" s="30" t="s">
        <v>43</v>
      </c>
      <c r="B116" s="22" t="s">
        <v>65</v>
      </c>
      <c r="C116" s="22" t="s">
        <v>66</v>
      </c>
      <c r="D116" s="24"/>
      <c r="E116" s="25"/>
      <c r="F116" s="23"/>
      <c r="G116" s="25"/>
      <c r="H116" s="23"/>
      <c r="I116" s="26"/>
      <c r="J116" s="24"/>
      <c r="K116" s="25"/>
      <c r="L116" s="23"/>
      <c r="M116" s="25"/>
      <c r="N116" s="23"/>
      <c r="O116" s="26"/>
      <c r="P116" s="27"/>
      <c r="Q116" s="28"/>
      <c r="R116" s="29"/>
      <c r="S116" s="24"/>
      <c r="T116" s="25"/>
      <c r="U116" s="23"/>
      <c r="V116" s="25"/>
      <c r="W116" s="23"/>
      <c r="X116" s="26"/>
      <c r="Y116" s="24"/>
      <c r="Z116" s="25"/>
      <c r="AA116" s="23"/>
      <c r="AB116" s="25"/>
      <c r="AC116" s="23"/>
      <c r="AD116" s="26"/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46</v>
      </c>
      <c r="B119" s="22" t="s">
        <v>65</v>
      </c>
      <c r="C119" s="22" t="s">
        <v>66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47</v>
      </c>
      <c r="B120" s="22" t="s">
        <v>65</v>
      </c>
      <c r="C120" s="22" t="s">
        <v>66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/>
      <c r="F122" s="23"/>
      <c r="G122" s="25"/>
      <c r="H122" s="23"/>
      <c r="I122" s="26"/>
      <c r="J122" s="24"/>
      <c r="K122" s="25"/>
      <c r="L122" s="23"/>
      <c r="M122" s="25"/>
      <c r="N122" s="23"/>
      <c r="O122" s="26"/>
      <c r="P122" s="27"/>
      <c r="Q122" s="28"/>
      <c r="R122" s="29"/>
      <c r="S122" s="24"/>
      <c r="T122" s="25"/>
      <c r="U122" s="23"/>
      <c r="V122" s="25"/>
      <c r="W122" s="23"/>
      <c r="X122" s="26"/>
      <c r="Y122" s="24"/>
      <c r="Z122" s="25"/>
      <c r="AA122" s="23"/>
      <c r="AB122" s="25"/>
      <c r="AC122" s="23"/>
      <c r="AD122" s="26"/>
    </row>
    <row r="123">
      <c r="A123" s="30" t="s">
        <v>50</v>
      </c>
      <c r="B123" s="22" t="s">
        <v>65</v>
      </c>
      <c r="C123" s="22" t="s">
        <v>66</v>
      </c>
      <c r="D123" s="24"/>
      <c r="E123" s="25"/>
      <c r="F123" s="23"/>
      <c r="G123" s="25"/>
      <c r="H123" s="23"/>
      <c r="I123" s="26"/>
      <c r="J123" s="24"/>
      <c r="K123" s="25"/>
      <c r="L123" s="23"/>
      <c r="M123" s="25"/>
      <c r="N123" s="23"/>
      <c r="O123" s="26"/>
      <c r="P123" s="27"/>
      <c r="Q123" s="28"/>
      <c r="R123" s="29"/>
      <c r="S123" s="24"/>
      <c r="T123" s="25"/>
      <c r="U123" s="23"/>
      <c r="V123" s="25"/>
      <c r="W123" s="23"/>
      <c r="X123" s="26"/>
      <c r="Y123" s="24"/>
      <c r="Z123" s="25"/>
      <c r="AA123" s="23"/>
      <c r="AB123" s="25"/>
      <c r="AC123" s="23"/>
      <c r="AD123" s="26"/>
    </row>
    <row r="124">
      <c r="A124" s="30" t="s">
        <v>51</v>
      </c>
      <c r="B124" s="22" t="s">
        <v>65</v>
      </c>
      <c r="C124" s="22" t="s">
        <v>66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52</v>
      </c>
      <c r="B125" s="22" t="s">
        <v>65</v>
      </c>
      <c r="C125" s="22" t="s">
        <v>66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53</v>
      </c>
      <c r="B126" s="22" t="s">
        <v>65</v>
      </c>
      <c r="C126" s="22" t="s">
        <v>66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54</v>
      </c>
      <c r="B127" s="22" t="s">
        <v>65</v>
      </c>
      <c r="C127" s="22" t="s">
        <v>66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/>
      <c r="F129" s="23"/>
      <c r="G129" s="25"/>
      <c r="H129" s="23"/>
      <c r="I129" s="26"/>
      <c r="J129" s="24"/>
      <c r="K129" s="25"/>
      <c r="L129" s="23"/>
      <c r="M129" s="25"/>
      <c r="N129" s="23"/>
      <c r="O129" s="26"/>
      <c r="P129" s="27"/>
      <c r="Q129" s="28"/>
      <c r="R129" s="29"/>
      <c r="S129" s="24"/>
      <c r="T129" s="25"/>
      <c r="U129" s="23"/>
      <c r="V129" s="25"/>
      <c r="W129" s="23"/>
      <c r="X129" s="26"/>
      <c r="Y129" s="24"/>
      <c r="Z129" s="25"/>
      <c r="AA129" s="23"/>
      <c r="AB129" s="25"/>
      <c r="AC129" s="23"/>
      <c r="AD129" s="26"/>
    </row>
    <row r="130">
      <c r="A130" s="30" t="s">
        <v>57</v>
      </c>
      <c r="B130" s="22" t="s">
        <v>65</v>
      </c>
      <c r="C130" s="22" t="s">
        <v>66</v>
      </c>
      <c r="D130" s="24"/>
      <c r="E130" s="25"/>
      <c r="F130" s="23"/>
      <c r="G130" s="25"/>
      <c r="H130" s="23"/>
      <c r="I130" s="26"/>
      <c r="J130" s="24"/>
      <c r="K130" s="25"/>
      <c r="L130" s="23"/>
      <c r="M130" s="25"/>
      <c r="N130" s="23"/>
      <c r="O130" s="26"/>
      <c r="P130" s="27"/>
      <c r="Q130" s="28"/>
      <c r="R130" s="29"/>
      <c r="S130" s="24"/>
      <c r="T130" s="25"/>
      <c r="U130" s="23"/>
      <c r="V130" s="25"/>
      <c r="W130" s="23"/>
      <c r="X130" s="26"/>
      <c r="Y130" s="24"/>
      <c r="Z130" s="25"/>
      <c r="AA130" s="23"/>
      <c r="AB130" s="25"/>
      <c r="AC130" s="23"/>
      <c r="AD130" s="26"/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 t="str">
        <f>"－"</f>
        <v>－</v>
      </c>
      <c r="F132" s="23"/>
      <c r="G132" s="25" t="str">
        <f>"－"</f>
        <v>－</v>
      </c>
      <c r="H132" s="23"/>
      <c r="I132" s="26" t="str">
        <f>"－"</f>
        <v>－</v>
      </c>
      <c r="J132" s="24"/>
      <c r="K132" s="25" t="str">
        <f>"－"</f>
        <v>－</v>
      </c>
      <c r="L132" s="23"/>
      <c r="M132" s="25" t="str">
        <f>"－"</f>
        <v>－</v>
      </c>
      <c r="N132" s="23"/>
      <c r="O132" s="26" t="str">
        <f>"－"</f>
        <v>－</v>
      </c>
      <c r="P132" s="27" t="str">
        <f>"－"</f>
        <v>－</v>
      </c>
      <c r="Q132" s="28" t="str">
        <f>"－"</f>
        <v>－</v>
      </c>
      <c r="R132" s="29" t="str">
        <f>"－"</f>
        <v>－</v>
      </c>
      <c r="S132" s="24"/>
      <c r="T132" s="25" t="str">
        <f>"－"</f>
        <v>－</v>
      </c>
      <c r="U132" s="23"/>
      <c r="V132" s="25" t="str">
        <f>"－"</f>
        <v>－</v>
      </c>
      <c r="W132" s="23"/>
      <c r="X132" s="26" t="str">
        <f>"－"</f>
        <v>－</v>
      </c>
      <c r="Y132" s="24"/>
      <c r="Z132" s="25" t="str">
        <f>"－"</f>
        <v>－</v>
      </c>
      <c r="AA132" s="23"/>
      <c r="AB132" s="25" t="str">
        <f>"－"</f>
        <v>－</v>
      </c>
      <c r="AC132" s="23"/>
      <c r="AD132" s="26" t="str">
        <f>"－"</f>
        <v>－</v>
      </c>
    </row>
    <row r="133">
      <c r="A133" s="30" t="s">
        <v>60</v>
      </c>
      <c r="B133" s="22" t="s">
        <v>65</v>
      </c>
      <c r="C133" s="22" t="s">
        <v>66</v>
      </c>
      <c r="D133" s="24"/>
      <c r="E133" s="25" t="str">
        <f>"－"</f>
        <v>－</v>
      </c>
      <c r="F133" s="23"/>
      <c r="G133" s="25" t="str">
        <f>"－"</f>
        <v>－</v>
      </c>
      <c r="H133" s="23"/>
      <c r="I133" s="26" t="str">
        <f>"－"</f>
        <v>－</v>
      </c>
      <c r="J133" s="24"/>
      <c r="K133" s="25" t="str">
        <f>"－"</f>
        <v>－</v>
      </c>
      <c r="L133" s="23"/>
      <c r="M133" s="25" t="str">
        <f>"－"</f>
        <v>－</v>
      </c>
      <c r="N133" s="23"/>
      <c r="O133" s="26" t="str">
        <f>"－"</f>
        <v>－</v>
      </c>
      <c r="P133" s="27" t="str">
        <f>"－"</f>
        <v>－</v>
      </c>
      <c r="Q133" s="28" t="str">
        <f>"－"</f>
        <v>－</v>
      </c>
      <c r="R133" s="29" t="str">
        <f>"－"</f>
        <v>－</v>
      </c>
      <c r="S133" s="24"/>
      <c r="T133" s="25" t="str">
        <f>"－"</f>
        <v>－</v>
      </c>
      <c r="U133" s="23"/>
      <c r="V133" s="25" t="str">
        <f>"－"</f>
        <v>－</v>
      </c>
      <c r="W133" s="23"/>
      <c r="X133" s="26" t="str">
        <f>"－"</f>
        <v>－</v>
      </c>
      <c r="Y133" s="24"/>
      <c r="Z133" s="25" t="str">
        <f>"－"</f>
        <v>－</v>
      </c>
      <c r="AA133" s="23"/>
      <c r="AB133" s="25" t="str">
        <f>"－"</f>
        <v>－</v>
      </c>
      <c r="AC133" s="23"/>
      <c r="AD133" s="26" t="str">
        <f>"－"</f>
        <v>－</v>
      </c>
    </row>
    <row r="134">
      <c r="A134" s="30" t="s">
        <v>26</v>
      </c>
      <c r="B134" s="22" t="s">
        <v>68</v>
      </c>
      <c r="C134" s="22" t="s">
        <v>69</v>
      </c>
      <c r="D134" s="24"/>
      <c r="E134" s="25"/>
      <c r="F134" s="23"/>
      <c r="G134" s="25"/>
      <c r="H134" s="23"/>
      <c r="I134" s="26"/>
      <c r="J134" s="24"/>
      <c r="K134" s="25"/>
      <c r="L134" s="23"/>
      <c r="M134" s="25"/>
      <c r="N134" s="23"/>
      <c r="O134" s="26"/>
      <c r="P134" s="27"/>
      <c r="Q134" s="28"/>
      <c r="R134" s="29"/>
      <c r="S134" s="24"/>
      <c r="T134" s="25"/>
      <c r="U134" s="23"/>
      <c r="V134" s="25"/>
      <c r="W134" s="23"/>
      <c r="X134" s="26"/>
      <c r="Y134" s="24"/>
      <c r="Z134" s="25"/>
      <c r="AA134" s="23"/>
      <c r="AB134" s="25"/>
      <c r="AC134" s="23"/>
      <c r="AD134" s="26"/>
    </row>
    <row r="135">
      <c r="A135" s="30" t="s">
        <v>29</v>
      </c>
      <c r="B135" s="22" t="s">
        <v>68</v>
      </c>
      <c r="C135" s="22" t="s">
        <v>69</v>
      </c>
      <c r="D135" s="24"/>
      <c r="E135" s="25"/>
      <c r="F135" s="23"/>
      <c r="G135" s="25"/>
      <c r="H135" s="23"/>
      <c r="I135" s="26"/>
      <c r="J135" s="24"/>
      <c r="K135" s="25"/>
      <c r="L135" s="23"/>
      <c r="M135" s="25"/>
      <c r="N135" s="23"/>
      <c r="O135" s="26"/>
      <c r="P135" s="27"/>
      <c r="Q135" s="28"/>
      <c r="R135" s="29"/>
      <c r="S135" s="24"/>
      <c r="T135" s="25"/>
      <c r="U135" s="23"/>
      <c r="V135" s="25"/>
      <c r="W135" s="23"/>
      <c r="X135" s="26"/>
      <c r="Y135" s="24"/>
      <c r="Z135" s="25"/>
      <c r="AA135" s="23"/>
      <c r="AB135" s="25"/>
      <c r="AC135" s="23"/>
      <c r="AD135" s="26"/>
    </row>
    <row r="136">
      <c r="A136" s="30" t="s">
        <v>30</v>
      </c>
      <c r="B136" s="22" t="s">
        <v>68</v>
      </c>
      <c r="C136" s="22" t="s">
        <v>69</v>
      </c>
      <c r="D136" s="24"/>
      <c r="E136" s="25"/>
      <c r="F136" s="23"/>
      <c r="G136" s="25"/>
      <c r="H136" s="23"/>
      <c r="I136" s="26"/>
      <c r="J136" s="24"/>
      <c r="K136" s="25"/>
      <c r="L136" s="23"/>
      <c r="M136" s="25"/>
      <c r="N136" s="23"/>
      <c r="O136" s="26"/>
      <c r="P136" s="27"/>
      <c r="Q136" s="28"/>
      <c r="R136" s="29"/>
      <c r="S136" s="24"/>
      <c r="T136" s="25"/>
      <c r="U136" s="23"/>
      <c r="V136" s="25"/>
      <c r="W136" s="23"/>
      <c r="X136" s="26"/>
      <c r="Y136" s="24"/>
      <c r="Z136" s="25"/>
      <c r="AA136" s="23"/>
      <c r="AB136" s="25"/>
      <c r="AC136" s="23"/>
      <c r="AD136" s="26"/>
    </row>
    <row r="137">
      <c r="A137" s="30" t="s">
        <v>31</v>
      </c>
      <c r="B137" s="22" t="s">
        <v>68</v>
      </c>
      <c r="C137" s="22" t="s">
        <v>69</v>
      </c>
      <c r="D137" s="24"/>
      <c r="E137" s="25"/>
      <c r="F137" s="23"/>
      <c r="G137" s="25"/>
      <c r="H137" s="23"/>
      <c r="I137" s="26"/>
      <c r="J137" s="24"/>
      <c r="K137" s="25"/>
      <c r="L137" s="23"/>
      <c r="M137" s="25"/>
      <c r="N137" s="23"/>
      <c r="O137" s="26"/>
      <c r="P137" s="27"/>
      <c r="Q137" s="28"/>
      <c r="R137" s="29"/>
      <c r="S137" s="24"/>
      <c r="T137" s="25"/>
      <c r="U137" s="23"/>
      <c r="V137" s="25"/>
      <c r="W137" s="23"/>
      <c r="X137" s="26"/>
      <c r="Y137" s="24"/>
      <c r="Z137" s="25"/>
      <c r="AA137" s="23"/>
      <c r="AB137" s="25"/>
      <c r="AC137" s="23"/>
      <c r="AD137" s="26"/>
    </row>
    <row r="138">
      <c r="A138" s="30" t="s">
        <v>33</v>
      </c>
      <c r="B138" s="22" t="s">
        <v>68</v>
      </c>
      <c r="C138" s="22" t="s">
        <v>69</v>
      </c>
      <c r="D138" s="24"/>
      <c r="E138" s="25"/>
      <c r="F138" s="23"/>
      <c r="G138" s="25"/>
      <c r="H138" s="23"/>
      <c r="I138" s="26"/>
      <c r="J138" s="24"/>
      <c r="K138" s="25"/>
      <c r="L138" s="23"/>
      <c r="M138" s="25"/>
      <c r="N138" s="23"/>
      <c r="O138" s="26"/>
      <c r="P138" s="27"/>
      <c r="Q138" s="28"/>
      <c r="R138" s="29"/>
      <c r="S138" s="24"/>
      <c r="T138" s="25"/>
      <c r="U138" s="23"/>
      <c r="V138" s="25"/>
      <c r="W138" s="23"/>
      <c r="X138" s="26"/>
      <c r="Y138" s="24"/>
      <c r="Z138" s="25"/>
      <c r="AA138" s="23"/>
      <c r="AB138" s="25"/>
      <c r="AC138" s="23"/>
      <c r="AD138" s="26"/>
    </row>
    <row r="139">
      <c r="A139" s="30" t="s">
        <v>34</v>
      </c>
      <c r="B139" s="22" t="s">
        <v>68</v>
      </c>
      <c r="C139" s="22" t="s">
        <v>69</v>
      </c>
      <c r="D139" s="24"/>
      <c r="E139" s="25"/>
      <c r="F139" s="23"/>
      <c r="G139" s="25"/>
      <c r="H139" s="23"/>
      <c r="I139" s="26"/>
      <c r="J139" s="24"/>
      <c r="K139" s="25"/>
      <c r="L139" s="23"/>
      <c r="M139" s="25"/>
      <c r="N139" s="23"/>
      <c r="O139" s="26"/>
      <c r="P139" s="27"/>
      <c r="Q139" s="28"/>
      <c r="R139" s="29"/>
      <c r="S139" s="24"/>
      <c r="T139" s="25"/>
      <c r="U139" s="23"/>
      <c r="V139" s="25"/>
      <c r="W139" s="23"/>
      <c r="X139" s="26"/>
      <c r="Y139" s="24"/>
      <c r="Z139" s="25"/>
      <c r="AA139" s="23"/>
      <c r="AB139" s="25"/>
      <c r="AC139" s="23"/>
      <c r="AD139" s="26"/>
    </row>
    <row r="140">
      <c r="A140" s="30" t="s">
        <v>35</v>
      </c>
      <c r="B140" s="22" t="s">
        <v>68</v>
      </c>
      <c r="C140" s="22" t="s">
        <v>69</v>
      </c>
      <c r="D140" s="24"/>
      <c r="E140" s="25"/>
      <c r="F140" s="23"/>
      <c r="G140" s="25"/>
      <c r="H140" s="23"/>
      <c r="I140" s="26"/>
      <c r="J140" s="24"/>
      <c r="K140" s="25"/>
      <c r="L140" s="23"/>
      <c r="M140" s="25"/>
      <c r="N140" s="23"/>
      <c r="O140" s="26"/>
      <c r="P140" s="27"/>
      <c r="Q140" s="28"/>
      <c r="R140" s="29"/>
      <c r="S140" s="24"/>
      <c r="T140" s="25"/>
      <c r="U140" s="23"/>
      <c r="V140" s="25"/>
      <c r="W140" s="23"/>
      <c r="X140" s="26"/>
      <c r="Y140" s="24"/>
      <c r="Z140" s="25"/>
      <c r="AA140" s="23"/>
      <c r="AB140" s="25"/>
      <c r="AC140" s="23"/>
      <c r="AD140" s="26"/>
    </row>
    <row r="141">
      <c r="A141" s="30" t="s">
        <v>36</v>
      </c>
      <c r="B141" s="22" t="s">
        <v>68</v>
      </c>
      <c r="C141" s="22" t="s">
        <v>69</v>
      </c>
      <c r="D141" s="24"/>
      <c r="E141" s="25"/>
      <c r="F141" s="23"/>
      <c r="G141" s="25"/>
      <c r="H141" s="23"/>
      <c r="I141" s="26"/>
      <c r="J141" s="24"/>
      <c r="K141" s="25"/>
      <c r="L141" s="23"/>
      <c r="M141" s="25"/>
      <c r="N141" s="23"/>
      <c r="O141" s="26"/>
      <c r="P141" s="27"/>
      <c r="Q141" s="28"/>
      <c r="R141" s="29"/>
      <c r="S141" s="24"/>
      <c r="T141" s="25"/>
      <c r="U141" s="23"/>
      <c r="V141" s="25"/>
      <c r="W141" s="23"/>
      <c r="X141" s="26"/>
      <c r="Y141" s="24"/>
      <c r="Z141" s="25"/>
      <c r="AA141" s="23"/>
      <c r="AB141" s="25"/>
      <c r="AC141" s="23"/>
      <c r="AD141" s="26"/>
    </row>
    <row r="142">
      <c r="A142" s="30" t="s">
        <v>37</v>
      </c>
      <c r="B142" s="22" t="s">
        <v>68</v>
      </c>
      <c r="C142" s="22" t="s">
        <v>69</v>
      </c>
      <c r="D142" s="24"/>
      <c r="E142" s="25"/>
      <c r="F142" s="23"/>
      <c r="G142" s="25"/>
      <c r="H142" s="23"/>
      <c r="I142" s="26"/>
      <c r="J142" s="24"/>
      <c r="K142" s="25"/>
      <c r="L142" s="23"/>
      <c r="M142" s="25"/>
      <c r="N142" s="23"/>
      <c r="O142" s="26"/>
      <c r="P142" s="27"/>
      <c r="Q142" s="28"/>
      <c r="R142" s="29"/>
      <c r="S142" s="24"/>
      <c r="T142" s="25"/>
      <c r="U142" s="23"/>
      <c r="V142" s="25"/>
      <c r="W142" s="23"/>
      <c r="X142" s="26"/>
      <c r="Y142" s="24"/>
      <c r="Z142" s="25"/>
      <c r="AA142" s="23"/>
      <c r="AB142" s="25"/>
      <c r="AC142" s="23"/>
      <c r="AD142" s="26"/>
    </row>
    <row r="143">
      <c r="A143" s="30" t="s">
        <v>38</v>
      </c>
      <c r="B143" s="22" t="s">
        <v>68</v>
      </c>
      <c r="C143" s="22" t="s">
        <v>69</v>
      </c>
      <c r="D143" s="24"/>
      <c r="E143" s="25"/>
      <c r="F143" s="23"/>
      <c r="G143" s="25"/>
      <c r="H143" s="23"/>
      <c r="I143" s="26"/>
      <c r="J143" s="24"/>
      <c r="K143" s="25"/>
      <c r="L143" s="23"/>
      <c r="M143" s="25"/>
      <c r="N143" s="23"/>
      <c r="O143" s="26"/>
      <c r="P143" s="27"/>
      <c r="Q143" s="28"/>
      <c r="R143" s="29"/>
      <c r="S143" s="24"/>
      <c r="T143" s="25"/>
      <c r="U143" s="23"/>
      <c r="V143" s="25"/>
      <c r="W143" s="23"/>
      <c r="X143" s="26"/>
      <c r="Y143" s="24"/>
      <c r="Z143" s="25"/>
      <c r="AA143" s="23"/>
      <c r="AB143" s="25"/>
      <c r="AC143" s="23"/>
      <c r="AD143" s="26"/>
    </row>
    <row r="144">
      <c r="A144" s="30" t="s">
        <v>40</v>
      </c>
      <c r="B144" s="22" t="s">
        <v>68</v>
      </c>
      <c r="C144" s="22" t="s">
        <v>69</v>
      </c>
      <c r="D144" s="24"/>
      <c r="E144" s="25"/>
      <c r="F144" s="23"/>
      <c r="G144" s="25"/>
      <c r="H144" s="23"/>
      <c r="I144" s="26"/>
      <c r="J144" s="24"/>
      <c r="K144" s="25"/>
      <c r="L144" s="23"/>
      <c r="M144" s="25"/>
      <c r="N144" s="23"/>
      <c r="O144" s="26"/>
      <c r="P144" s="27"/>
      <c r="Q144" s="28"/>
      <c r="R144" s="29"/>
      <c r="S144" s="24"/>
      <c r="T144" s="25"/>
      <c r="U144" s="23"/>
      <c r="V144" s="25"/>
      <c r="W144" s="23"/>
      <c r="X144" s="26"/>
      <c r="Y144" s="24"/>
      <c r="Z144" s="25"/>
      <c r="AA144" s="23"/>
      <c r="AB144" s="25"/>
      <c r="AC144" s="23"/>
      <c r="AD144" s="26"/>
    </row>
    <row r="145">
      <c r="A145" s="30" t="s">
        <v>41</v>
      </c>
      <c r="B145" s="22" t="s">
        <v>68</v>
      </c>
      <c r="C145" s="22" t="s">
        <v>69</v>
      </c>
      <c r="D145" s="24"/>
      <c r="E145" s="25"/>
      <c r="F145" s="23"/>
      <c r="G145" s="25"/>
      <c r="H145" s="23"/>
      <c r="I145" s="26"/>
      <c r="J145" s="24"/>
      <c r="K145" s="25"/>
      <c r="L145" s="23"/>
      <c r="M145" s="25"/>
      <c r="N145" s="23"/>
      <c r="O145" s="26"/>
      <c r="P145" s="27"/>
      <c r="Q145" s="28"/>
      <c r="R145" s="29"/>
      <c r="S145" s="24"/>
      <c r="T145" s="25"/>
      <c r="U145" s="23"/>
      <c r="V145" s="25"/>
      <c r="W145" s="23"/>
      <c r="X145" s="26"/>
      <c r="Y145" s="24"/>
      <c r="Z145" s="25"/>
      <c r="AA145" s="23"/>
      <c r="AB145" s="25"/>
      <c r="AC145" s="23"/>
      <c r="AD145" s="26"/>
    </row>
    <row r="146">
      <c r="A146" s="30" t="s">
        <v>42</v>
      </c>
      <c r="B146" s="22" t="s">
        <v>68</v>
      </c>
      <c r="C146" s="22" t="s">
        <v>69</v>
      </c>
      <c r="D146" s="24"/>
      <c r="E146" s="25"/>
      <c r="F146" s="23"/>
      <c r="G146" s="25"/>
      <c r="H146" s="23"/>
      <c r="I146" s="26"/>
      <c r="J146" s="24"/>
      <c r="K146" s="25"/>
      <c r="L146" s="23"/>
      <c r="M146" s="25"/>
      <c r="N146" s="23"/>
      <c r="O146" s="26"/>
      <c r="P146" s="27"/>
      <c r="Q146" s="28"/>
      <c r="R146" s="29"/>
      <c r="S146" s="24"/>
      <c r="T146" s="25"/>
      <c r="U146" s="23"/>
      <c r="V146" s="25"/>
      <c r="W146" s="23"/>
      <c r="X146" s="26"/>
      <c r="Y146" s="24"/>
      <c r="Z146" s="25"/>
      <c r="AA146" s="23"/>
      <c r="AB146" s="25"/>
      <c r="AC146" s="23"/>
      <c r="AD146" s="26"/>
    </row>
    <row r="147">
      <c r="A147" s="30" t="s">
        <v>43</v>
      </c>
      <c r="B147" s="22" t="s">
        <v>68</v>
      </c>
      <c r="C147" s="22" t="s">
        <v>69</v>
      </c>
      <c r="D147" s="24"/>
      <c r="E147" s="25"/>
      <c r="F147" s="23"/>
      <c r="G147" s="25"/>
      <c r="H147" s="23"/>
      <c r="I147" s="26"/>
      <c r="J147" s="24"/>
      <c r="K147" s="25"/>
      <c r="L147" s="23"/>
      <c r="M147" s="25"/>
      <c r="N147" s="23"/>
      <c r="O147" s="26"/>
      <c r="P147" s="27"/>
      <c r="Q147" s="28"/>
      <c r="R147" s="29"/>
      <c r="S147" s="24"/>
      <c r="T147" s="25"/>
      <c r="U147" s="23"/>
      <c r="V147" s="25"/>
      <c r="W147" s="23"/>
      <c r="X147" s="26"/>
      <c r="Y147" s="24"/>
      <c r="Z147" s="25"/>
      <c r="AA147" s="23"/>
      <c r="AB147" s="25"/>
      <c r="AC147" s="23"/>
      <c r="AD147" s="26"/>
    </row>
    <row r="148">
      <c r="A148" s="30" t="s">
        <v>44</v>
      </c>
      <c r="B148" s="22" t="s">
        <v>68</v>
      </c>
      <c r="C148" s="22" t="s">
        <v>69</v>
      </c>
      <c r="D148" s="24"/>
      <c r="E148" s="25"/>
      <c r="F148" s="23"/>
      <c r="G148" s="25"/>
      <c r="H148" s="23"/>
      <c r="I148" s="26"/>
      <c r="J148" s="24"/>
      <c r="K148" s="25"/>
      <c r="L148" s="23"/>
      <c r="M148" s="25"/>
      <c r="N148" s="23"/>
      <c r="O148" s="26"/>
      <c r="P148" s="27"/>
      <c r="Q148" s="28"/>
      <c r="R148" s="29"/>
      <c r="S148" s="24"/>
      <c r="T148" s="25"/>
      <c r="U148" s="23"/>
      <c r="V148" s="25"/>
      <c r="W148" s="23"/>
      <c r="X148" s="26"/>
      <c r="Y148" s="24"/>
      <c r="Z148" s="25"/>
      <c r="AA148" s="23"/>
      <c r="AB148" s="25"/>
      <c r="AC148" s="23"/>
      <c r="AD148" s="26"/>
    </row>
    <row r="149">
      <c r="A149" s="30" t="s">
        <v>45</v>
      </c>
      <c r="B149" s="22" t="s">
        <v>68</v>
      </c>
      <c r="C149" s="22" t="s">
        <v>69</v>
      </c>
      <c r="D149" s="24"/>
      <c r="E149" s="25"/>
      <c r="F149" s="23"/>
      <c r="G149" s="25"/>
      <c r="H149" s="23"/>
      <c r="I149" s="26"/>
      <c r="J149" s="24"/>
      <c r="K149" s="25"/>
      <c r="L149" s="23"/>
      <c r="M149" s="25"/>
      <c r="N149" s="23"/>
      <c r="O149" s="26"/>
      <c r="P149" s="27"/>
      <c r="Q149" s="28"/>
      <c r="R149" s="29"/>
      <c r="S149" s="24"/>
      <c r="T149" s="25"/>
      <c r="U149" s="23"/>
      <c r="V149" s="25"/>
      <c r="W149" s="23"/>
      <c r="X149" s="26"/>
      <c r="Y149" s="24"/>
      <c r="Z149" s="25"/>
      <c r="AA149" s="23"/>
      <c r="AB149" s="25"/>
      <c r="AC149" s="23"/>
      <c r="AD149" s="26"/>
    </row>
    <row r="150">
      <c r="A150" s="30" t="s">
        <v>46</v>
      </c>
      <c r="B150" s="22" t="s">
        <v>68</v>
      </c>
      <c r="C150" s="22" t="s">
        <v>69</v>
      </c>
      <c r="D150" s="24"/>
      <c r="E150" s="25"/>
      <c r="F150" s="23"/>
      <c r="G150" s="25"/>
      <c r="H150" s="23"/>
      <c r="I150" s="26"/>
      <c r="J150" s="24"/>
      <c r="K150" s="25"/>
      <c r="L150" s="23"/>
      <c r="M150" s="25"/>
      <c r="N150" s="23"/>
      <c r="O150" s="26"/>
      <c r="P150" s="27"/>
      <c r="Q150" s="28"/>
      <c r="R150" s="29"/>
      <c r="S150" s="24"/>
      <c r="T150" s="25"/>
      <c r="U150" s="23"/>
      <c r="V150" s="25"/>
      <c r="W150" s="23"/>
      <c r="X150" s="26"/>
      <c r="Y150" s="24"/>
      <c r="Z150" s="25"/>
      <c r="AA150" s="23"/>
      <c r="AB150" s="25"/>
      <c r="AC150" s="23"/>
      <c r="AD150" s="26"/>
    </row>
    <row r="151">
      <c r="A151" s="30" t="s">
        <v>47</v>
      </c>
      <c r="B151" s="22" t="s">
        <v>68</v>
      </c>
      <c r="C151" s="22" t="s">
        <v>69</v>
      </c>
      <c r="D151" s="24"/>
      <c r="E151" s="25"/>
      <c r="F151" s="23"/>
      <c r="G151" s="25"/>
      <c r="H151" s="23"/>
      <c r="I151" s="26"/>
      <c r="J151" s="24"/>
      <c r="K151" s="25"/>
      <c r="L151" s="23"/>
      <c r="M151" s="25"/>
      <c r="N151" s="23"/>
      <c r="O151" s="26"/>
      <c r="P151" s="27"/>
      <c r="Q151" s="28"/>
      <c r="R151" s="29"/>
      <c r="S151" s="24"/>
      <c r="T151" s="25"/>
      <c r="U151" s="23"/>
      <c r="V151" s="25"/>
      <c r="W151" s="23"/>
      <c r="X151" s="26"/>
      <c r="Y151" s="24"/>
      <c r="Z151" s="25"/>
      <c r="AA151" s="23"/>
      <c r="AB151" s="25"/>
      <c r="AC151" s="23"/>
      <c r="AD151" s="26"/>
    </row>
    <row r="152">
      <c r="A152" s="30" t="s">
        <v>48</v>
      </c>
      <c r="B152" s="22" t="s">
        <v>68</v>
      </c>
      <c r="C152" s="22" t="s">
        <v>69</v>
      </c>
      <c r="D152" s="24"/>
      <c r="E152" s="25"/>
      <c r="F152" s="23"/>
      <c r="G152" s="25"/>
      <c r="H152" s="23"/>
      <c r="I152" s="26"/>
      <c r="J152" s="24"/>
      <c r="K152" s="25"/>
      <c r="L152" s="23"/>
      <c r="M152" s="25"/>
      <c r="N152" s="23"/>
      <c r="O152" s="26"/>
      <c r="P152" s="27"/>
      <c r="Q152" s="28"/>
      <c r="R152" s="29"/>
      <c r="S152" s="24"/>
      <c r="T152" s="25"/>
      <c r="U152" s="23"/>
      <c r="V152" s="25"/>
      <c r="W152" s="23"/>
      <c r="X152" s="26"/>
      <c r="Y152" s="24"/>
      <c r="Z152" s="25"/>
      <c r="AA152" s="23"/>
      <c r="AB152" s="25"/>
      <c r="AC152" s="23"/>
      <c r="AD152" s="26"/>
    </row>
    <row r="153">
      <c r="A153" s="30" t="s">
        <v>49</v>
      </c>
      <c r="B153" s="22" t="s">
        <v>68</v>
      </c>
      <c r="C153" s="22" t="s">
        <v>69</v>
      </c>
      <c r="D153" s="24"/>
      <c r="E153" s="25"/>
      <c r="F153" s="23"/>
      <c r="G153" s="25"/>
      <c r="H153" s="23"/>
      <c r="I153" s="26"/>
      <c r="J153" s="24"/>
      <c r="K153" s="25"/>
      <c r="L153" s="23"/>
      <c r="M153" s="25"/>
      <c r="N153" s="23"/>
      <c r="O153" s="26"/>
      <c r="P153" s="27"/>
      <c r="Q153" s="28"/>
      <c r="R153" s="29"/>
      <c r="S153" s="24"/>
      <c r="T153" s="25"/>
      <c r="U153" s="23"/>
      <c r="V153" s="25"/>
      <c r="W153" s="23"/>
      <c r="X153" s="26"/>
      <c r="Y153" s="24"/>
      <c r="Z153" s="25"/>
      <c r="AA153" s="23"/>
      <c r="AB153" s="25"/>
      <c r="AC153" s="23"/>
      <c r="AD153" s="26"/>
    </row>
    <row r="154">
      <c r="A154" s="30" t="s">
        <v>50</v>
      </c>
      <c r="B154" s="22" t="s">
        <v>68</v>
      </c>
      <c r="C154" s="22" t="s">
        <v>69</v>
      </c>
      <c r="D154" s="24"/>
      <c r="E154" s="25"/>
      <c r="F154" s="23"/>
      <c r="G154" s="25"/>
      <c r="H154" s="23"/>
      <c r="I154" s="26"/>
      <c r="J154" s="24"/>
      <c r="K154" s="25"/>
      <c r="L154" s="23"/>
      <c r="M154" s="25"/>
      <c r="N154" s="23"/>
      <c r="O154" s="26"/>
      <c r="P154" s="27"/>
      <c r="Q154" s="28"/>
      <c r="R154" s="29"/>
      <c r="S154" s="24"/>
      <c r="T154" s="25"/>
      <c r="U154" s="23"/>
      <c r="V154" s="25"/>
      <c r="W154" s="23"/>
      <c r="X154" s="26"/>
      <c r="Y154" s="24"/>
      <c r="Z154" s="25"/>
      <c r="AA154" s="23"/>
      <c r="AB154" s="25"/>
      <c r="AC154" s="23"/>
      <c r="AD154" s="26"/>
    </row>
    <row r="155">
      <c r="A155" s="30" t="s">
        <v>51</v>
      </c>
      <c r="B155" s="22" t="s">
        <v>68</v>
      </c>
      <c r="C155" s="22" t="s">
        <v>69</v>
      </c>
      <c r="D155" s="24"/>
      <c r="E155" s="25"/>
      <c r="F155" s="23"/>
      <c r="G155" s="25"/>
      <c r="H155" s="23"/>
      <c r="I155" s="26"/>
      <c r="J155" s="24"/>
      <c r="K155" s="25"/>
      <c r="L155" s="23"/>
      <c r="M155" s="25"/>
      <c r="N155" s="23"/>
      <c r="O155" s="26"/>
      <c r="P155" s="27"/>
      <c r="Q155" s="28"/>
      <c r="R155" s="29"/>
      <c r="S155" s="24"/>
      <c r="T155" s="25"/>
      <c r="U155" s="23"/>
      <c r="V155" s="25"/>
      <c r="W155" s="23"/>
      <c r="X155" s="26"/>
      <c r="Y155" s="24"/>
      <c r="Z155" s="25"/>
      <c r="AA155" s="23"/>
      <c r="AB155" s="25"/>
      <c r="AC155" s="23"/>
      <c r="AD155" s="26"/>
    </row>
    <row r="156">
      <c r="A156" s="30" t="s">
        <v>52</v>
      </c>
      <c r="B156" s="22" t="s">
        <v>68</v>
      </c>
      <c r="C156" s="22" t="s">
        <v>69</v>
      </c>
      <c r="D156" s="24"/>
      <c r="E156" s="25"/>
      <c r="F156" s="23"/>
      <c r="G156" s="25"/>
      <c r="H156" s="23"/>
      <c r="I156" s="26"/>
      <c r="J156" s="24"/>
      <c r="K156" s="25"/>
      <c r="L156" s="23"/>
      <c r="M156" s="25"/>
      <c r="N156" s="23"/>
      <c r="O156" s="26"/>
      <c r="P156" s="27"/>
      <c r="Q156" s="28"/>
      <c r="R156" s="29"/>
      <c r="S156" s="24"/>
      <c r="T156" s="25"/>
      <c r="U156" s="23"/>
      <c r="V156" s="25"/>
      <c r="W156" s="23"/>
      <c r="X156" s="26"/>
      <c r="Y156" s="24"/>
      <c r="Z156" s="25"/>
      <c r="AA156" s="23"/>
      <c r="AB156" s="25"/>
      <c r="AC156" s="23"/>
      <c r="AD156" s="26"/>
    </row>
    <row r="157">
      <c r="A157" s="30" t="s">
        <v>53</v>
      </c>
      <c r="B157" s="22" t="s">
        <v>68</v>
      </c>
      <c r="C157" s="22" t="s">
        <v>69</v>
      </c>
      <c r="D157" s="24"/>
      <c r="E157" s="25"/>
      <c r="F157" s="23"/>
      <c r="G157" s="25"/>
      <c r="H157" s="23"/>
      <c r="I157" s="26"/>
      <c r="J157" s="24"/>
      <c r="K157" s="25"/>
      <c r="L157" s="23"/>
      <c r="M157" s="25"/>
      <c r="N157" s="23"/>
      <c r="O157" s="26"/>
      <c r="P157" s="27"/>
      <c r="Q157" s="28"/>
      <c r="R157" s="29"/>
      <c r="S157" s="24"/>
      <c r="T157" s="25"/>
      <c r="U157" s="23"/>
      <c r="V157" s="25"/>
      <c r="W157" s="23"/>
      <c r="X157" s="26"/>
      <c r="Y157" s="24"/>
      <c r="Z157" s="25"/>
      <c r="AA157" s="23"/>
      <c r="AB157" s="25"/>
      <c r="AC157" s="23"/>
      <c r="AD157" s="26"/>
    </row>
    <row r="158">
      <c r="A158" s="30" t="s">
        <v>54</v>
      </c>
      <c r="B158" s="22" t="s">
        <v>68</v>
      </c>
      <c r="C158" s="22" t="s">
        <v>69</v>
      </c>
      <c r="D158" s="24"/>
      <c r="E158" s="25"/>
      <c r="F158" s="23"/>
      <c r="G158" s="25"/>
      <c r="H158" s="23"/>
      <c r="I158" s="26"/>
      <c r="J158" s="24"/>
      <c r="K158" s="25"/>
      <c r="L158" s="23"/>
      <c r="M158" s="25"/>
      <c r="N158" s="23"/>
      <c r="O158" s="26"/>
      <c r="P158" s="27"/>
      <c r="Q158" s="28"/>
      <c r="R158" s="29"/>
      <c r="S158" s="24"/>
      <c r="T158" s="25"/>
      <c r="U158" s="23"/>
      <c r="V158" s="25"/>
      <c r="W158" s="23"/>
      <c r="X158" s="26"/>
      <c r="Y158" s="24"/>
      <c r="Z158" s="25"/>
      <c r="AA158" s="23"/>
      <c r="AB158" s="25"/>
      <c r="AC158" s="23"/>
      <c r="AD158" s="26"/>
    </row>
    <row r="159">
      <c r="A159" s="30" t="s">
        <v>55</v>
      </c>
      <c r="B159" s="22" t="s">
        <v>68</v>
      </c>
      <c r="C159" s="22" t="s">
        <v>69</v>
      </c>
      <c r="D159" s="24"/>
      <c r="E159" s="25"/>
      <c r="F159" s="23"/>
      <c r="G159" s="25"/>
      <c r="H159" s="23"/>
      <c r="I159" s="26"/>
      <c r="J159" s="24"/>
      <c r="K159" s="25"/>
      <c r="L159" s="23"/>
      <c r="M159" s="25"/>
      <c r="N159" s="23"/>
      <c r="O159" s="26"/>
      <c r="P159" s="27"/>
      <c r="Q159" s="28"/>
      <c r="R159" s="29"/>
      <c r="S159" s="24"/>
      <c r="T159" s="25"/>
      <c r="U159" s="23"/>
      <c r="V159" s="25"/>
      <c r="W159" s="23"/>
      <c r="X159" s="26"/>
      <c r="Y159" s="24"/>
      <c r="Z159" s="25"/>
      <c r="AA159" s="23"/>
      <c r="AB159" s="25"/>
      <c r="AC159" s="23"/>
      <c r="AD159" s="26"/>
    </row>
    <row r="160">
      <c r="A160" s="30" t="s">
        <v>56</v>
      </c>
      <c r="B160" s="22" t="s">
        <v>68</v>
      </c>
      <c r="C160" s="22" t="s">
        <v>69</v>
      </c>
      <c r="D160" s="24"/>
      <c r="E160" s="25"/>
      <c r="F160" s="23"/>
      <c r="G160" s="25"/>
      <c r="H160" s="23"/>
      <c r="I160" s="26"/>
      <c r="J160" s="24"/>
      <c r="K160" s="25"/>
      <c r="L160" s="23"/>
      <c r="M160" s="25"/>
      <c r="N160" s="23"/>
      <c r="O160" s="26"/>
      <c r="P160" s="27"/>
      <c r="Q160" s="28"/>
      <c r="R160" s="29"/>
      <c r="S160" s="24"/>
      <c r="T160" s="25"/>
      <c r="U160" s="23"/>
      <c r="V160" s="25"/>
      <c r="W160" s="23"/>
      <c r="X160" s="26"/>
      <c r="Y160" s="24"/>
      <c r="Z160" s="25"/>
      <c r="AA160" s="23"/>
      <c r="AB160" s="25"/>
      <c r="AC160" s="23"/>
      <c r="AD160" s="26"/>
    </row>
    <row r="161">
      <c r="A161" s="30" t="s">
        <v>57</v>
      </c>
      <c r="B161" s="22" t="s">
        <v>68</v>
      </c>
      <c r="C161" s="22" t="s">
        <v>69</v>
      </c>
      <c r="D161" s="24"/>
      <c r="E161" s="25"/>
      <c r="F161" s="23"/>
      <c r="G161" s="25"/>
      <c r="H161" s="23"/>
      <c r="I161" s="26"/>
      <c r="J161" s="24"/>
      <c r="K161" s="25"/>
      <c r="L161" s="23"/>
      <c r="M161" s="25"/>
      <c r="N161" s="23"/>
      <c r="O161" s="26"/>
      <c r="P161" s="27"/>
      <c r="Q161" s="28"/>
      <c r="R161" s="29"/>
      <c r="S161" s="24"/>
      <c r="T161" s="25"/>
      <c r="U161" s="23"/>
      <c r="V161" s="25"/>
      <c r="W161" s="23"/>
      <c r="X161" s="26"/>
      <c r="Y161" s="24"/>
      <c r="Z161" s="25"/>
      <c r="AA161" s="23"/>
      <c r="AB161" s="25"/>
      <c r="AC161" s="23"/>
      <c r="AD161" s="26"/>
    </row>
    <row r="162">
      <c r="A162" s="30" t="s">
        <v>58</v>
      </c>
      <c r="B162" s="22" t="s">
        <v>68</v>
      </c>
      <c r="C162" s="22" t="s">
        <v>69</v>
      </c>
      <c r="D162" s="24"/>
      <c r="E162" s="25"/>
      <c r="F162" s="23"/>
      <c r="G162" s="25"/>
      <c r="H162" s="23"/>
      <c r="I162" s="26"/>
      <c r="J162" s="24"/>
      <c r="K162" s="25"/>
      <c r="L162" s="23"/>
      <c r="M162" s="25"/>
      <c r="N162" s="23"/>
      <c r="O162" s="26"/>
      <c r="P162" s="27"/>
      <c r="Q162" s="28"/>
      <c r="R162" s="29"/>
      <c r="S162" s="24"/>
      <c r="T162" s="25"/>
      <c r="U162" s="23"/>
      <c r="V162" s="25"/>
      <c r="W162" s="23"/>
      <c r="X162" s="26"/>
      <c r="Y162" s="24"/>
      <c r="Z162" s="25"/>
      <c r="AA162" s="23"/>
      <c r="AB162" s="25"/>
      <c r="AC162" s="23"/>
      <c r="AD162" s="26"/>
    </row>
    <row r="163">
      <c r="A163" s="30" t="s">
        <v>59</v>
      </c>
      <c r="B163" s="22" t="s">
        <v>68</v>
      </c>
      <c r="C163" s="22" t="s">
        <v>69</v>
      </c>
      <c r="D163" s="24"/>
      <c r="E163" s="25"/>
      <c r="F163" s="23"/>
      <c r="G163" s="25"/>
      <c r="H163" s="23"/>
      <c r="I163" s="26"/>
      <c r="J163" s="24"/>
      <c r="K163" s="25"/>
      <c r="L163" s="23"/>
      <c r="M163" s="25"/>
      <c r="N163" s="23"/>
      <c r="O163" s="26"/>
      <c r="P163" s="27"/>
      <c r="Q163" s="28"/>
      <c r="R163" s="29"/>
      <c r="S163" s="24"/>
      <c r="T163" s="25"/>
      <c r="U163" s="23"/>
      <c r="V163" s="25"/>
      <c r="W163" s="23"/>
      <c r="X163" s="26"/>
      <c r="Y163" s="24"/>
      <c r="Z163" s="25"/>
      <c r="AA163" s="23"/>
      <c r="AB163" s="25"/>
      <c r="AC163" s="23"/>
      <c r="AD163" s="26"/>
    </row>
    <row r="164">
      <c r="A164" s="30" t="s">
        <v>60</v>
      </c>
      <c r="B164" s="22" t="s">
        <v>68</v>
      </c>
      <c r="C164" s="22" t="s">
        <v>69</v>
      </c>
      <c r="D164" s="24"/>
      <c r="E164" s="25"/>
      <c r="F164" s="23"/>
      <c r="G164" s="25"/>
      <c r="H164" s="23"/>
      <c r="I164" s="26"/>
      <c r="J164" s="24"/>
      <c r="K164" s="25"/>
      <c r="L164" s="23"/>
      <c r="M164" s="25"/>
      <c r="N164" s="23"/>
      <c r="O164" s="26"/>
      <c r="P164" s="27"/>
      <c r="Q164" s="28"/>
      <c r="R164" s="29"/>
      <c r="S164" s="24"/>
      <c r="T164" s="25"/>
      <c r="U164" s="23"/>
      <c r="V164" s="25"/>
      <c r="W164" s="23"/>
      <c r="X164" s="26"/>
      <c r="Y164" s="24"/>
      <c r="Z164" s="25"/>
      <c r="AA164" s="23"/>
      <c r="AB164" s="25"/>
      <c r="AC164" s="23"/>
      <c r="AD164" s="26"/>
    </row>
    <row r="165">
      <c r="A165" s="30" t="s">
        <v>26</v>
      </c>
      <c r="B165" s="22" t="s">
        <v>70</v>
      </c>
      <c r="C165" s="22" t="s">
        <v>71</v>
      </c>
      <c r="D165" s="24"/>
      <c r="E165" s="25"/>
      <c r="F165" s="23"/>
      <c r="G165" s="25"/>
      <c r="H165" s="23"/>
      <c r="I165" s="26"/>
      <c r="J165" s="24"/>
      <c r="K165" s="25"/>
      <c r="L165" s="23"/>
      <c r="M165" s="25"/>
      <c r="N165" s="23"/>
      <c r="O165" s="26"/>
      <c r="P165" s="27"/>
      <c r="Q165" s="28"/>
      <c r="R165" s="29"/>
      <c r="S165" s="24"/>
      <c r="T165" s="25"/>
      <c r="U165" s="23"/>
      <c r="V165" s="25"/>
      <c r="W165" s="23"/>
      <c r="X165" s="26"/>
      <c r="Y165" s="24"/>
      <c r="Z165" s="25"/>
      <c r="AA165" s="23"/>
      <c r="AB165" s="25"/>
      <c r="AC165" s="23"/>
      <c r="AD165" s="26"/>
    </row>
    <row r="166">
      <c r="A166" s="30" t="s">
        <v>29</v>
      </c>
      <c r="B166" s="22" t="s">
        <v>70</v>
      </c>
      <c r="C166" s="22" t="s">
        <v>71</v>
      </c>
      <c r="D166" s="24"/>
      <c r="E166" s="25"/>
      <c r="F166" s="23"/>
      <c r="G166" s="25"/>
      <c r="H166" s="23"/>
      <c r="I166" s="26"/>
      <c r="J166" s="24"/>
      <c r="K166" s="25"/>
      <c r="L166" s="23"/>
      <c r="M166" s="25"/>
      <c r="N166" s="23"/>
      <c r="O166" s="26"/>
      <c r="P166" s="27"/>
      <c r="Q166" s="28"/>
      <c r="R166" s="29"/>
      <c r="S166" s="24"/>
      <c r="T166" s="25"/>
      <c r="U166" s="23"/>
      <c r="V166" s="25"/>
      <c r="W166" s="23"/>
      <c r="X166" s="26"/>
      <c r="Y166" s="24"/>
      <c r="Z166" s="25"/>
      <c r="AA166" s="23"/>
      <c r="AB166" s="25"/>
      <c r="AC166" s="23"/>
      <c r="AD166" s="26"/>
    </row>
    <row r="167">
      <c r="A167" s="30" t="s">
        <v>30</v>
      </c>
      <c r="B167" s="22" t="s">
        <v>70</v>
      </c>
      <c r="C167" s="22" t="s">
        <v>71</v>
      </c>
      <c r="D167" s="24"/>
      <c r="E167" s="25"/>
      <c r="F167" s="23"/>
      <c r="G167" s="25"/>
      <c r="H167" s="23"/>
      <c r="I167" s="26"/>
      <c r="J167" s="24"/>
      <c r="K167" s="25"/>
      <c r="L167" s="23"/>
      <c r="M167" s="25"/>
      <c r="N167" s="23"/>
      <c r="O167" s="26"/>
      <c r="P167" s="27"/>
      <c r="Q167" s="28"/>
      <c r="R167" s="29"/>
      <c r="S167" s="24"/>
      <c r="T167" s="25"/>
      <c r="U167" s="23"/>
      <c r="V167" s="25"/>
      <c r="W167" s="23"/>
      <c r="X167" s="26"/>
      <c r="Y167" s="24"/>
      <c r="Z167" s="25"/>
      <c r="AA167" s="23"/>
      <c r="AB167" s="25"/>
      <c r="AC167" s="23"/>
      <c r="AD167" s="26"/>
    </row>
    <row r="168">
      <c r="A168" s="30" t="s">
        <v>31</v>
      </c>
      <c r="B168" s="22" t="s">
        <v>70</v>
      </c>
      <c r="C168" s="22" t="s">
        <v>71</v>
      </c>
      <c r="D168" s="24"/>
      <c r="E168" s="25"/>
      <c r="F168" s="23"/>
      <c r="G168" s="25"/>
      <c r="H168" s="23"/>
      <c r="I168" s="26"/>
      <c r="J168" s="24"/>
      <c r="K168" s="25"/>
      <c r="L168" s="23"/>
      <c r="M168" s="25"/>
      <c r="N168" s="23"/>
      <c r="O168" s="26"/>
      <c r="P168" s="27"/>
      <c r="Q168" s="28"/>
      <c r="R168" s="29"/>
      <c r="S168" s="24"/>
      <c r="T168" s="25"/>
      <c r="U168" s="23"/>
      <c r="V168" s="25"/>
      <c r="W168" s="23"/>
      <c r="X168" s="26"/>
      <c r="Y168" s="24"/>
      <c r="Z168" s="25"/>
      <c r="AA168" s="23"/>
      <c r="AB168" s="25"/>
      <c r="AC168" s="23"/>
      <c r="AD168" s="26"/>
    </row>
    <row r="169">
      <c r="A169" s="30" t="s">
        <v>33</v>
      </c>
      <c r="B169" s="22" t="s">
        <v>70</v>
      </c>
      <c r="C169" s="22" t="s">
        <v>71</v>
      </c>
      <c r="D169" s="24"/>
      <c r="E169" s="25"/>
      <c r="F169" s="23"/>
      <c r="G169" s="25"/>
      <c r="H169" s="23"/>
      <c r="I169" s="26"/>
      <c r="J169" s="24"/>
      <c r="K169" s="25"/>
      <c r="L169" s="23"/>
      <c r="M169" s="25"/>
      <c r="N169" s="23"/>
      <c r="O169" s="26"/>
      <c r="P169" s="27"/>
      <c r="Q169" s="28"/>
      <c r="R169" s="29"/>
      <c r="S169" s="24"/>
      <c r="T169" s="25"/>
      <c r="U169" s="23"/>
      <c r="V169" s="25"/>
      <c r="W169" s="23"/>
      <c r="X169" s="26"/>
      <c r="Y169" s="24"/>
      <c r="Z169" s="25"/>
      <c r="AA169" s="23"/>
      <c r="AB169" s="25"/>
      <c r="AC169" s="23"/>
      <c r="AD169" s="26"/>
    </row>
    <row r="170">
      <c r="A170" s="30" t="s">
        <v>34</v>
      </c>
      <c r="B170" s="22" t="s">
        <v>70</v>
      </c>
      <c r="C170" s="22" t="s">
        <v>71</v>
      </c>
      <c r="D170" s="24"/>
      <c r="E170" s="25"/>
      <c r="F170" s="23"/>
      <c r="G170" s="25"/>
      <c r="H170" s="23"/>
      <c r="I170" s="26"/>
      <c r="J170" s="24"/>
      <c r="K170" s="25"/>
      <c r="L170" s="23"/>
      <c r="M170" s="25"/>
      <c r="N170" s="23"/>
      <c r="O170" s="26"/>
      <c r="P170" s="27"/>
      <c r="Q170" s="28"/>
      <c r="R170" s="29"/>
      <c r="S170" s="24"/>
      <c r="T170" s="25"/>
      <c r="U170" s="23"/>
      <c r="V170" s="25"/>
      <c r="W170" s="23"/>
      <c r="X170" s="26"/>
      <c r="Y170" s="24"/>
      <c r="Z170" s="25"/>
      <c r="AA170" s="23"/>
      <c r="AB170" s="25"/>
      <c r="AC170" s="23"/>
      <c r="AD170" s="26"/>
    </row>
    <row r="171">
      <c r="A171" s="30" t="s">
        <v>35</v>
      </c>
      <c r="B171" s="22" t="s">
        <v>70</v>
      </c>
      <c r="C171" s="22" t="s">
        <v>71</v>
      </c>
      <c r="D171" s="24"/>
      <c r="E171" s="25"/>
      <c r="F171" s="23"/>
      <c r="G171" s="25"/>
      <c r="H171" s="23"/>
      <c r="I171" s="26"/>
      <c r="J171" s="24"/>
      <c r="K171" s="25"/>
      <c r="L171" s="23"/>
      <c r="M171" s="25"/>
      <c r="N171" s="23"/>
      <c r="O171" s="26"/>
      <c r="P171" s="27"/>
      <c r="Q171" s="28"/>
      <c r="R171" s="29"/>
      <c r="S171" s="24"/>
      <c r="T171" s="25"/>
      <c r="U171" s="23"/>
      <c r="V171" s="25"/>
      <c r="W171" s="23"/>
      <c r="X171" s="26"/>
      <c r="Y171" s="24"/>
      <c r="Z171" s="25"/>
      <c r="AA171" s="23"/>
      <c r="AB171" s="25"/>
      <c r="AC171" s="23"/>
      <c r="AD171" s="26"/>
    </row>
    <row r="172">
      <c r="A172" s="30" t="s">
        <v>36</v>
      </c>
      <c r="B172" s="22" t="s">
        <v>70</v>
      </c>
      <c r="C172" s="22" t="s">
        <v>71</v>
      </c>
      <c r="D172" s="24"/>
      <c r="E172" s="25"/>
      <c r="F172" s="23"/>
      <c r="G172" s="25"/>
      <c r="H172" s="23"/>
      <c r="I172" s="26"/>
      <c r="J172" s="24"/>
      <c r="K172" s="25"/>
      <c r="L172" s="23"/>
      <c r="M172" s="25"/>
      <c r="N172" s="23"/>
      <c r="O172" s="26"/>
      <c r="P172" s="27"/>
      <c r="Q172" s="28"/>
      <c r="R172" s="29"/>
      <c r="S172" s="24"/>
      <c r="T172" s="25"/>
      <c r="U172" s="23"/>
      <c r="V172" s="25"/>
      <c r="W172" s="23"/>
      <c r="X172" s="26"/>
      <c r="Y172" s="24"/>
      <c r="Z172" s="25"/>
      <c r="AA172" s="23"/>
      <c r="AB172" s="25"/>
      <c r="AC172" s="23"/>
      <c r="AD172" s="26"/>
    </row>
    <row r="173">
      <c r="A173" s="30" t="s">
        <v>37</v>
      </c>
      <c r="B173" s="22" t="s">
        <v>70</v>
      </c>
      <c r="C173" s="22" t="s">
        <v>71</v>
      </c>
      <c r="D173" s="24"/>
      <c r="E173" s="25"/>
      <c r="F173" s="23"/>
      <c r="G173" s="25"/>
      <c r="H173" s="23"/>
      <c r="I173" s="26"/>
      <c r="J173" s="24"/>
      <c r="K173" s="25"/>
      <c r="L173" s="23"/>
      <c r="M173" s="25"/>
      <c r="N173" s="23"/>
      <c r="O173" s="26"/>
      <c r="P173" s="27"/>
      <c r="Q173" s="28"/>
      <c r="R173" s="29"/>
      <c r="S173" s="24"/>
      <c r="T173" s="25"/>
      <c r="U173" s="23"/>
      <c r="V173" s="25"/>
      <c r="W173" s="23"/>
      <c r="X173" s="26"/>
      <c r="Y173" s="24"/>
      <c r="Z173" s="25"/>
      <c r="AA173" s="23"/>
      <c r="AB173" s="25"/>
      <c r="AC173" s="23"/>
      <c r="AD173" s="26"/>
    </row>
    <row r="174">
      <c r="A174" s="30" t="s">
        <v>38</v>
      </c>
      <c r="B174" s="22" t="s">
        <v>70</v>
      </c>
      <c r="C174" s="22" t="s">
        <v>71</v>
      </c>
      <c r="D174" s="24"/>
      <c r="E174" s="25"/>
      <c r="F174" s="23"/>
      <c r="G174" s="25"/>
      <c r="H174" s="23"/>
      <c r="I174" s="26"/>
      <c r="J174" s="24"/>
      <c r="K174" s="25"/>
      <c r="L174" s="23"/>
      <c r="M174" s="25"/>
      <c r="N174" s="23"/>
      <c r="O174" s="26"/>
      <c r="P174" s="27"/>
      <c r="Q174" s="28"/>
      <c r="R174" s="29"/>
      <c r="S174" s="24"/>
      <c r="T174" s="25"/>
      <c r="U174" s="23"/>
      <c r="V174" s="25"/>
      <c r="W174" s="23"/>
      <c r="X174" s="26"/>
      <c r="Y174" s="24"/>
      <c r="Z174" s="25"/>
      <c r="AA174" s="23"/>
      <c r="AB174" s="25"/>
      <c r="AC174" s="23"/>
      <c r="AD174" s="26"/>
    </row>
    <row r="175">
      <c r="A175" s="30" t="s">
        <v>40</v>
      </c>
      <c r="B175" s="22" t="s">
        <v>70</v>
      </c>
      <c r="C175" s="22" t="s">
        <v>71</v>
      </c>
      <c r="D175" s="24"/>
      <c r="E175" s="25"/>
      <c r="F175" s="23"/>
      <c r="G175" s="25"/>
      <c r="H175" s="23"/>
      <c r="I175" s="26"/>
      <c r="J175" s="24"/>
      <c r="K175" s="25"/>
      <c r="L175" s="23"/>
      <c r="M175" s="25"/>
      <c r="N175" s="23"/>
      <c r="O175" s="26"/>
      <c r="P175" s="27"/>
      <c r="Q175" s="28"/>
      <c r="R175" s="29"/>
      <c r="S175" s="24"/>
      <c r="T175" s="25"/>
      <c r="U175" s="23"/>
      <c r="V175" s="25"/>
      <c r="W175" s="23"/>
      <c r="X175" s="26"/>
      <c r="Y175" s="24"/>
      <c r="Z175" s="25"/>
      <c r="AA175" s="23"/>
      <c r="AB175" s="25"/>
      <c r="AC175" s="23"/>
      <c r="AD175" s="26"/>
    </row>
    <row r="176">
      <c r="A176" s="30" t="s">
        <v>41</v>
      </c>
      <c r="B176" s="22" t="s">
        <v>70</v>
      </c>
      <c r="C176" s="22" t="s">
        <v>71</v>
      </c>
      <c r="D176" s="24"/>
      <c r="E176" s="25"/>
      <c r="F176" s="23"/>
      <c r="G176" s="25"/>
      <c r="H176" s="23"/>
      <c r="I176" s="26"/>
      <c r="J176" s="24"/>
      <c r="K176" s="25"/>
      <c r="L176" s="23"/>
      <c r="M176" s="25"/>
      <c r="N176" s="23"/>
      <c r="O176" s="26"/>
      <c r="P176" s="27"/>
      <c r="Q176" s="28"/>
      <c r="R176" s="29"/>
      <c r="S176" s="24"/>
      <c r="T176" s="25"/>
      <c r="U176" s="23"/>
      <c r="V176" s="25"/>
      <c r="W176" s="23"/>
      <c r="X176" s="26"/>
      <c r="Y176" s="24"/>
      <c r="Z176" s="25"/>
      <c r="AA176" s="23"/>
      <c r="AB176" s="25"/>
      <c r="AC176" s="23"/>
      <c r="AD176" s="26"/>
    </row>
    <row r="177">
      <c r="A177" s="30" t="s">
        <v>42</v>
      </c>
      <c r="B177" s="22" t="s">
        <v>70</v>
      </c>
      <c r="C177" s="22" t="s">
        <v>71</v>
      </c>
      <c r="D177" s="24"/>
      <c r="E177" s="25"/>
      <c r="F177" s="23"/>
      <c r="G177" s="25"/>
      <c r="H177" s="23"/>
      <c r="I177" s="26"/>
      <c r="J177" s="24"/>
      <c r="K177" s="25"/>
      <c r="L177" s="23"/>
      <c r="M177" s="25"/>
      <c r="N177" s="23"/>
      <c r="O177" s="26"/>
      <c r="P177" s="27"/>
      <c r="Q177" s="28"/>
      <c r="R177" s="29"/>
      <c r="S177" s="24"/>
      <c r="T177" s="25"/>
      <c r="U177" s="23"/>
      <c r="V177" s="25"/>
      <c r="W177" s="23"/>
      <c r="X177" s="26"/>
      <c r="Y177" s="24"/>
      <c r="Z177" s="25"/>
      <c r="AA177" s="23"/>
      <c r="AB177" s="25"/>
      <c r="AC177" s="23"/>
      <c r="AD177" s="26"/>
    </row>
    <row r="178">
      <c r="A178" s="30" t="s">
        <v>43</v>
      </c>
      <c r="B178" s="22" t="s">
        <v>70</v>
      </c>
      <c r="C178" s="22" t="s">
        <v>71</v>
      </c>
      <c r="D178" s="24"/>
      <c r="E178" s="25"/>
      <c r="F178" s="23"/>
      <c r="G178" s="25"/>
      <c r="H178" s="23"/>
      <c r="I178" s="26"/>
      <c r="J178" s="24"/>
      <c r="K178" s="25"/>
      <c r="L178" s="23"/>
      <c r="M178" s="25"/>
      <c r="N178" s="23"/>
      <c r="O178" s="26"/>
      <c r="P178" s="27"/>
      <c r="Q178" s="28"/>
      <c r="R178" s="29"/>
      <c r="S178" s="24"/>
      <c r="T178" s="25"/>
      <c r="U178" s="23"/>
      <c r="V178" s="25"/>
      <c r="W178" s="23"/>
      <c r="X178" s="26"/>
      <c r="Y178" s="24"/>
      <c r="Z178" s="25"/>
      <c r="AA178" s="23"/>
      <c r="AB178" s="25"/>
      <c r="AC178" s="23"/>
      <c r="AD178" s="26"/>
    </row>
    <row r="179">
      <c r="A179" s="30" t="s">
        <v>44</v>
      </c>
      <c r="B179" s="22" t="s">
        <v>70</v>
      </c>
      <c r="C179" s="22" t="s">
        <v>71</v>
      </c>
      <c r="D179" s="24"/>
      <c r="E179" s="25"/>
      <c r="F179" s="23"/>
      <c r="G179" s="25"/>
      <c r="H179" s="23"/>
      <c r="I179" s="26"/>
      <c r="J179" s="24"/>
      <c r="K179" s="25"/>
      <c r="L179" s="23"/>
      <c r="M179" s="25"/>
      <c r="N179" s="23"/>
      <c r="O179" s="26"/>
      <c r="P179" s="27"/>
      <c r="Q179" s="28"/>
      <c r="R179" s="29"/>
      <c r="S179" s="24"/>
      <c r="T179" s="25"/>
      <c r="U179" s="23"/>
      <c r="V179" s="25"/>
      <c r="W179" s="23"/>
      <c r="X179" s="26"/>
      <c r="Y179" s="24"/>
      <c r="Z179" s="25"/>
      <c r="AA179" s="23"/>
      <c r="AB179" s="25"/>
      <c r="AC179" s="23"/>
      <c r="AD179" s="26"/>
    </row>
    <row r="180">
      <c r="A180" s="30" t="s">
        <v>45</v>
      </c>
      <c r="B180" s="22" t="s">
        <v>70</v>
      </c>
      <c r="C180" s="22" t="s">
        <v>71</v>
      </c>
      <c r="D180" s="24"/>
      <c r="E180" s="25"/>
      <c r="F180" s="23"/>
      <c r="G180" s="25"/>
      <c r="H180" s="23"/>
      <c r="I180" s="26"/>
      <c r="J180" s="24"/>
      <c r="K180" s="25"/>
      <c r="L180" s="23"/>
      <c r="M180" s="25"/>
      <c r="N180" s="23"/>
      <c r="O180" s="26"/>
      <c r="P180" s="27"/>
      <c r="Q180" s="28"/>
      <c r="R180" s="29"/>
      <c r="S180" s="24"/>
      <c r="T180" s="25"/>
      <c r="U180" s="23"/>
      <c r="V180" s="25"/>
      <c r="W180" s="23"/>
      <c r="X180" s="26"/>
      <c r="Y180" s="24"/>
      <c r="Z180" s="25"/>
      <c r="AA180" s="23"/>
      <c r="AB180" s="25"/>
      <c r="AC180" s="23"/>
      <c r="AD180" s="26"/>
    </row>
    <row r="181">
      <c r="A181" s="30" t="s">
        <v>46</v>
      </c>
      <c r="B181" s="22" t="s">
        <v>70</v>
      </c>
      <c r="C181" s="22" t="s">
        <v>71</v>
      </c>
      <c r="D181" s="24"/>
      <c r="E181" s="25"/>
      <c r="F181" s="23"/>
      <c r="G181" s="25"/>
      <c r="H181" s="23"/>
      <c r="I181" s="26"/>
      <c r="J181" s="24"/>
      <c r="K181" s="25"/>
      <c r="L181" s="23"/>
      <c r="M181" s="25"/>
      <c r="N181" s="23"/>
      <c r="O181" s="26"/>
      <c r="P181" s="27"/>
      <c r="Q181" s="28"/>
      <c r="R181" s="29"/>
      <c r="S181" s="24"/>
      <c r="T181" s="25"/>
      <c r="U181" s="23"/>
      <c r="V181" s="25"/>
      <c r="W181" s="23"/>
      <c r="X181" s="26"/>
      <c r="Y181" s="24"/>
      <c r="Z181" s="25"/>
      <c r="AA181" s="23"/>
      <c r="AB181" s="25"/>
      <c r="AC181" s="23"/>
      <c r="AD181" s="26"/>
    </row>
    <row r="182">
      <c r="A182" s="30" t="s">
        <v>47</v>
      </c>
      <c r="B182" s="22" t="s">
        <v>70</v>
      </c>
      <c r="C182" s="22" t="s">
        <v>71</v>
      </c>
      <c r="D182" s="24"/>
      <c r="E182" s="25"/>
      <c r="F182" s="23"/>
      <c r="G182" s="25"/>
      <c r="H182" s="23"/>
      <c r="I182" s="26"/>
      <c r="J182" s="24"/>
      <c r="K182" s="25"/>
      <c r="L182" s="23"/>
      <c r="M182" s="25"/>
      <c r="N182" s="23"/>
      <c r="O182" s="26"/>
      <c r="P182" s="27"/>
      <c r="Q182" s="28"/>
      <c r="R182" s="29"/>
      <c r="S182" s="24"/>
      <c r="T182" s="25"/>
      <c r="U182" s="23"/>
      <c r="V182" s="25"/>
      <c r="W182" s="23"/>
      <c r="X182" s="26"/>
      <c r="Y182" s="24"/>
      <c r="Z182" s="25"/>
      <c r="AA182" s="23"/>
      <c r="AB182" s="25"/>
      <c r="AC182" s="23"/>
      <c r="AD182" s="26"/>
    </row>
    <row r="183">
      <c r="A183" s="30" t="s">
        <v>48</v>
      </c>
      <c r="B183" s="22" t="s">
        <v>70</v>
      </c>
      <c r="C183" s="22" t="s">
        <v>71</v>
      </c>
      <c r="D183" s="24"/>
      <c r="E183" s="25"/>
      <c r="F183" s="23"/>
      <c r="G183" s="25"/>
      <c r="H183" s="23"/>
      <c r="I183" s="26"/>
      <c r="J183" s="24"/>
      <c r="K183" s="25"/>
      <c r="L183" s="23"/>
      <c r="M183" s="25"/>
      <c r="N183" s="23"/>
      <c r="O183" s="26"/>
      <c r="P183" s="27"/>
      <c r="Q183" s="28"/>
      <c r="R183" s="29"/>
      <c r="S183" s="24"/>
      <c r="T183" s="25"/>
      <c r="U183" s="23"/>
      <c r="V183" s="25"/>
      <c r="W183" s="23"/>
      <c r="X183" s="26"/>
      <c r="Y183" s="24"/>
      <c r="Z183" s="25"/>
      <c r="AA183" s="23"/>
      <c r="AB183" s="25"/>
      <c r="AC183" s="23"/>
      <c r="AD183" s="26"/>
    </row>
    <row r="184">
      <c r="A184" s="30" t="s">
        <v>49</v>
      </c>
      <c r="B184" s="22" t="s">
        <v>70</v>
      </c>
      <c r="C184" s="22" t="s">
        <v>71</v>
      </c>
      <c r="D184" s="24"/>
      <c r="E184" s="25"/>
      <c r="F184" s="23"/>
      <c r="G184" s="25"/>
      <c r="H184" s="23"/>
      <c r="I184" s="26"/>
      <c r="J184" s="24"/>
      <c r="K184" s="25"/>
      <c r="L184" s="23"/>
      <c r="M184" s="25"/>
      <c r="N184" s="23"/>
      <c r="O184" s="26"/>
      <c r="P184" s="27"/>
      <c r="Q184" s="28"/>
      <c r="R184" s="29"/>
      <c r="S184" s="24"/>
      <c r="T184" s="25"/>
      <c r="U184" s="23"/>
      <c r="V184" s="25"/>
      <c r="W184" s="23"/>
      <c r="X184" s="26"/>
      <c r="Y184" s="24"/>
      <c r="Z184" s="25"/>
      <c r="AA184" s="23"/>
      <c r="AB184" s="25"/>
      <c r="AC184" s="23"/>
      <c r="AD184" s="26"/>
    </row>
    <row r="185">
      <c r="A185" s="30" t="s">
        <v>50</v>
      </c>
      <c r="B185" s="22" t="s">
        <v>70</v>
      </c>
      <c r="C185" s="22" t="s">
        <v>71</v>
      </c>
      <c r="D185" s="24"/>
      <c r="E185" s="25"/>
      <c r="F185" s="23"/>
      <c r="G185" s="25"/>
      <c r="H185" s="23"/>
      <c r="I185" s="26"/>
      <c r="J185" s="24"/>
      <c r="K185" s="25"/>
      <c r="L185" s="23"/>
      <c r="M185" s="25"/>
      <c r="N185" s="23"/>
      <c r="O185" s="26"/>
      <c r="P185" s="27"/>
      <c r="Q185" s="28"/>
      <c r="R185" s="29"/>
      <c r="S185" s="24"/>
      <c r="T185" s="25"/>
      <c r="U185" s="23"/>
      <c r="V185" s="25"/>
      <c r="W185" s="23"/>
      <c r="X185" s="26"/>
      <c r="Y185" s="24"/>
      <c r="Z185" s="25"/>
      <c r="AA185" s="23"/>
      <c r="AB185" s="25"/>
      <c r="AC185" s="23"/>
      <c r="AD185" s="26"/>
    </row>
    <row r="186">
      <c r="A186" s="30" t="s">
        <v>51</v>
      </c>
      <c r="B186" s="22" t="s">
        <v>70</v>
      </c>
      <c r="C186" s="22" t="s">
        <v>71</v>
      </c>
      <c r="D186" s="24"/>
      <c r="E186" s="25"/>
      <c r="F186" s="23"/>
      <c r="G186" s="25"/>
      <c r="H186" s="23"/>
      <c r="I186" s="26"/>
      <c r="J186" s="24"/>
      <c r="K186" s="25"/>
      <c r="L186" s="23"/>
      <c r="M186" s="25"/>
      <c r="N186" s="23"/>
      <c r="O186" s="26"/>
      <c r="P186" s="27"/>
      <c r="Q186" s="28"/>
      <c r="R186" s="29"/>
      <c r="S186" s="24"/>
      <c r="T186" s="25"/>
      <c r="U186" s="23"/>
      <c r="V186" s="25"/>
      <c r="W186" s="23"/>
      <c r="X186" s="26"/>
      <c r="Y186" s="24"/>
      <c r="Z186" s="25"/>
      <c r="AA186" s="23"/>
      <c r="AB186" s="25"/>
      <c r="AC186" s="23"/>
      <c r="AD186" s="26"/>
    </row>
    <row r="187">
      <c r="A187" s="30" t="s">
        <v>52</v>
      </c>
      <c r="B187" s="22" t="s">
        <v>70</v>
      </c>
      <c r="C187" s="22" t="s">
        <v>71</v>
      </c>
      <c r="D187" s="24"/>
      <c r="E187" s="25"/>
      <c r="F187" s="23"/>
      <c r="G187" s="25"/>
      <c r="H187" s="23"/>
      <c r="I187" s="26"/>
      <c r="J187" s="24"/>
      <c r="K187" s="25"/>
      <c r="L187" s="23"/>
      <c r="M187" s="25"/>
      <c r="N187" s="23"/>
      <c r="O187" s="26"/>
      <c r="P187" s="27"/>
      <c r="Q187" s="28"/>
      <c r="R187" s="29"/>
      <c r="S187" s="24"/>
      <c r="T187" s="25"/>
      <c r="U187" s="23"/>
      <c r="V187" s="25"/>
      <c r="W187" s="23"/>
      <c r="X187" s="26"/>
      <c r="Y187" s="24"/>
      <c r="Z187" s="25"/>
      <c r="AA187" s="23"/>
      <c r="AB187" s="25"/>
      <c r="AC187" s="23"/>
      <c r="AD187" s="26"/>
    </row>
    <row r="188">
      <c r="A188" s="30" t="s">
        <v>53</v>
      </c>
      <c r="B188" s="22" t="s">
        <v>70</v>
      </c>
      <c r="C188" s="22" t="s">
        <v>71</v>
      </c>
      <c r="D188" s="24"/>
      <c r="E188" s="25"/>
      <c r="F188" s="23"/>
      <c r="G188" s="25"/>
      <c r="H188" s="23"/>
      <c r="I188" s="26"/>
      <c r="J188" s="24"/>
      <c r="K188" s="25"/>
      <c r="L188" s="23"/>
      <c r="M188" s="25"/>
      <c r="N188" s="23"/>
      <c r="O188" s="26"/>
      <c r="P188" s="27"/>
      <c r="Q188" s="28"/>
      <c r="R188" s="29"/>
      <c r="S188" s="24"/>
      <c r="T188" s="25"/>
      <c r="U188" s="23"/>
      <c r="V188" s="25"/>
      <c r="W188" s="23"/>
      <c r="X188" s="26"/>
      <c r="Y188" s="24"/>
      <c r="Z188" s="25"/>
      <c r="AA188" s="23"/>
      <c r="AB188" s="25"/>
      <c r="AC188" s="23"/>
      <c r="AD188" s="26"/>
    </row>
    <row r="189">
      <c r="A189" s="30" t="s">
        <v>54</v>
      </c>
      <c r="B189" s="22" t="s">
        <v>70</v>
      </c>
      <c r="C189" s="22" t="s">
        <v>71</v>
      </c>
      <c r="D189" s="24"/>
      <c r="E189" s="25"/>
      <c r="F189" s="23"/>
      <c r="G189" s="25"/>
      <c r="H189" s="23"/>
      <c r="I189" s="26"/>
      <c r="J189" s="24"/>
      <c r="K189" s="25"/>
      <c r="L189" s="23"/>
      <c r="M189" s="25"/>
      <c r="N189" s="23"/>
      <c r="O189" s="26"/>
      <c r="P189" s="27"/>
      <c r="Q189" s="28"/>
      <c r="R189" s="29"/>
      <c r="S189" s="24"/>
      <c r="T189" s="25"/>
      <c r="U189" s="23"/>
      <c r="V189" s="25"/>
      <c r="W189" s="23"/>
      <c r="X189" s="26"/>
      <c r="Y189" s="24"/>
      <c r="Z189" s="25"/>
      <c r="AA189" s="23"/>
      <c r="AB189" s="25"/>
      <c r="AC189" s="23"/>
      <c r="AD189" s="26"/>
    </row>
    <row r="190">
      <c r="A190" s="30" t="s">
        <v>55</v>
      </c>
      <c r="B190" s="22" t="s">
        <v>70</v>
      </c>
      <c r="C190" s="22" t="s">
        <v>71</v>
      </c>
      <c r="D190" s="24"/>
      <c r="E190" s="25"/>
      <c r="F190" s="23"/>
      <c r="G190" s="25"/>
      <c r="H190" s="23"/>
      <c r="I190" s="26"/>
      <c r="J190" s="24"/>
      <c r="K190" s="25"/>
      <c r="L190" s="23"/>
      <c r="M190" s="25"/>
      <c r="N190" s="23"/>
      <c r="O190" s="26"/>
      <c r="P190" s="27"/>
      <c r="Q190" s="28"/>
      <c r="R190" s="29"/>
      <c r="S190" s="24"/>
      <c r="T190" s="25"/>
      <c r="U190" s="23"/>
      <c r="V190" s="25"/>
      <c r="W190" s="23"/>
      <c r="X190" s="26"/>
      <c r="Y190" s="24"/>
      <c r="Z190" s="25"/>
      <c r="AA190" s="23"/>
      <c r="AB190" s="25"/>
      <c r="AC190" s="23"/>
      <c r="AD190" s="26"/>
    </row>
    <row r="191">
      <c r="A191" s="30" t="s">
        <v>56</v>
      </c>
      <c r="B191" s="22" t="s">
        <v>70</v>
      </c>
      <c r="C191" s="22" t="s">
        <v>71</v>
      </c>
      <c r="D191" s="24"/>
      <c r="E191" s="25"/>
      <c r="F191" s="23"/>
      <c r="G191" s="25"/>
      <c r="H191" s="23"/>
      <c r="I191" s="26"/>
      <c r="J191" s="24"/>
      <c r="K191" s="25"/>
      <c r="L191" s="23"/>
      <c r="M191" s="25"/>
      <c r="N191" s="23"/>
      <c r="O191" s="26"/>
      <c r="P191" s="27"/>
      <c r="Q191" s="28"/>
      <c r="R191" s="29"/>
      <c r="S191" s="24"/>
      <c r="T191" s="25"/>
      <c r="U191" s="23"/>
      <c r="V191" s="25"/>
      <c r="W191" s="23"/>
      <c r="X191" s="26"/>
      <c r="Y191" s="24"/>
      <c r="Z191" s="25"/>
      <c r="AA191" s="23"/>
      <c r="AB191" s="25"/>
      <c r="AC191" s="23"/>
      <c r="AD191" s="26"/>
    </row>
    <row r="192">
      <c r="A192" s="30" t="s">
        <v>57</v>
      </c>
      <c r="B192" s="22" t="s">
        <v>70</v>
      </c>
      <c r="C192" s="22" t="s">
        <v>71</v>
      </c>
      <c r="D192" s="24"/>
      <c r="E192" s="25"/>
      <c r="F192" s="23"/>
      <c r="G192" s="25"/>
      <c r="H192" s="23"/>
      <c r="I192" s="26"/>
      <c r="J192" s="24"/>
      <c r="K192" s="25"/>
      <c r="L192" s="23"/>
      <c r="M192" s="25"/>
      <c r="N192" s="23"/>
      <c r="O192" s="26"/>
      <c r="P192" s="27"/>
      <c r="Q192" s="28"/>
      <c r="R192" s="29"/>
      <c r="S192" s="24"/>
      <c r="T192" s="25"/>
      <c r="U192" s="23"/>
      <c r="V192" s="25"/>
      <c r="W192" s="23"/>
      <c r="X192" s="26"/>
      <c r="Y192" s="24"/>
      <c r="Z192" s="25"/>
      <c r="AA192" s="23"/>
      <c r="AB192" s="25"/>
      <c r="AC192" s="23"/>
      <c r="AD192" s="26"/>
    </row>
    <row r="193">
      <c r="A193" s="30" t="s">
        <v>58</v>
      </c>
      <c r="B193" s="22" t="s">
        <v>70</v>
      </c>
      <c r="C193" s="22" t="s">
        <v>71</v>
      </c>
      <c r="D193" s="24"/>
      <c r="E193" s="25"/>
      <c r="F193" s="23"/>
      <c r="G193" s="25"/>
      <c r="H193" s="23"/>
      <c r="I193" s="26"/>
      <c r="J193" s="24"/>
      <c r="K193" s="25"/>
      <c r="L193" s="23"/>
      <c r="M193" s="25"/>
      <c r="N193" s="23"/>
      <c r="O193" s="26"/>
      <c r="P193" s="27"/>
      <c r="Q193" s="28"/>
      <c r="R193" s="29"/>
      <c r="S193" s="24"/>
      <c r="T193" s="25"/>
      <c r="U193" s="23"/>
      <c r="V193" s="25"/>
      <c r="W193" s="23"/>
      <c r="X193" s="26"/>
      <c r="Y193" s="24"/>
      <c r="Z193" s="25"/>
      <c r="AA193" s="23"/>
      <c r="AB193" s="25"/>
      <c r="AC193" s="23"/>
      <c r="AD193" s="26"/>
    </row>
    <row r="194">
      <c r="A194" s="30" t="s">
        <v>59</v>
      </c>
      <c r="B194" s="22" t="s">
        <v>70</v>
      </c>
      <c r="C194" s="22" t="s">
        <v>71</v>
      </c>
      <c r="D194" s="24"/>
      <c r="E194" s="25"/>
      <c r="F194" s="23"/>
      <c r="G194" s="25"/>
      <c r="H194" s="23"/>
      <c r="I194" s="26"/>
      <c r="J194" s="24"/>
      <c r="K194" s="25"/>
      <c r="L194" s="23"/>
      <c r="M194" s="25"/>
      <c r="N194" s="23"/>
      <c r="O194" s="26"/>
      <c r="P194" s="27"/>
      <c r="Q194" s="28"/>
      <c r="R194" s="29"/>
      <c r="S194" s="24"/>
      <c r="T194" s="25"/>
      <c r="U194" s="23"/>
      <c r="V194" s="25"/>
      <c r="W194" s="23"/>
      <c r="X194" s="26"/>
      <c r="Y194" s="24"/>
      <c r="Z194" s="25"/>
      <c r="AA194" s="23"/>
      <c r="AB194" s="25"/>
      <c r="AC194" s="23"/>
      <c r="AD194" s="26"/>
    </row>
    <row r="195">
      <c r="A195" s="30" t="s">
        <v>60</v>
      </c>
      <c r="B195" s="22" t="s">
        <v>70</v>
      </c>
      <c r="C195" s="22" t="s">
        <v>71</v>
      </c>
      <c r="D195" s="24"/>
      <c r="E195" s="25"/>
      <c r="F195" s="23"/>
      <c r="G195" s="25"/>
      <c r="H195" s="23"/>
      <c r="I195" s="26"/>
      <c r="J195" s="24"/>
      <c r="K195" s="25"/>
      <c r="L195" s="23"/>
      <c r="M195" s="25"/>
      <c r="N195" s="23"/>
      <c r="O195" s="26"/>
      <c r="P195" s="27"/>
      <c r="Q195" s="28"/>
      <c r="R195" s="29"/>
      <c r="S195" s="24"/>
      <c r="T195" s="25"/>
      <c r="U195" s="23"/>
      <c r="V195" s="25"/>
      <c r="W195" s="23"/>
      <c r="X195" s="26"/>
      <c r="Y195" s="24"/>
      <c r="Z195" s="25"/>
      <c r="AA195" s="23"/>
      <c r="AB195" s="25"/>
      <c r="AC195" s="23"/>
      <c r="AD195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