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780" windowHeight="6885" windowWidth="19815" xWindow="360" yWindow="1455"/>
  </bookViews>
  <sheets>
    <sheet name="BO_DM0042" r:id="rId1" sheetId="7"/>
  </sheets>
  <definedNames>
    <definedName localSheetId="0" name="_xlnm.Print_Titles">BO_DM0042!$3:$6</definedName>
  </definedNames>
  <calcPr calcId="145621"/>
</workbook>
</file>

<file path=xl/sharedStrings.xml><?xml version="1.0" encoding="utf-8"?>
<sst xmlns="http://schemas.openxmlformats.org/spreadsheetml/2006/main" count="9371" uniqueCount="1681">
  <si>
    <t>立会日数</t>
    <phoneticPr fontId="4"/>
  </si>
  <si>
    <t>権利行使数量合計（単位）</t>
    <phoneticPr fontId="4"/>
  </si>
  <si>
    <t>ギブアップ数量（単位）</t>
    <phoneticPr fontId="4"/>
  </si>
  <si>
    <t>Trading
Days</t>
    <phoneticPr fontId="4"/>
  </si>
  <si>
    <t xml:space="preserve"> Total(unit)</t>
    <phoneticPr fontId="4"/>
  </si>
  <si>
    <t>Daily Average(unit)</t>
    <phoneticPr fontId="4"/>
  </si>
  <si>
    <t>Contracts Exercised Total(unit)</t>
    <phoneticPr fontId="4"/>
  </si>
  <si>
    <t>Give Up Volume(unit)</t>
    <phoneticPr fontId="4"/>
  </si>
  <si>
    <t>合計 （単位）</t>
    <phoneticPr fontId="4"/>
  </si>
  <si>
    <t>High(unit)</t>
    <phoneticPr fontId="4"/>
  </si>
  <si>
    <t>Daily Average(￥)</t>
    <phoneticPr fontId="4"/>
  </si>
  <si>
    <t>取引高  Trading Volume</t>
    <phoneticPr fontId="4"/>
  </si>
  <si>
    <t>取引金額  Trading Value</t>
    <phoneticPr fontId="4"/>
  </si>
  <si>
    <t>建玉現在高  Open Interest</t>
    <phoneticPr fontId="4"/>
  </si>
  <si>
    <t>合計（円）</t>
    <phoneticPr fontId="4"/>
  </si>
  <si>
    <t>J-NET(unit)</t>
    <phoneticPr fontId="4"/>
  </si>
  <si>
    <t>Exercise Volume(unit)</t>
    <phoneticPr fontId="4"/>
  </si>
  <si>
    <t>J-NET(￥)</t>
    <phoneticPr fontId="4"/>
  </si>
  <si>
    <t>Total(￥)</t>
    <phoneticPr fontId="4"/>
  </si>
  <si>
    <t>Exercise Value(￥)</t>
    <phoneticPr fontId="4"/>
  </si>
  <si>
    <t>一日平均（円）</t>
    <phoneticPr fontId="4"/>
  </si>
  <si>
    <t>権利行使分（円）</t>
    <phoneticPr fontId="4"/>
  </si>
  <si>
    <t>一日平均 （単位）</t>
    <phoneticPr fontId="4"/>
  </si>
  <si>
    <t>権利行使分（単位）</t>
    <rPh eb="2" sb="0">
      <t>ケンリ</t>
    </rPh>
    <rPh eb="4" sb="2">
      <t>コウシ</t>
    </rPh>
    <rPh eb="5" sb="4">
      <t>ブン</t>
    </rPh>
    <phoneticPr fontId="4"/>
  </si>
  <si>
    <t>J-NET（単位）</t>
  </si>
  <si>
    <t>J-NET（円）</t>
  </si>
  <si>
    <t>単位</t>
    <rPh eb="2" sb="0">
      <t>タンイ</t>
    </rPh>
    <phoneticPr fontId="4"/>
  </si>
  <si>
    <t>J-NET(￥)</t>
    <phoneticPr fontId="4"/>
  </si>
  <si>
    <t>Low(unit)</t>
    <phoneticPr fontId="4"/>
  </si>
  <si>
    <t>最低</t>
    <phoneticPr fontId="4"/>
  </si>
  <si>
    <t>最高</t>
    <phoneticPr fontId="4"/>
  </si>
  <si>
    <t>High(￥)</t>
    <phoneticPr fontId="4"/>
  </si>
  <si>
    <t>Low(￥)</t>
    <phoneticPr fontId="4"/>
  </si>
  <si>
    <t>月日</t>
    <rPh eb="2" sb="0">
      <t>ツキヒ</t>
    </rPh>
    <phoneticPr fontId="4"/>
  </si>
  <si>
    <t>年度</t>
    <rPh eb="2" sb="1">
      <t>ド</t>
    </rPh>
    <phoneticPr fontId="4"/>
  </si>
  <si>
    <t>Summary of Statistics (Fiscal Year summary)</t>
    <phoneticPr fontId="4"/>
  </si>
  <si>
    <t>取　引　総　括　表（年　度）</t>
    <phoneticPr fontId="4"/>
  </si>
  <si>
    <t>商品等</t>
    <rPh eb="2" sb="0">
      <t>ショウヒン</t>
    </rPh>
    <rPh eb="3" sb="2">
      <t>トウ</t>
    </rPh>
    <phoneticPr fontId="4"/>
  </si>
  <si>
    <t>Products</t>
    <phoneticPr fontId="4"/>
  </si>
  <si>
    <t>Fiscal Year</t>
    <phoneticPr fontId="4"/>
  </si>
  <si>
    <t>Put/Call Type</t>
    <phoneticPr fontId="4"/>
  </si>
  <si>
    <t>プットコール
区分</t>
    <rPh eb="9" sb="7">
      <t>クブン</t>
    </rPh>
    <phoneticPr fontId="4"/>
  </si>
  <si>
    <t>Date</t>
    <phoneticPr fontId="4"/>
  </si>
  <si>
    <t>円</t>
    <rPh eb="1" sb="0">
      <t>エン</t>
    </rPh>
    <phoneticPr fontId="4"/>
  </si>
  <si>
    <t>年度末（単位）</t>
    <rPh eb="2" sb="1">
      <t>ド</t>
    </rPh>
    <phoneticPr fontId="4"/>
  </si>
  <si>
    <t>End of Fiscal Year(unit)</t>
    <phoneticPr fontId="4"/>
  </si>
  <si>
    <t>日経225先物</t>
  </si>
  <si>
    <t>Nikkei 225 Futures</t>
  </si>
  <si>
    <t>2014</t>
  </si>
  <si>
    <t>12.10</t>
  </si>
  <si>
    <t>12.26</t>
  </si>
  <si>
    <t>176,556,614,354,000</t>
  </si>
  <si>
    <t>40,677,130,199,000</t>
  </si>
  <si>
    <t>3.10</t>
  </si>
  <si>
    <t>12.12</t>
  </si>
  <si>
    <t>3.16</t>
  </si>
  <si>
    <t>2015</t>
  </si>
  <si>
    <t>8.25</t>
  </si>
  <si>
    <t>12.28</t>
  </si>
  <si>
    <t>548,571,671,493,000</t>
  </si>
  <si>
    <t>113,063,788,958,000</t>
  </si>
  <si>
    <t>3.9</t>
  </si>
  <si>
    <t>6.16</t>
  </si>
  <si>
    <t>2016</t>
  </si>
  <si>
    <t>12.6</t>
  </si>
  <si>
    <t>420,821,385,114,352</t>
  </si>
  <si>
    <t>105,733,475,627,352</t>
  </si>
  <si>
    <t>8.30</t>
  </si>
  <si>
    <t>6.10</t>
  </si>
  <si>
    <t>9.13</t>
  </si>
  <si>
    <t>2017</t>
  </si>
  <si>
    <t>3.6</t>
  </si>
  <si>
    <t>526,491,618,234,912</t>
  </si>
  <si>
    <t>127,100,278,294,912</t>
  </si>
  <si>
    <t>3.8</t>
  </si>
  <si>
    <t>9.11</t>
  </si>
  <si>
    <t>2018</t>
  </si>
  <si>
    <t>8.9</t>
  </si>
  <si>
    <t>534,092,986,474,550</t>
  </si>
  <si>
    <t>123,925,304,043,550</t>
  </si>
  <si>
    <t>12.17</t>
  </si>
  <si>
    <t>2019</t>
  </si>
  <si>
    <t>12.25</t>
  </si>
  <si>
    <t>566,790,821,485,649</t>
  </si>
  <si>
    <t>122,540,923,801,649</t>
  </si>
  <si>
    <t>3.13</t>
  </si>
  <si>
    <t>6.24</t>
  </si>
  <si>
    <t>2020</t>
  </si>
  <si>
    <t>546,436,943,256,255</t>
  </si>
  <si>
    <t>126,915,034,578,255</t>
  </si>
  <si>
    <t>6.12</t>
  </si>
  <si>
    <t>3.15</t>
  </si>
  <si>
    <t>2021</t>
  </si>
  <si>
    <t>12.27</t>
  </si>
  <si>
    <t>520,767,621,270,107</t>
  </si>
  <si>
    <t>130,862,529,076,107</t>
  </si>
  <si>
    <t>9.7</t>
  </si>
  <si>
    <t>12.13</t>
  </si>
  <si>
    <t>2022</t>
  </si>
  <si>
    <t>6.7</t>
  </si>
  <si>
    <t>584,277,550,982,236</t>
  </si>
  <si>
    <t>133,587,390,338,236</t>
  </si>
  <si>
    <t>2.24</t>
  </si>
  <si>
    <t>2023</t>
  </si>
  <si>
    <t>3.5</t>
  </si>
  <si>
    <t>712,857,357,271,208</t>
  </si>
  <si>
    <t>155,622,872,050,208</t>
  </si>
  <si>
    <t>6.6</t>
  </si>
  <si>
    <t>日経225mini</t>
  </si>
  <si>
    <t>Nikkei 225 mini</t>
  </si>
  <si>
    <t>1.16</t>
  </si>
  <si>
    <t>137,381,308,876,000</t>
  </si>
  <si>
    <t>4,335,302,799,500</t>
  </si>
  <si>
    <t>502,854,833,787,500</t>
  </si>
  <si>
    <t>20,228,861,981,100</t>
  </si>
  <si>
    <t>3.14</t>
  </si>
  <si>
    <t>11.9</t>
  </si>
  <si>
    <t>368,991,127,792,144</t>
  </si>
  <si>
    <t>17,021,648,229,944</t>
  </si>
  <si>
    <t>1.13</t>
  </si>
  <si>
    <t>2.7</t>
  </si>
  <si>
    <t>509,505,818,072,976</t>
  </si>
  <si>
    <t>26,952,614,814,576</t>
  </si>
  <si>
    <t>10.11</t>
  </si>
  <si>
    <t>5.22</t>
  </si>
  <si>
    <t>561,424,199,032,441</t>
  </si>
  <si>
    <t>33,208,671,856,841</t>
  </si>
  <si>
    <t>6.11</t>
  </si>
  <si>
    <t>3.2</t>
  </si>
  <si>
    <t>632,566,729,311,706</t>
  </si>
  <si>
    <t>41,166,041,436,306</t>
  </si>
  <si>
    <t>6.17</t>
  </si>
  <si>
    <t>6.15</t>
  </si>
  <si>
    <t>634,681,166,278,369</t>
  </si>
  <si>
    <t>51,479,637,902,469</t>
  </si>
  <si>
    <t>11.10</t>
  </si>
  <si>
    <t>12.14</t>
  </si>
  <si>
    <t>1.25</t>
  </si>
  <si>
    <t>678,302,721,794,292</t>
  </si>
  <si>
    <t>53,901,800,400,092</t>
  </si>
  <si>
    <t>7.19</t>
  </si>
  <si>
    <t>6.14</t>
  </si>
  <si>
    <t>695,178,262,401,228</t>
  </si>
  <si>
    <t>53,909,534,724,128</t>
  </si>
  <si>
    <t>5.8</t>
  </si>
  <si>
    <t>848,186,674,203,854</t>
  </si>
  <si>
    <t>60,457,659,571,554</t>
  </si>
  <si>
    <t>3.21</t>
  </si>
  <si>
    <t>6.1</t>
  </si>
  <si>
    <t>3.11</t>
  </si>
  <si>
    <t>日経225マイクロ先物</t>
  </si>
  <si>
    <t>Nikkei 225 Micro Futures</t>
  </si>
  <si>
    <t>5.29</t>
  </si>
  <si>
    <t>13,173,158,396,800</t>
  </si>
  <si>
    <t>TOPIX先物</t>
  </si>
  <si>
    <t>TOPIX Futures</t>
  </si>
  <si>
    <t>1988</t>
  </si>
  <si>
    <t>9.3</t>
  </si>
  <si>
    <t>10.22</t>
  </si>
  <si>
    <t>66,367,262,130,000</t>
  </si>
  <si>
    <t>－</t>
  </si>
  <si>
    <t>3.27</t>
  </si>
  <si>
    <t>12.9</t>
  </si>
  <si>
    <t>1989</t>
  </si>
  <si>
    <t>3.7</t>
  </si>
  <si>
    <t>12.29</t>
  </si>
  <si>
    <t>101,753,418,410,000</t>
  </si>
  <si>
    <t>2.13</t>
  </si>
  <si>
    <t>1990</t>
  </si>
  <si>
    <t>5.28</t>
  </si>
  <si>
    <t>10.2</t>
  </si>
  <si>
    <t>51,777,217,650,000</t>
  </si>
  <si>
    <t>5.2</t>
  </si>
  <si>
    <t>1991</t>
  </si>
  <si>
    <t>6.5</t>
  </si>
  <si>
    <t>10.28</t>
  </si>
  <si>
    <t>27,171,171,310,000</t>
  </si>
  <si>
    <t>6.4</t>
  </si>
  <si>
    <t>1992</t>
  </si>
  <si>
    <t>1.4</t>
  </si>
  <si>
    <t>19,397,749,700,000</t>
  </si>
  <si>
    <t>8.3</t>
  </si>
  <si>
    <t>3.12</t>
  </si>
  <si>
    <t>1993</t>
  </si>
  <si>
    <t>12.3</t>
  </si>
  <si>
    <t>1.31</t>
  </si>
  <si>
    <t>39,709,147,990,000</t>
  </si>
  <si>
    <t>1994</t>
  </si>
  <si>
    <t>12.5</t>
  </si>
  <si>
    <t>40,508,119,590,000</t>
  </si>
  <si>
    <t>1995</t>
  </si>
  <si>
    <t>11.30</t>
  </si>
  <si>
    <t>40,043,681,440,000</t>
  </si>
  <si>
    <t>6.19</t>
  </si>
  <si>
    <t>1996</t>
  </si>
  <si>
    <t>3.3</t>
  </si>
  <si>
    <t>12.30</t>
  </si>
  <si>
    <t>44,743,199,720,000</t>
  </si>
  <si>
    <t>12.16</t>
  </si>
  <si>
    <t>1997</t>
  </si>
  <si>
    <t>9.4</t>
  </si>
  <si>
    <t>7.22</t>
  </si>
  <si>
    <t>39,251,913,325,000</t>
  </si>
  <si>
    <t>1.5</t>
  </si>
  <si>
    <t>9.16</t>
  </si>
  <si>
    <t>1998</t>
  </si>
  <si>
    <t>8.20</t>
  </si>
  <si>
    <t>32,699,365,295,000</t>
  </si>
  <si>
    <t>2,093,838,825,000</t>
  </si>
  <si>
    <t>3.31</t>
  </si>
  <si>
    <t>1999</t>
  </si>
  <si>
    <t>53,408,643,145,000</t>
  </si>
  <si>
    <t>11,330,361,020,000</t>
  </si>
  <si>
    <t>4.1</t>
  </si>
  <si>
    <t>2000</t>
  </si>
  <si>
    <t>59,165,320,362,000</t>
  </si>
  <si>
    <t>17,220,050,917,000</t>
  </si>
  <si>
    <t>9.6</t>
  </si>
  <si>
    <t>6.29</t>
  </si>
  <si>
    <t>2001</t>
  </si>
  <si>
    <t>63,877,745,221,000</t>
  </si>
  <si>
    <t>20,936,392,916,000</t>
  </si>
  <si>
    <t>4.12</t>
  </si>
  <si>
    <t>2002</t>
  </si>
  <si>
    <t>68,390,524,365,000</t>
  </si>
  <si>
    <t>23,726,476,815,000</t>
  </si>
  <si>
    <t>9.18</t>
  </si>
  <si>
    <t>2003</t>
  </si>
  <si>
    <t>97,728,171,086,000</t>
  </si>
  <si>
    <t>34,501,598,271,000</t>
  </si>
  <si>
    <t>2004</t>
  </si>
  <si>
    <t>12.8</t>
  </si>
  <si>
    <t>118,584,865,476,000</t>
  </si>
  <si>
    <t>41,637,170,441,000</t>
  </si>
  <si>
    <t>6.9</t>
  </si>
  <si>
    <t>2005</t>
  </si>
  <si>
    <t>204,080,200,531,000</t>
  </si>
  <si>
    <t>55,408,835,926,000</t>
  </si>
  <si>
    <t>12.7</t>
  </si>
  <si>
    <t>6.13</t>
  </si>
  <si>
    <t>2006</t>
  </si>
  <si>
    <t>241,360,297,677,000</t>
  </si>
  <si>
    <t>60,350,365,092,000</t>
  </si>
  <si>
    <t>12.11</t>
  </si>
  <si>
    <t>2007</t>
  </si>
  <si>
    <t>266,564,675,896,000</t>
  </si>
  <si>
    <t>54,948,078,524,000</t>
  </si>
  <si>
    <t>2008</t>
  </si>
  <si>
    <t>184,595,070,726,000</t>
  </si>
  <si>
    <t>30,573,069,671,000</t>
  </si>
  <si>
    <t>9.17</t>
  </si>
  <si>
    <t>2009</t>
  </si>
  <si>
    <t>135,126,220,304,000</t>
  </si>
  <si>
    <t>23,039,658,967,000</t>
  </si>
  <si>
    <t>9.14</t>
  </si>
  <si>
    <t>2010</t>
  </si>
  <si>
    <t>131,239,637,406,000</t>
  </si>
  <si>
    <t>22,817,303,502,000</t>
  </si>
  <si>
    <t>2011</t>
  </si>
  <si>
    <t>112,470,525,716,000</t>
  </si>
  <si>
    <t>21,636,891,059,000</t>
  </si>
  <si>
    <t>2012</t>
  </si>
  <si>
    <t>8.13</t>
  </si>
  <si>
    <t>137,296,215,248,000</t>
  </si>
  <si>
    <t>27,549,283,799,000</t>
  </si>
  <si>
    <t>2013</t>
  </si>
  <si>
    <t>273,183,828,112,000</t>
  </si>
  <si>
    <t>48,901,603,759,000</t>
  </si>
  <si>
    <t>8.19</t>
  </si>
  <si>
    <t>281,008,955,398,000</t>
  </si>
  <si>
    <t>64,318,578,395,000</t>
  </si>
  <si>
    <t>10.23</t>
  </si>
  <si>
    <t>347,159,641,319,000</t>
  </si>
  <si>
    <t>69,813,323,566,000</t>
  </si>
  <si>
    <t>3.18</t>
  </si>
  <si>
    <t>310,538,503,635,957</t>
  </si>
  <si>
    <t>69,333,003,244,957</t>
  </si>
  <si>
    <t>9.12</t>
  </si>
  <si>
    <t>434,458,457,613,007</t>
  </si>
  <si>
    <t>94,015,157,739,007</t>
  </si>
  <si>
    <t>423,136,518,476,586</t>
  </si>
  <si>
    <t>96,837,228,776,586</t>
  </si>
  <si>
    <t>456,278,796,825,603</t>
  </si>
  <si>
    <t>99,162,681,074,603</t>
  </si>
  <si>
    <t>422,178,774,126,016</t>
  </si>
  <si>
    <t>99,075,088,647,016</t>
  </si>
  <si>
    <t>6.8</t>
  </si>
  <si>
    <t>457,276,118,645,615</t>
  </si>
  <si>
    <t>109,900,945,481,515</t>
  </si>
  <si>
    <t>12.24</t>
  </si>
  <si>
    <t>494,821,742,585,488</t>
  </si>
  <si>
    <t>130,090,232,690,488</t>
  </si>
  <si>
    <t>640,307,068,119,457</t>
  </si>
  <si>
    <t>166,679,026,807,457</t>
  </si>
  <si>
    <t>7.25</t>
  </si>
  <si>
    <t>ミニTOPIX先物</t>
  </si>
  <si>
    <t>mini-TOPIX Futures</t>
  </si>
  <si>
    <t>8.18</t>
  </si>
  <si>
    <t>773,422,683,700</t>
  </si>
  <si>
    <t>742,038,200</t>
  </si>
  <si>
    <t>12.22</t>
  </si>
  <si>
    <t>10.27</t>
  </si>
  <si>
    <t>4.22</t>
  </si>
  <si>
    <t>909,897,689,200</t>
  </si>
  <si>
    <t>3,278,174,450</t>
  </si>
  <si>
    <t>11.27</t>
  </si>
  <si>
    <t>3.25</t>
  </si>
  <si>
    <t>762,691,303,100</t>
  </si>
  <si>
    <t>5,010,978,700</t>
  </si>
  <si>
    <t>4.7</t>
  </si>
  <si>
    <t>2.28</t>
  </si>
  <si>
    <t>756,223,060,400</t>
  </si>
  <si>
    <t>1,766,684,750</t>
  </si>
  <si>
    <t>9.28</t>
  </si>
  <si>
    <t>2,157,223,575,300</t>
  </si>
  <si>
    <t>5,517,724,400</t>
  </si>
  <si>
    <t>1.22</t>
  </si>
  <si>
    <t>5.24</t>
  </si>
  <si>
    <t>10.16</t>
  </si>
  <si>
    <t>3,513,204,027,450</t>
  </si>
  <si>
    <t>35,553,818,850</t>
  </si>
  <si>
    <t>10.31</t>
  </si>
  <si>
    <t>6,906,565,934,900</t>
  </si>
  <si>
    <t>47,169,435,750</t>
  </si>
  <si>
    <t>12.2</t>
  </si>
  <si>
    <t>6,337,392,378,500</t>
  </si>
  <si>
    <t>116,543,538,350</t>
  </si>
  <si>
    <t>8.15</t>
  </si>
  <si>
    <t>3,363,629,992,215</t>
  </si>
  <si>
    <t>194,465,939,665</t>
  </si>
  <si>
    <t>2.6</t>
  </si>
  <si>
    <t>5.1</t>
  </si>
  <si>
    <t>7,280,248,280,459</t>
  </si>
  <si>
    <t>172,367,635,059</t>
  </si>
  <si>
    <t>7,161,879,259,835</t>
  </si>
  <si>
    <t>198,057,691,135</t>
  </si>
  <si>
    <t>11.6</t>
  </si>
  <si>
    <t>9,297,292,295,070</t>
  </si>
  <si>
    <t>399,646,663,720</t>
  </si>
  <si>
    <t>8.28</t>
  </si>
  <si>
    <t>13,953,260,953,688</t>
  </si>
  <si>
    <t>531,882,123,888</t>
  </si>
  <si>
    <t>17,651,752,028,332</t>
  </si>
  <si>
    <t>556,507,571,332</t>
  </si>
  <si>
    <t>12,353,092,853,701</t>
  </si>
  <si>
    <t>586,655,533,051</t>
  </si>
  <si>
    <t>16,365,079,490,593</t>
  </si>
  <si>
    <t>623,866,237,193</t>
  </si>
  <si>
    <t>JPXプライム150指数先物</t>
  </si>
  <si>
    <t>JPX Prime 150 Index Futures</t>
  </si>
  <si>
    <t>3.28</t>
  </si>
  <si>
    <t>3.19</t>
  </si>
  <si>
    <t>30,011,980</t>
  </si>
  <si>
    <t>26,473,480</t>
  </si>
  <si>
    <t>JPX日経インデックス400先物</t>
  </si>
  <si>
    <t>JPX-Nikkei Index 400 Futures</t>
  </si>
  <si>
    <t>5,471,181,888,800</t>
  </si>
  <si>
    <t>1,311,762,531,500</t>
  </si>
  <si>
    <t>11.25</t>
  </si>
  <si>
    <t>13,644,358,220,200</t>
  </si>
  <si>
    <t>2,898,950,154,400</t>
  </si>
  <si>
    <t>5.19</t>
  </si>
  <si>
    <t>8,825,570,387,924</t>
  </si>
  <si>
    <t>2,253,743,130,724</t>
  </si>
  <si>
    <t>9.5</t>
  </si>
  <si>
    <t>12,837,569,366,233</t>
  </si>
  <si>
    <t>2,137,236,303,933</t>
  </si>
  <si>
    <t>10,918,391,056,629</t>
  </si>
  <si>
    <t>2,034,506,669,329</t>
  </si>
  <si>
    <t>8.22</t>
  </si>
  <si>
    <t>9,721,166,553,478</t>
  </si>
  <si>
    <t>2,327,846,444,878</t>
  </si>
  <si>
    <t>8,051,635,826,860</t>
  </si>
  <si>
    <t>1,340,067,121,560</t>
  </si>
  <si>
    <t>6,603,303,895,935</t>
  </si>
  <si>
    <t>942,014,326,135</t>
  </si>
  <si>
    <t>4,709,814,357,894</t>
  </si>
  <si>
    <t>834,870,903,494</t>
  </si>
  <si>
    <t>6,731,108,030,296</t>
  </si>
  <si>
    <t>1,223,241,715,496</t>
  </si>
  <si>
    <t>12.19</t>
  </si>
  <si>
    <t>TOPIX Core30先物</t>
  </si>
  <si>
    <t>TOPIX Core30 Futures</t>
  </si>
  <si>
    <t>181,839,691,600</t>
  </si>
  <si>
    <t>152,697,319,300</t>
  </si>
  <si>
    <t>147,833,386,600</t>
  </si>
  <si>
    <t>142,336,663,200</t>
  </si>
  <si>
    <t>9.8</t>
  </si>
  <si>
    <t>4.14</t>
  </si>
  <si>
    <t>4.2</t>
  </si>
  <si>
    <t>105,278,187,000</t>
  </si>
  <si>
    <t>105,172,500,000</t>
  </si>
  <si>
    <t>25,202,569,000</t>
  </si>
  <si>
    <t>25,200,214,500</t>
  </si>
  <si>
    <t>3,841,059,300</t>
  </si>
  <si>
    <t>4.16</t>
  </si>
  <si>
    <t>4,823,821,200</t>
  </si>
  <si>
    <t>2,771,412,000</t>
  </si>
  <si>
    <t>2,065,155,500</t>
  </si>
  <si>
    <t>4.3</t>
  </si>
  <si>
    <t>4,227,992,200</t>
  </si>
  <si>
    <t>2,422,307,200</t>
  </si>
  <si>
    <t>11.14</t>
  </si>
  <si>
    <t>4.5</t>
  </si>
  <si>
    <t>3,084,255,040</t>
  </si>
  <si>
    <t>2,392,198,040</t>
  </si>
  <si>
    <t>2,032,353,060</t>
  </si>
  <si>
    <t>1,619,305,060</t>
  </si>
  <si>
    <t>2,383,016,590</t>
  </si>
  <si>
    <t>1,755,723,590</t>
  </si>
  <si>
    <t>9.19</t>
  </si>
  <si>
    <t>1,249,654,540</t>
  </si>
  <si>
    <t>1,003,964,040</t>
  </si>
  <si>
    <t>672,298,460</t>
  </si>
  <si>
    <t>634,382,960</t>
  </si>
  <si>
    <t>504,259,140</t>
  </si>
  <si>
    <t>490,077,640</t>
  </si>
  <si>
    <t>3.30</t>
  </si>
  <si>
    <t>7.15</t>
  </si>
  <si>
    <t>797,645,540</t>
  </si>
  <si>
    <t>702,764,540</t>
  </si>
  <si>
    <t>1,182,016,220</t>
  </si>
  <si>
    <t>1,097,479,720</t>
  </si>
  <si>
    <t>東証銀行業株価指数先物</t>
  </si>
  <si>
    <t>TOPIX Banks Index Futures</t>
  </si>
  <si>
    <t>9.2</t>
  </si>
  <si>
    <t>15,271,823,000</t>
  </si>
  <si>
    <t>6.22</t>
  </si>
  <si>
    <t>163,818,362,000</t>
  </si>
  <si>
    <t>2.14</t>
  </si>
  <si>
    <t>7.13</t>
  </si>
  <si>
    <t>4.10</t>
  </si>
  <si>
    <t>151,370,472,000</t>
  </si>
  <si>
    <t>7.18</t>
  </si>
  <si>
    <t>3.4</t>
  </si>
  <si>
    <t>43,064,106,000</t>
  </si>
  <si>
    <t>19,006,035,000</t>
  </si>
  <si>
    <t>328,128,062,000</t>
  </si>
  <si>
    <t>327,912,112,000</t>
  </si>
  <si>
    <t>115,730,713,000</t>
  </si>
  <si>
    <t>115,671,098,000</t>
  </si>
  <si>
    <t>11.11</t>
  </si>
  <si>
    <t>5.17</t>
  </si>
  <si>
    <t>498,000,000</t>
  </si>
  <si>
    <t>2,694,090,000</t>
  </si>
  <si>
    <t>4,049,047,000</t>
  </si>
  <si>
    <t>4.23</t>
  </si>
  <si>
    <t>4,289,499,000</t>
  </si>
  <si>
    <t>4.19</t>
  </si>
  <si>
    <t>4,879,488,000</t>
  </si>
  <si>
    <t>36,825,980,000</t>
  </si>
  <si>
    <t>60,774,877,000</t>
  </si>
  <si>
    <t>59,281,489,000</t>
  </si>
  <si>
    <t>30,369,947,000</t>
  </si>
  <si>
    <t>28,006,890,000</t>
  </si>
  <si>
    <t>4.4</t>
  </si>
  <si>
    <t>151,275,740,203</t>
  </si>
  <si>
    <t>150,420,451,203</t>
  </si>
  <si>
    <t>543,580,702,405</t>
  </si>
  <si>
    <t>539,084,617,405</t>
  </si>
  <si>
    <t>551,125,143,647</t>
  </si>
  <si>
    <t>548,104,188,647</t>
  </si>
  <si>
    <t>9.10</t>
  </si>
  <si>
    <t>600,841,976,222</t>
  </si>
  <si>
    <t>600,615,735,222</t>
  </si>
  <si>
    <t>487,921,463,890</t>
  </si>
  <si>
    <t>487,432,568,890</t>
  </si>
  <si>
    <t>585,456,310,690</t>
  </si>
  <si>
    <t>582,868,139,690</t>
  </si>
  <si>
    <t>9.1</t>
  </si>
  <si>
    <t>1,342,063,325,641</t>
  </si>
  <si>
    <t>1,336,448,163,641</t>
  </si>
  <si>
    <t>5.23</t>
  </si>
  <si>
    <t>3.1</t>
  </si>
  <si>
    <t>4.6</t>
  </si>
  <si>
    <t>1,934,962,735,403</t>
  </si>
  <si>
    <t>1,930,526,599,403</t>
  </si>
  <si>
    <t>東証REIT指数先物</t>
  </si>
  <si>
    <t>TSE REIT Index Futures</t>
  </si>
  <si>
    <t>7.17</t>
  </si>
  <si>
    <t>104,084,467,800</t>
  </si>
  <si>
    <t>65,604,404,200</t>
  </si>
  <si>
    <t>47,025,547,900</t>
  </si>
  <si>
    <t>45,643,422,400</t>
  </si>
  <si>
    <t>50,983,843,200</t>
  </si>
  <si>
    <t>50,361,737,200</t>
  </si>
  <si>
    <t>48,223,951,700</t>
  </si>
  <si>
    <t>48,186,285,700</t>
  </si>
  <si>
    <t>11.28</t>
  </si>
  <si>
    <t>74,495,818,000</t>
  </si>
  <si>
    <t>69,644,610,800</t>
  </si>
  <si>
    <t>4.18</t>
  </si>
  <si>
    <t>105,396,224,000</t>
  </si>
  <si>
    <t>92,610,702,900</t>
  </si>
  <si>
    <t>5.9</t>
  </si>
  <si>
    <t>262,510,506,600</t>
  </si>
  <si>
    <t>248,669,037,400</t>
  </si>
  <si>
    <t>357,686,204,800</t>
  </si>
  <si>
    <t>327,414,622,700</t>
  </si>
  <si>
    <t>7.9</t>
  </si>
  <si>
    <t>8.5</t>
  </si>
  <si>
    <t>461,018,958,980</t>
  </si>
  <si>
    <t>400,839,395,980</t>
  </si>
  <si>
    <t>2.17</t>
  </si>
  <si>
    <t>539,850,573,176</t>
  </si>
  <si>
    <t>445,401,856,776</t>
  </si>
  <si>
    <t>10.3</t>
  </si>
  <si>
    <t>625,456,555,658</t>
  </si>
  <si>
    <t>524,272,836,058</t>
  </si>
  <si>
    <t>2,079,566,372,724</t>
  </si>
  <si>
    <t>1,563,062,204,824</t>
  </si>
  <si>
    <t>12.21</t>
  </si>
  <si>
    <t>1,610,834,851,831</t>
  </si>
  <si>
    <t>1,240,300,868,431</t>
  </si>
  <si>
    <t>7.27</t>
  </si>
  <si>
    <t>1,735,056,729,570</t>
  </si>
  <si>
    <t>1,478,925,841,470</t>
  </si>
  <si>
    <t>5.7</t>
  </si>
  <si>
    <t>7.14</t>
  </si>
  <si>
    <t>2,033,348,934,681</t>
  </si>
  <si>
    <t>1,768,912,122,581</t>
  </si>
  <si>
    <t>10.17</t>
  </si>
  <si>
    <t>2,406,024,283,184</t>
  </si>
  <si>
    <t>2,041,714,064,984</t>
  </si>
  <si>
    <t>12.1</t>
  </si>
  <si>
    <t>RNプライム指数先物</t>
  </si>
  <si>
    <t>RN Prime Index Futures</t>
  </si>
  <si>
    <t>東証グロース市場250指数先物</t>
  </si>
  <si>
    <t>TSE Growth Market 250 Index Futures</t>
  </si>
  <si>
    <t>81,966,215,259</t>
  </si>
  <si>
    <t>8,510,665,459</t>
  </si>
  <si>
    <t>5.16</t>
  </si>
  <si>
    <t>424,573,898,280</t>
  </si>
  <si>
    <t>31,220,052,680</t>
  </si>
  <si>
    <t>5.14</t>
  </si>
  <si>
    <t>701,638,490,771</t>
  </si>
  <si>
    <t>87,276,945,571</t>
  </si>
  <si>
    <t>2.19</t>
  </si>
  <si>
    <t>11.7</t>
  </si>
  <si>
    <t>474,013,021,330</t>
  </si>
  <si>
    <t>89,336,706,830</t>
  </si>
  <si>
    <t>9.9</t>
  </si>
  <si>
    <t>4.13</t>
  </si>
  <si>
    <t>1,812,153,990,818</t>
  </si>
  <si>
    <t>179,107,030,818</t>
  </si>
  <si>
    <t>4.8</t>
  </si>
  <si>
    <t>6.28</t>
  </si>
  <si>
    <t>2,172,170,195,650</t>
  </si>
  <si>
    <t>329,598,160,650</t>
  </si>
  <si>
    <t>2.21</t>
  </si>
  <si>
    <t>1,720,040,844,037</t>
  </si>
  <si>
    <t>294,916,136,037</t>
  </si>
  <si>
    <t>3.22</t>
  </si>
  <si>
    <t>1,606,086,750,603</t>
  </si>
  <si>
    <t>307,993,431,603</t>
  </si>
  <si>
    <t>NYダウ先物</t>
  </si>
  <si>
    <t>DJIA Futures</t>
  </si>
  <si>
    <t>2.26</t>
  </si>
  <si>
    <t>51,577,611,500</t>
  </si>
  <si>
    <t>1.23</t>
  </si>
  <si>
    <t>8.12</t>
  </si>
  <si>
    <t>114,997,685,700</t>
  </si>
  <si>
    <t>8.10</t>
  </si>
  <si>
    <t>9.29</t>
  </si>
  <si>
    <t>120,440,484,500</t>
  </si>
  <si>
    <t>6.21</t>
  </si>
  <si>
    <t>2.5</t>
  </si>
  <si>
    <t>5.15</t>
  </si>
  <si>
    <t>341,050,729,100</t>
  </si>
  <si>
    <t>1.29</t>
  </si>
  <si>
    <t>536,829,384,400</t>
  </si>
  <si>
    <t>6.20</t>
  </si>
  <si>
    <t>963,973,459,600</t>
  </si>
  <si>
    <t>67,303,331,500</t>
  </si>
  <si>
    <t>1.7</t>
  </si>
  <si>
    <t>971,585,561,780</t>
  </si>
  <si>
    <t>216,960,101,180</t>
  </si>
  <si>
    <t>6.23</t>
  </si>
  <si>
    <t>1,494,735,817,740</t>
  </si>
  <si>
    <t>352,628,201,040</t>
  </si>
  <si>
    <t>9.21</t>
  </si>
  <si>
    <t>2,225,606,109,280</t>
  </si>
  <si>
    <t>208,498,121,280</t>
  </si>
  <si>
    <t>4.20</t>
  </si>
  <si>
    <t>1,396,315,329,820</t>
  </si>
  <si>
    <t>35,997,711,720</t>
  </si>
  <si>
    <t>台湾加権指数先物</t>
  </si>
  <si>
    <t>TAIEX Futures</t>
  </si>
  <si>
    <t>7.20</t>
  </si>
  <si>
    <t>7.21</t>
  </si>
  <si>
    <t>184,821,300</t>
  </si>
  <si>
    <t>11.16</t>
  </si>
  <si>
    <t>260,588,800</t>
  </si>
  <si>
    <t>529,518,400</t>
  </si>
  <si>
    <t>1.12</t>
  </si>
  <si>
    <t>1,514,973,900</t>
  </si>
  <si>
    <t>1.20</t>
  </si>
  <si>
    <t>20,477,100</t>
  </si>
  <si>
    <t>4.15</t>
  </si>
  <si>
    <t>FTSE中国50指数先物</t>
  </si>
  <si>
    <t>FTSE China 50 Index Futures</t>
  </si>
  <si>
    <t>7,802,000</t>
  </si>
  <si>
    <t>8.2</t>
  </si>
  <si>
    <t>5,396,000</t>
  </si>
  <si>
    <t>1.27</t>
  </si>
  <si>
    <t>372,870,500</t>
  </si>
  <si>
    <t>日経平均・配当指数先物</t>
  </si>
  <si>
    <t>Nikkei 225 Dividend Index Futures</t>
  </si>
  <si>
    <t>10.19</t>
  </si>
  <si>
    <t>9,977,633,500</t>
  </si>
  <si>
    <t>8,752,268,500</t>
  </si>
  <si>
    <t>7.26</t>
  </si>
  <si>
    <t>4,151,100,000</t>
  </si>
  <si>
    <t>3,981,600,000</t>
  </si>
  <si>
    <t>9.22</t>
  </si>
  <si>
    <t>1.17</t>
  </si>
  <si>
    <t>8.24</t>
  </si>
  <si>
    <t>33,051,222,900</t>
  </si>
  <si>
    <t>32,958,822,900</t>
  </si>
  <si>
    <t>4.11</t>
  </si>
  <si>
    <t>18,887,843,600</t>
  </si>
  <si>
    <t>18,827,193,600</t>
  </si>
  <si>
    <t>5.20</t>
  </si>
  <si>
    <t>2.10</t>
  </si>
  <si>
    <t>8.11</t>
  </si>
  <si>
    <t>2,308,314,500</t>
  </si>
  <si>
    <t>2,296,869,500</t>
  </si>
  <si>
    <t>2.4</t>
  </si>
  <si>
    <t>34,264,500</t>
  </si>
  <si>
    <t>2,970,000</t>
  </si>
  <si>
    <t>9.24</t>
  </si>
  <si>
    <t>6,797,310,000</t>
  </si>
  <si>
    <t>2,522,065,000</t>
  </si>
  <si>
    <t>2,521,180,000</t>
  </si>
  <si>
    <t>1,206,188,500</t>
  </si>
  <si>
    <t>1,203,456,000</t>
  </si>
  <si>
    <t>11.1</t>
  </si>
  <si>
    <t>2.12</t>
  </si>
  <si>
    <t>12.20</t>
  </si>
  <si>
    <t>17,457,402,000</t>
  </si>
  <si>
    <t>17,455,560,000</t>
  </si>
  <si>
    <t>2,492,563,500</t>
  </si>
  <si>
    <t>2,447,734,000</t>
  </si>
  <si>
    <t>3.17</t>
  </si>
  <si>
    <t>6.25</t>
  </si>
  <si>
    <t>4,925,069,300</t>
  </si>
  <si>
    <t>4,909,403,300</t>
  </si>
  <si>
    <t>3,039,335,000</t>
  </si>
  <si>
    <t>7.4</t>
  </si>
  <si>
    <t>2,427,939,000</t>
  </si>
  <si>
    <t>2,418,564,000</t>
  </si>
  <si>
    <t>日経平均VI先物</t>
  </si>
  <si>
    <t>Nikkei 225 VI Futures</t>
  </si>
  <si>
    <t>18,789,994,500</t>
  </si>
  <si>
    <t>8,866,067,000</t>
  </si>
  <si>
    <t>12.18</t>
  </si>
  <si>
    <t>1.26</t>
  </si>
  <si>
    <t>47,963,936,000</t>
  </si>
  <si>
    <t>11,276,571,000</t>
  </si>
  <si>
    <t>11.4</t>
  </si>
  <si>
    <t>10,481,150,500</t>
  </si>
  <si>
    <t>1,372,000,000</t>
  </si>
  <si>
    <t>10.13</t>
  </si>
  <si>
    <t>2.22</t>
  </si>
  <si>
    <t>2,151,839,500</t>
  </si>
  <si>
    <t>188,420,500</t>
  </si>
  <si>
    <t>2,057,009,500</t>
  </si>
  <si>
    <t>2.1</t>
  </si>
  <si>
    <t>8.16</t>
  </si>
  <si>
    <t>9,060,787,500</t>
  </si>
  <si>
    <t>1.28</t>
  </si>
  <si>
    <t>6,911,865,000</t>
  </si>
  <si>
    <t>11.12</t>
  </si>
  <si>
    <t>7.1</t>
  </si>
  <si>
    <t>9,475,709,500</t>
  </si>
  <si>
    <t>11.22</t>
  </si>
  <si>
    <t>10.21</t>
  </si>
  <si>
    <t>1,237,793,000</t>
  </si>
  <si>
    <t>8.8</t>
  </si>
  <si>
    <t>8.31</t>
  </si>
  <si>
    <t>5.12</t>
  </si>
  <si>
    <t>592,079,500</t>
  </si>
  <si>
    <t>10.4</t>
  </si>
  <si>
    <t>日経平均トータルリターン・インデックス先物</t>
  </si>
  <si>
    <t>Nikkei 225 Total Return Index Futures</t>
  </si>
  <si>
    <t>S&amp;P/JPX 500 ESGスコア・ティルト指数先物</t>
  </si>
  <si>
    <t>S&amp;P/JPX 500 ESG Score Tilted Index Futures</t>
  </si>
  <si>
    <t>FTSE JPXネットゼロ・ジャパン500指数先物</t>
  </si>
  <si>
    <t>FTSE JPX Net Zero Japan 500 Index Futures</t>
  </si>
  <si>
    <t>日経気候変動指数先物</t>
  </si>
  <si>
    <t>Nikkei Climate 1.5C Target Index Futures</t>
  </si>
  <si>
    <t>中期国債先物</t>
  </si>
  <si>
    <t>5-year JGB Futures</t>
  </si>
  <si>
    <t>2.16</t>
  </si>
  <si>
    <t>8,919,001,360,000</t>
  </si>
  <si>
    <t>1.6</t>
  </si>
  <si>
    <t>24,489,529,120,000</t>
  </si>
  <si>
    <t>7.3</t>
  </si>
  <si>
    <t>14,195,536,160,000</t>
  </si>
  <si>
    <t>23,191,467,170,000</t>
  </si>
  <si>
    <t>6.3</t>
  </si>
  <si>
    <t>8,070,116,140,000</t>
  </si>
  <si>
    <t>3.24</t>
  </si>
  <si>
    <t>12,067,573,580,000</t>
  </si>
  <si>
    <t>6.26</t>
  </si>
  <si>
    <t>49,142,120,000</t>
  </si>
  <si>
    <t>3.20</t>
  </si>
  <si>
    <t>長期国債先物</t>
  </si>
  <si>
    <t>10-year JGB Futures</t>
  </si>
  <si>
    <t>1985</t>
  </si>
  <si>
    <t>10.25</t>
  </si>
  <si>
    <t>160,466,072,190,000</t>
  </si>
  <si>
    <t>1986</t>
  </si>
  <si>
    <t>1,431,057,439,670,000</t>
  </si>
  <si>
    <t>1987</t>
  </si>
  <si>
    <t>5.18</t>
  </si>
  <si>
    <t>1,841,700,651,230,000</t>
  </si>
  <si>
    <t>2,008,007,936,140,000</t>
  </si>
  <si>
    <t>1,895,113,099,340,000</t>
  </si>
  <si>
    <t>1,460,322,867,360,000</t>
  </si>
  <si>
    <t>7.12</t>
  </si>
  <si>
    <t>1,211,240,993,570,000</t>
  </si>
  <si>
    <t>2.9</t>
  </si>
  <si>
    <t>1,360,845,533,210,000</t>
  </si>
  <si>
    <t>1,666,039,453,070,000</t>
  </si>
  <si>
    <t>1,425,402,017,840,000</t>
  </si>
  <si>
    <t>2.23</t>
  </si>
  <si>
    <t>5.31</t>
  </si>
  <si>
    <t>1,607,886,423,180,000</t>
  </si>
  <si>
    <t>1,512,953,327,160,000</t>
  </si>
  <si>
    <t>1,446,881,502,860,000</t>
  </si>
  <si>
    <t>5.30</t>
  </si>
  <si>
    <t>1,455,668,267,940,000</t>
  </si>
  <si>
    <t>2.2</t>
  </si>
  <si>
    <t>1,334,033,659,370,000</t>
  </si>
  <si>
    <t>2.8</t>
  </si>
  <si>
    <t>1,216,536,355,060,000</t>
  </si>
  <si>
    <t>10.15</t>
  </si>
  <si>
    <t>973,911,603,290,000</t>
  </si>
  <si>
    <t>178,207,660,000</t>
  </si>
  <si>
    <t>830,587,863,760,000</t>
  </si>
  <si>
    <t>278,583,010,000</t>
  </si>
  <si>
    <t>968,928,711,620,000</t>
  </si>
  <si>
    <t>134,871,400,000</t>
  </si>
  <si>
    <t>1,139,672,591,120,000</t>
  </si>
  <si>
    <t>612,952,610,000</t>
  </si>
  <si>
    <t>1,508,313,354,590,000</t>
  </si>
  <si>
    <t>766,728,540,000</t>
  </si>
  <si>
    <t>1,577,754,084,780,000</t>
  </si>
  <si>
    <t>2,514,798,560,000</t>
  </si>
  <si>
    <t>1,907,709,172,630,000</t>
  </si>
  <si>
    <t>9,934,212,920,000</t>
  </si>
  <si>
    <t>1,191,267,829,530,000</t>
  </si>
  <si>
    <t>16,080,491,340,000</t>
  </si>
  <si>
    <t>979,698,044,070,000</t>
  </si>
  <si>
    <t>14,705,124,900,000</t>
  </si>
  <si>
    <t>1,127,497,367,470,000</t>
  </si>
  <si>
    <t>18,694,885,560,000</t>
  </si>
  <si>
    <t>1,022,476,678,110,000</t>
  </si>
  <si>
    <t>40,671,067,700,000</t>
  </si>
  <si>
    <t>7.5</t>
  </si>
  <si>
    <t>1,365,558,501,030,000</t>
  </si>
  <si>
    <t>82,260,059,710,000</t>
  </si>
  <si>
    <t>1,233,745,033,760,000</t>
  </si>
  <si>
    <t>94,443,383,820,000</t>
  </si>
  <si>
    <t>1,323,480,249,390,000</t>
  </si>
  <si>
    <t>81,106,216,110,000</t>
  </si>
  <si>
    <t>1,261,494,450,100,000</t>
  </si>
  <si>
    <t>64,713,098,930,000</t>
  </si>
  <si>
    <t>1,058,761,474,432,500</t>
  </si>
  <si>
    <t>54,235,960,972,500</t>
  </si>
  <si>
    <t>9.20</t>
  </si>
  <si>
    <t>8.7</t>
  </si>
  <si>
    <t>1,328,216,601,212,500</t>
  </si>
  <si>
    <t>78,504,702,872,500</t>
  </si>
  <si>
    <t>6.18</t>
  </si>
  <si>
    <t>1,553,192,783,238,400</t>
  </si>
  <si>
    <t>118,149,843,028,400</t>
  </si>
  <si>
    <t>1.8</t>
  </si>
  <si>
    <t>1,466,723,166,451,500</t>
  </si>
  <si>
    <t>92,895,418,141,500</t>
  </si>
  <si>
    <t>1,082,011,125,849,000</t>
  </si>
  <si>
    <t>70,277,093,119,000</t>
  </si>
  <si>
    <t>1,230,975,015,524,600</t>
  </si>
  <si>
    <t>97,840,664,164,600</t>
  </si>
  <si>
    <t>1,169,767,995,382,600</t>
  </si>
  <si>
    <t>126,984,671,042,600</t>
  </si>
  <si>
    <t>1,492,054,408,945,100</t>
  </si>
  <si>
    <t>164,613,536,775,100</t>
  </si>
  <si>
    <t>長期国債先物（現金決済型ミニ）</t>
  </si>
  <si>
    <t>mini-10-year JGB Futures (Cash-Settled)</t>
  </si>
  <si>
    <t>3.23</t>
  </si>
  <si>
    <t>223,242,000</t>
  </si>
  <si>
    <t>409,350,000</t>
  </si>
  <si>
    <t>4.24</t>
  </si>
  <si>
    <t>356,658,558,500</t>
  </si>
  <si>
    <t>293,989,118,500</t>
  </si>
  <si>
    <t>269,936,000</t>
  </si>
  <si>
    <t>7.31</t>
  </si>
  <si>
    <t>214,535,730,500</t>
  </si>
  <si>
    <t>2,209,744,000</t>
  </si>
  <si>
    <t>5.27</t>
  </si>
  <si>
    <t>564,387,999,500</t>
  </si>
  <si>
    <t>689,517,500</t>
  </si>
  <si>
    <t>10.9</t>
  </si>
  <si>
    <t>368,162,761,000</t>
  </si>
  <si>
    <t>1,338,516,000</t>
  </si>
  <si>
    <t>23,971,865,500</t>
  </si>
  <si>
    <t>212,863,000</t>
  </si>
  <si>
    <t>7.28</t>
  </si>
  <si>
    <t>25,052,845,500</t>
  </si>
  <si>
    <t>8.1</t>
  </si>
  <si>
    <t>51,167,216,000</t>
  </si>
  <si>
    <t>43,361,990,500</t>
  </si>
  <si>
    <t>12,009,824,500</t>
  </si>
  <si>
    <t>9.15</t>
  </si>
  <si>
    <t>18,245,424,500</t>
  </si>
  <si>
    <t>67,036,758,500</t>
  </si>
  <si>
    <t>7.8</t>
  </si>
  <si>
    <t>46,492,113,000</t>
  </si>
  <si>
    <t>5.25</t>
  </si>
  <si>
    <t>超長期国債先物（ミニ）</t>
  </si>
  <si>
    <t>mini-20-year JGB Futures</t>
  </si>
  <si>
    <t>5,450,785,840,000</t>
  </si>
  <si>
    <t>9.26</t>
  </si>
  <si>
    <t>2,361,015,320,000</t>
  </si>
  <si>
    <t>5.11</t>
  </si>
  <si>
    <t>888,592,250,000</t>
  </si>
  <si>
    <t>3.26</t>
  </si>
  <si>
    <t>544,519,720,000</t>
  </si>
  <si>
    <t>6.27</t>
  </si>
  <si>
    <t>365,890,110,000</t>
  </si>
  <si>
    <t>5.13</t>
  </si>
  <si>
    <t>303,393,970,000</t>
  </si>
  <si>
    <t>10.18</t>
  </si>
  <si>
    <t>381,377,350,000</t>
  </si>
  <si>
    <t>306,576,040,000</t>
  </si>
  <si>
    <t>12.4</t>
  </si>
  <si>
    <t>285,656,400,000</t>
  </si>
  <si>
    <t>257,060,760,000</t>
  </si>
  <si>
    <t>1,142,665,910,000</t>
  </si>
  <si>
    <t>318,473,770,000</t>
  </si>
  <si>
    <t>401,932,590,000</t>
  </si>
  <si>
    <t>92,135,770,000</t>
  </si>
  <si>
    <t>5.26</t>
  </si>
  <si>
    <t>68,149,240,000</t>
  </si>
  <si>
    <t>11,296,950,000</t>
  </si>
  <si>
    <t>34,359,770,000</t>
  </si>
  <si>
    <t>21,527,330,000</t>
  </si>
  <si>
    <t>3,047,480,000</t>
  </si>
  <si>
    <t>1,082,372,000</t>
  </si>
  <si>
    <t>44,880,000</t>
  </si>
  <si>
    <t>TONA3か月金利先物</t>
  </si>
  <si>
    <t>3-Month TONA Futures</t>
  </si>
  <si>
    <t>16,260,982,566,775</t>
  </si>
  <si>
    <t>56,479,530,400</t>
  </si>
  <si>
    <t>金標準先物</t>
  </si>
  <si>
    <t>Gold Standard Futures</t>
  </si>
  <si>
    <t>33,678,930,259,000</t>
  </si>
  <si>
    <t>18,865,822,000</t>
  </si>
  <si>
    <t>44,548,969,783,000</t>
  </si>
  <si>
    <t>5,320,069,000</t>
  </si>
  <si>
    <t>10.7</t>
  </si>
  <si>
    <t>10.24</t>
  </si>
  <si>
    <t>54,907,183,204,000</t>
  </si>
  <si>
    <t>6,905,776,000</t>
  </si>
  <si>
    <t>75,414,286,104,000</t>
  </si>
  <si>
    <t>12,079,872,000</t>
  </si>
  <si>
    <t>10.26</t>
  </si>
  <si>
    <t>金ミニ先物</t>
  </si>
  <si>
    <t>Gold Mini Futures</t>
  </si>
  <si>
    <t>933,617,250,100</t>
  </si>
  <si>
    <t>5,450,173,500</t>
  </si>
  <si>
    <t>1,285,866,892,800</t>
  </si>
  <si>
    <t>6,573,200</t>
  </si>
  <si>
    <t>5.10</t>
  </si>
  <si>
    <t>1,203,105,682,750</t>
  </si>
  <si>
    <t>53,419,350</t>
  </si>
  <si>
    <t>1,207,566,317,450</t>
  </si>
  <si>
    <t>59,619,450</t>
  </si>
  <si>
    <t>8.17</t>
  </si>
  <si>
    <t>10.6</t>
  </si>
  <si>
    <t>金限日先物</t>
  </si>
  <si>
    <t>Gold Rolling-Spot Futures</t>
  </si>
  <si>
    <t>490,197,278,400</t>
  </si>
  <si>
    <t>5,801,092,700</t>
  </si>
  <si>
    <t>11.18</t>
  </si>
  <si>
    <t>538,171,435,000</t>
  </si>
  <si>
    <t>576,080,700</t>
  </si>
  <si>
    <t>4.30</t>
  </si>
  <si>
    <t>1,065,944,891,800</t>
  </si>
  <si>
    <t>128,067,300</t>
  </si>
  <si>
    <t>2,029,588,383,900</t>
  </si>
  <si>
    <t>602,273,700</t>
  </si>
  <si>
    <t>銀先物</t>
  </si>
  <si>
    <t>Silver Futures</t>
  </si>
  <si>
    <t>41,401,568,000</t>
  </si>
  <si>
    <t>277,712,000</t>
  </si>
  <si>
    <t>35,165,581,000</t>
  </si>
  <si>
    <t>19,085,000</t>
  </si>
  <si>
    <t>7.6</t>
  </si>
  <si>
    <t>7.7</t>
  </si>
  <si>
    <t>8.26</t>
  </si>
  <si>
    <t>25,875,016,000</t>
  </si>
  <si>
    <t>21,023,000</t>
  </si>
  <si>
    <t>8,381,765,000</t>
  </si>
  <si>
    <t>23,480,000</t>
  </si>
  <si>
    <t>白金標準先物</t>
  </si>
  <si>
    <t>Platinum Standard Futures</t>
  </si>
  <si>
    <t>2,670,869,313,500</t>
  </si>
  <si>
    <t>1,363,473,500</t>
  </si>
  <si>
    <t>4,789,976,793,000</t>
  </si>
  <si>
    <t>2,584,368,500</t>
  </si>
  <si>
    <t>5,001,684,606,500</t>
  </si>
  <si>
    <t>808,317,000</t>
  </si>
  <si>
    <t>5,554,505,565,000</t>
  </si>
  <si>
    <t>12,231,653,500</t>
  </si>
  <si>
    <t>4.26</t>
  </si>
  <si>
    <t>白金ミニ先物</t>
  </si>
  <si>
    <t>Platinum Mini Futures</t>
  </si>
  <si>
    <t>7.30</t>
  </si>
  <si>
    <t>69,888,057,400</t>
  </si>
  <si>
    <t>113,795,700</t>
  </si>
  <si>
    <t>10.20</t>
  </si>
  <si>
    <t>159,137,883,800</t>
  </si>
  <si>
    <t>18,644,800</t>
  </si>
  <si>
    <t>3.29</t>
  </si>
  <si>
    <t>163,628,147,950</t>
  </si>
  <si>
    <t>27,330,400</t>
  </si>
  <si>
    <t>11.15</t>
  </si>
  <si>
    <t>94,982,928,000</t>
  </si>
  <si>
    <t>1,249,100</t>
  </si>
  <si>
    <t>7.10</t>
  </si>
  <si>
    <t>白金限日先物</t>
  </si>
  <si>
    <t>Platinum Rolling-Spot Futures</t>
  </si>
  <si>
    <t>27,279,853,500</t>
  </si>
  <si>
    <t>451,300</t>
  </si>
  <si>
    <t>8.27</t>
  </si>
  <si>
    <t>43,616,491,900</t>
  </si>
  <si>
    <t>407,145,900</t>
  </si>
  <si>
    <t>8.4</t>
  </si>
  <si>
    <t>117,017,851,000</t>
  </si>
  <si>
    <t>2,636,100</t>
  </si>
  <si>
    <t>413,354,686,500</t>
  </si>
  <si>
    <t>25,668,000</t>
  </si>
  <si>
    <t>パラジウム先物</t>
  </si>
  <si>
    <t>Palladium Futures</t>
  </si>
  <si>
    <t>9.30</t>
  </si>
  <si>
    <t>11,630,305,500</t>
  </si>
  <si>
    <t>526,715,000</t>
  </si>
  <si>
    <t>2.15</t>
  </si>
  <si>
    <t>4,642,581,000</t>
  </si>
  <si>
    <t>3,826,000</t>
  </si>
  <si>
    <t>386,339,500</t>
  </si>
  <si>
    <t>36,782,500</t>
  </si>
  <si>
    <t>CME原油等指数先物</t>
  </si>
  <si>
    <t>CME Petroleum Index Futures</t>
  </si>
  <si>
    <t>10.29</t>
  </si>
  <si>
    <t>25,511,446,600</t>
  </si>
  <si>
    <t>260,685,000</t>
  </si>
  <si>
    <t>10.8</t>
  </si>
  <si>
    <t>1,001,652,500</t>
  </si>
  <si>
    <t>48,589,500</t>
  </si>
  <si>
    <t>846,721,500</t>
  </si>
  <si>
    <t>84,374,000</t>
  </si>
  <si>
    <t>ゴム（RSS3）先物</t>
  </si>
  <si>
    <t>RSS3 Rubber Futures</t>
  </si>
  <si>
    <t>10.30</t>
  </si>
  <si>
    <t>905,727,240,500</t>
  </si>
  <si>
    <t>4,378,240,500</t>
  </si>
  <si>
    <t>781,146,087,200</t>
  </si>
  <si>
    <t>3,589,045,700</t>
  </si>
  <si>
    <t>5.6</t>
  </si>
  <si>
    <t>675,860,361,500</t>
  </si>
  <si>
    <t>2,994,486,500</t>
  </si>
  <si>
    <t>750,927,161,500</t>
  </si>
  <si>
    <t>5,738,154,500</t>
  </si>
  <si>
    <t>1.9</t>
  </si>
  <si>
    <t>ゴム（TSR20）先物</t>
  </si>
  <si>
    <t>TSR20 Rubber Futures</t>
  </si>
  <si>
    <t>66,140,000</t>
  </si>
  <si>
    <t>29,000,000</t>
  </si>
  <si>
    <t>9.25</t>
  </si>
  <si>
    <t>11.8</t>
  </si>
  <si>
    <t>628,712,000</t>
  </si>
  <si>
    <t>18,901,000</t>
  </si>
  <si>
    <t>398,756,000</t>
  </si>
  <si>
    <t>46,476,000</t>
  </si>
  <si>
    <t>とうもろこし先物</t>
  </si>
  <si>
    <t>Corn Futures</t>
  </si>
  <si>
    <t>41,896,705,500</t>
  </si>
  <si>
    <t>478,066,000</t>
  </si>
  <si>
    <t>131,961,111,000</t>
  </si>
  <si>
    <t>824,012,500</t>
  </si>
  <si>
    <t>4.9</t>
  </si>
  <si>
    <t>113,025,619,500</t>
  </si>
  <si>
    <t>3,971,570,000</t>
  </si>
  <si>
    <t>35,069,852,000</t>
  </si>
  <si>
    <t>1,141,079,500</t>
  </si>
  <si>
    <t>一般大豆先物</t>
  </si>
  <si>
    <t>Soybean Futures</t>
  </si>
  <si>
    <t>2,420,000</t>
  </si>
  <si>
    <t>3,152,500</t>
  </si>
  <si>
    <t>小豆先物</t>
  </si>
  <si>
    <t>Azuki (Red Bean) Futures</t>
  </si>
  <si>
    <t>23,232,800</t>
  </si>
  <si>
    <t>1,700,000</t>
  </si>
  <si>
    <t>1,952,800</t>
  </si>
  <si>
    <t>バージガソリン先物</t>
  </si>
  <si>
    <t>Gasoline Futures</t>
  </si>
  <si>
    <t>84,698,555,000</t>
  </si>
  <si>
    <t>4,971,274,000</t>
  </si>
  <si>
    <t>87,469,570,000</t>
  </si>
  <si>
    <t>6,681,359,500</t>
  </si>
  <si>
    <t>1,912,285,000</t>
  </si>
  <si>
    <t>496,037,500</t>
  </si>
  <si>
    <t>バージ灯油先物</t>
  </si>
  <si>
    <t>Kerosene Futures</t>
  </si>
  <si>
    <t>56,566,013,000</t>
  </si>
  <si>
    <t>4,585,688,500</t>
  </si>
  <si>
    <t>11.20</t>
  </si>
  <si>
    <t>49,764,784,000</t>
  </si>
  <si>
    <t>6,802,070,500</t>
  </si>
  <si>
    <t>11.21</t>
  </si>
  <si>
    <t>2,143,808,500</t>
  </si>
  <si>
    <t>912,845,000</t>
  </si>
  <si>
    <t>4,200,000</t>
  </si>
  <si>
    <t>バージ軽油先物</t>
  </si>
  <si>
    <t>Gas Oil Futures</t>
  </si>
  <si>
    <t>プラッツドバイ原油先物</t>
  </si>
  <si>
    <t>Platts Dubai Crude Oil Futures</t>
  </si>
  <si>
    <t>5,589,952,894,500</t>
  </si>
  <si>
    <t>65,193,466,000</t>
  </si>
  <si>
    <t>9,361,053,541,000</t>
  </si>
  <si>
    <t>180,062,556,500</t>
  </si>
  <si>
    <t>7,563,081,024,100</t>
  </si>
  <si>
    <t>179,262,926,600</t>
  </si>
  <si>
    <t>8.29</t>
  </si>
  <si>
    <t>6,089,979,661,250</t>
  </si>
  <si>
    <t>97,606,699,250</t>
  </si>
  <si>
    <t>東エリア・ベースロード電力先物</t>
  </si>
  <si>
    <t>East Area Baseload Electricity Futures</t>
  </si>
  <si>
    <t>3,336,967,200</t>
  </si>
  <si>
    <t>3,006,278,784</t>
  </si>
  <si>
    <t>11,190,336,840</t>
  </si>
  <si>
    <t>9,981,402,096</t>
  </si>
  <si>
    <t>30,445,099,128</t>
  </si>
  <si>
    <t>27,471,121,872</t>
  </si>
  <si>
    <t>6,901,849,008</t>
  </si>
  <si>
    <t>4,425,611,664</t>
  </si>
  <si>
    <t>西エリア・ベースロード電力先物</t>
  </si>
  <si>
    <t>West Area Baseload Electricity Futures</t>
  </si>
  <si>
    <t>650,484,816</t>
  </si>
  <si>
    <t>577,832,160</t>
  </si>
  <si>
    <t>12.23</t>
  </si>
  <si>
    <t>4,353,134,064</t>
  </si>
  <si>
    <t>3,759,780,816</t>
  </si>
  <si>
    <t>10.14</t>
  </si>
  <si>
    <t>7.16</t>
  </si>
  <si>
    <t>9,991,776,408</t>
  </si>
  <si>
    <t>9,389,644,608</t>
  </si>
  <si>
    <t>1,603,360,008</t>
  </si>
  <si>
    <t>950,322,720</t>
  </si>
  <si>
    <t>東エリア・日中ロード電力先物</t>
  </si>
  <si>
    <t>East Area Peakload Electricity Futures</t>
  </si>
  <si>
    <t>560,830,872</t>
  </si>
  <si>
    <t>503,660,400</t>
  </si>
  <si>
    <t>1,026,558,600</t>
  </si>
  <si>
    <t>787,771,080</t>
  </si>
  <si>
    <t>4,684,166,544</t>
  </si>
  <si>
    <t>4,556,756,892</t>
  </si>
  <si>
    <t>6.30</t>
  </si>
  <si>
    <t>4.25</t>
  </si>
  <si>
    <t>1,050,412,404</t>
  </si>
  <si>
    <t>777,397,440</t>
  </si>
  <si>
    <t>西エリア・日中ロード電力先物</t>
  </si>
  <si>
    <t>West Area Peakload Electricity Futures</t>
  </si>
  <si>
    <t>136,020,408</t>
  </si>
  <si>
    <t>116,976,000</t>
  </si>
  <si>
    <t>562,488,984</t>
  </si>
  <si>
    <t>383,961,240</t>
  </si>
  <si>
    <t>2,889,622,260</t>
  </si>
  <si>
    <t>2,874,062,340</t>
  </si>
  <si>
    <t>201,131,952</t>
  </si>
  <si>
    <t>58,150,800</t>
  </si>
  <si>
    <t>東エリア・週間ベースロード電力先物</t>
  </si>
  <si>
    <t>East Area Baseload Electricity Futures (Weekly)</t>
  </si>
  <si>
    <t>1,515,360</t>
  </si>
  <si>
    <t>西エリア・週間ベースロード電力先物</t>
  </si>
  <si>
    <t>West Area Baseload Electricity Futures (Weekly)</t>
  </si>
  <si>
    <t>991,536</t>
  </si>
  <si>
    <t>東エリア・週間日中ロード電力先物</t>
  </si>
  <si>
    <t>East Area Peakload Electricity Futures (Weekly)</t>
  </si>
  <si>
    <t>西エリア・週間日中ロード電力先物</t>
  </si>
  <si>
    <t>West Area Peakload Electricity Futures (Weekly)</t>
  </si>
  <si>
    <t>348,000</t>
  </si>
  <si>
    <t>LNG（プラッツJKM）先物</t>
  </si>
  <si>
    <t>LNG（Platts JKM）Futures</t>
  </si>
  <si>
    <t>18,200,000</t>
  </si>
  <si>
    <t>3,550,000</t>
  </si>
  <si>
    <t>中京ローリーガソリン先物</t>
  </si>
  <si>
    <t>Chukyo Gasoline Futures</t>
  </si>
  <si>
    <t>8.14</t>
  </si>
  <si>
    <t>2,731,825,600</t>
  </si>
  <si>
    <t>598,279,000</t>
  </si>
  <si>
    <t>3,758,512,600</t>
  </si>
  <si>
    <t>1,293,205,100</t>
  </si>
  <si>
    <t>1,064,036,900</t>
  </si>
  <si>
    <t>346,274,600</t>
  </si>
  <si>
    <t>1,286,635,200</t>
  </si>
  <si>
    <t>698,404,600</t>
  </si>
  <si>
    <t>中京ローリー灯油先物</t>
  </si>
  <si>
    <t>Chukyo Kerosene Futures</t>
  </si>
  <si>
    <t>3,782,459,300</t>
  </si>
  <si>
    <t>975,574,000</t>
  </si>
  <si>
    <t>11.19</t>
  </si>
  <si>
    <t>4,037,099,300</t>
  </si>
  <si>
    <t>1,255,127,100</t>
  </si>
  <si>
    <t>516,243,800</t>
  </si>
  <si>
    <t>152,235,800</t>
  </si>
  <si>
    <t>342,040,400</t>
  </si>
  <si>
    <t>54,739,000</t>
  </si>
  <si>
    <t>日経225オプション</t>
  </si>
  <si>
    <t>Nikkei 225 Options</t>
  </si>
  <si>
    <t>プット</t>
  </si>
  <si>
    <t>Put</t>
  </si>
  <si>
    <t>1,068,360,008,000</t>
  </si>
  <si>
    <t>765,124,833,000</t>
  </si>
  <si>
    <t>コール</t>
  </si>
  <si>
    <t>Call</t>
  </si>
  <si>
    <t>1,329,843,482,000</t>
  </si>
  <si>
    <t>1,007,870,048,000</t>
  </si>
  <si>
    <t>合計</t>
  </si>
  <si>
    <t>Total</t>
  </si>
  <si>
    <t>2,398,203,490,000</t>
  </si>
  <si>
    <t>1,772,994,881,000</t>
  </si>
  <si>
    <t>4,208,244,240,000</t>
  </si>
  <si>
    <t>2,788,560,428,000</t>
  </si>
  <si>
    <t>3,310,827,857,000</t>
  </si>
  <si>
    <t>2,247,466,084,000</t>
  </si>
  <si>
    <t>7,519,072,097,000</t>
  </si>
  <si>
    <t>5,036,026,512,000</t>
  </si>
  <si>
    <t>3,089,824,222,865</t>
  </si>
  <si>
    <t>2,270,071,615,865</t>
  </si>
  <si>
    <t>2,991,873,463,860</t>
  </si>
  <si>
    <t>2,267,553,533,860</t>
  </si>
  <si>
    <t>2.20</t>
  </si>
  <si>
    <t>6,081,697,686,725</t>
  </si>
  <si>
    <t>4,537,625,149,725</t>
  </si>
  <si>
    <t>3,620,026,905,263</t>
  </si>
  <si>
    <t>2,728,780,561,263</t>
  </si>
  <si>
    <t>2,998,165,006,944</t>
  </si>
  <si>
    <t>2,258,422,993,944</t>
  </si>
  <si>
    <t>6,618,191,912,207</t>
  </si>
  <si>
    <t>4,987,203,555,207</t>
  </si>
  <si>
    <t>3,490,775,939,624</t>
  </si>
  <si>
    <t>2,549,637,803,124</t>
  </si>
  <si>
    <t>8.6</t>
  </si>
  <si>
    <t>2,130,518,171,188</t>
  </si>
  <si>
    <t>1,427,311,827,688</t>
  </si>
  <si>
    <t>5,621,294,110,812</t>
  </si>
  <si>
    <t>3,976,949,630,812</t>
  </si>
  <si>
    <t>4,312,959,297,609</t>
  </si>
  <si>
    <t>2,997,293,017,609</t>
  </si>
  <si>
    <t>2,157,878,341,684</t>
  </si>
  <si>
    <t>1,362,433,576,684</t>
  </si>
  <si>
    <t>6,470,837,639,293</t>
  </si>
  <si>
    <t>4,359,726,594,293</t>
  </si>
  <si>
    <t>3,708,865,451,057</t>
  </si>
  <si>
    <t>2,604,108,861,057</t>
  </si>
  <si>
    <t>2,785,658,623,848</t>
  </si>
  <si>
    <t>1,825,150,351,848</t>
  </si>
  <si>
    <t>6,494,524,074,905</t>
  </si>
  <si>
    <t>4,429,259,212,905</t>
  </si>
  <si>
    <t>3,635,897,916,317</t>
  </si>
  <si>
    <t>2,571,400,458,317</t>
  </si>
  <si>
    <t>2,113,001,677,296</t>
  </si>
  <si>
    <t>1,336,332,414,296</t>
  </si>
  <si>
    <t>5,748,899,593,613</t>
  </si>
  <si>
    <t>3,907,732,872,613</t>
  </si>
  <si>
    <t>3,948,117,766,743</t>
  </si>
  <si>
    <t>3,085,415,585,743</t>
  </si>
  <si>
    <t>2,355,343,572,837</t>
  </si>
  <si>
    <t>1,724,489,193,837</t>
  </si>
  <si>
    <t>6,303,461,339,580</t>
  </si>
  <si>
    <t>4,809,904,779,580</t>
  </si>
  <si>
    <t>3,436,425,997,190</t>
  </si>
  <si>
    <t>2,699,712,295,190</t>
  </si>
  <si>
    <t>2,991,782,340,006</t>
  </si>
  <si>
    <t>2,181,820,269,006</t>
  </si>
  <si>
    <t>6,428,208,337,196</t>
  </si>
  <si>
    <t>4,881,532,564,196</t>
  </si>
  <si>
    <t>日経225ミニオプション</t>
  </si>
  <si>
    <t>Nikkei 225 mini Options</t>
  </si>
  <si>
    <t>44,513,717,330</t>
  </si>
  <si>
    <t>2,278,857,330</t>
  </si>
  <si>
    <t>6.2</t>
  </si>
  <si>
    <t>46,858,866,070</t>
  </si>
  <si>
    <t>2,830,366,170</t>
  </si>
  <si>
    <t>91,372,583,400</t>
  </si>
  <si>
    <t>5,109,223,500</t>
  </si>
  <si>
    <t>TOPIXオプション</t>
  </si>
  <si>
    <t>TOPIX Options</t>
  </si>
  <si>
    <t>285,839,245,000</t>
  </si>
  <si>
    <t>557,350,245,000</t>
  </si>
  <si>
    <t>843,189,490,000</t>
  </si>
  <si>
    <t>58,074,130,000</t>
  </si>
  <si>
    <t>11.2</t>
  </si>
  <si>
    <t>143,493,710,000</t>
  </si>
  <si>
    <t>9.27</t>
  </si>
  <si>
    <t>201,567,840,000</t>
  </si>
  <si>
    <t>6,124,020,000</t>
  </si>
  <si>
    <t>24,900,635,000</t>
  </si>
  <si>
    <t>31,024,655,000</t>
  </si>
  <si>
    <t>4.17</t>
  </si>
  <si>
    <t>3,593,855,000</t>
  </si>
  <si>
    <t>11.17</t>
  </si>
  <si>
    <t>4,434,835,000</t>
  </si>
  <si>
    <t>8,028,690,000</t>
  </si>
  <si>
    <t>3,080,900,000</t>
  </si>
  <si>
    <t>11.24</t>
  </si>
  <si>
    <t>4,258,015,000</t>
  </si>
  <si>
    <t>7,338,915,000</t>
  </si>
  <si>
    <t>1,756,450,000</t>
  </si>
  <si>
    <t>2.27</t>
  </si>
  <si>
    <t>1,440,010,000</t>
  </si>
  <si>
    <t>3,196,460,000</t>
  </si>
  <si>
    <t>1,524,275,000</t>
  </si>
  <si>
    <t>7,606,760,000</t>
  </si>
  <si>
    <t>9,131,035,000</t>
  </si>
  <si>
    <t>1,489,190,000</t>
  </si>
  <si>
    <t>1.10</t>
  </si>
  <si>
    <t>1,553,910,000</t>
  </si>
  <si>
    <t>1.14</t>
  </si>
  <si>
    <t>11.29</t>
  </si>
  <si>
    <t>3,043,100,000</t>
  </si>
  <si>
    <t>876,115,000</t>
  </si>
  <si>
    <t>839,610,000</t>
  </si>
  <si>
    <t>1,715,725,000</t>
  </si>
  <si>
    <t>10.1</t>
  </si>
  <si>
    <t>67,420,000</t>
  </si>
  <si>
    <t>59,255,000</t>
  </si>
  <si>
    <t>126,675,000</t>
  </si>
  <si>
    <t>671,300,000</t>
  </si>
  <si>
    <t>1.18</t>
  </si>
  <si>
    <t>634,200,000</t>
  </si>
  <si>
    <t>1.21</t>
  </si>
  <si>
    <t>1,305,500,000</t>
  </si>
  <si>
    <t>194,815,000</t>
  </si>
  <si>
    <t>90,540,000</t>
  </si>
  <si>
    <t>285,355,000</t>
  </si>
  <si>
    <t>10.12</t>
  </si>
  <si>
    <t>2,792,120,000</t>
  </si>
  <si>
    <t>1,711,690,000</t>
  </si>
  <si>
    <t>4,503,810,000</t>
  </si>
  <si>
    <t>20,905,632,000</t>
  </si>
  <si>
    <t>5,373,185,000</t>
  </si>
  <si>
    <t>26,278,817,000</t>
  </si>
  <si>
    <t>2,950,319,000</t>
  </si>
  <si>
    <t>12.15</t>
  </si>
  <si>
    <t>8,954,875,000</t>
  </si>
  <si>
    <t>11,905,194,000</t>
  </si>
  <si>
    <t>666,375,000</t>
  </si>
  <si>
    <t>7,147,275,000</t>
  </si>
  <si>
    <t>7,813,650,000</t>
  </si>
  <si>
    <t>672,695,000</t>
  </si>
  <si>
    <t>17,476,650,000</t>
  </si>
  <si>
    <t>18,149,345,000</t>
  </si>
  <si>
    <t>1,250,259,000</t>
  </si>
  <si>
    <t>12,618,400,000</t>
  </si>
  <si>
    <t>13,868,659,000</t>
  </si>
  <si>
    <t>13,533,505,000</t>
  </si>
  <si>
    <t>10,550,790,000</t>
  </si>
  <si>
    <t>10,083,594,000</t>
  </si>
  <si>
    <t>5,558,043,000</t>
  </si>
  <si>
    <t>23,617,099,000</t>
  </si>
  <si>
    <t>16,108,833,000</t>
  </si>
  <si>
    <t>35,663,247,000</t>
  </si>
  <si>
    <t>35,514,952,000</t>
  </si>
  <si>
    <t>9,372,878,000</t>
  </si>
  <si>
    <t>9,262,478,000</t>
  </si>
  <si>
    <t>45,036,125,000</t>
  </si>
  <si>
    <t>44,777,430,000</t>
  </si>
  <si>
    <t>7,099,172,000</t>
  </si>
  <si>
    <t>7,097,206,000</t>
  </si>
  <si>
    <t>18,062,965,000</t>
  </si>
  <si>
    <t>18,053,745,000</t>
  </si>
  <si>
    <t>25,162,137,000</t>
  </si>
  <si>
    <t>25,150,951,000</t>
  </si>
  <si>
    <t>7,886,023,000</t>
  </si>
  <si>
    <t>11,276,170,000</t>
  </si>
  <si>
    <t>11,275,520,000</t>
  </si>
  <si>
    <t>19,162,193,000</t>
  </si>
  <si>
    <t>19,161,543,000</t>
  </si>
  <si>
    <t>1,799,848,000</t>
  </si>
  <si>
    <t>2,508,869,000</t>
  </si>
  <si>
    <t>2,506,260,000</t>
  </si>
  <si>
    <t>4,308,717,000</t>
  </si>
  <si>
    <t>4,306,108,000</t>
  </si>
  <si>
    <t>2,158,833,000</t>
  </si>
  <si>
    <t>30,792,094,000</t>
  </si>
  <si>
    <t>32,950,927,000</t>
  </si>
  <si>
    <t>24,345,385,000</t>
  </si>
  <si>
    <t>80,043,492,000</t>
  </si>
  <si>
    <t>104,388,877,000</t>
  </si>
  <si>
    <t>28,091,154,000</t>
  </si>
  <si>
    <t>28,077,656,000</t>
  </si>
  <si>
    <t>11.13</t>
  </si>
  <si>
    <t>46,640,057,000</t>
  </si>
  <si>
    <t>46,635,384,000</t>
  </si>
  <si>
    <t>74,731,211,000</t>
  </si>
  <si>
    <t>74,713,040,000</t>
  </si>
  <si>
    <t>19,871,792,000</t>
  </si>
  <si>
    <t>19,681,250,000</t>
  </si>
  <si>
    <t>2.3</t>
  </si>
  <si>
    <t>34,475,116,000</t>
  </si>
  <si>
    <t>34,430,346,000</t>
  </si>
  <si>
    <t>54,346,908,000</t>
  </si>
  <si>
    <t>54,111,596,000</t>
  </si>
  <si>
    <t>26,546,625,595</t>
  </si>
  <si>
    <t>26,503,348,595</t>
  </si>
  <si>
    <t>18,585,689,639</t>
  </si>
  <si>
    <t>18,433,457,639</t>
  </si>
  <si>
    <t>45,132,315,234</t>
  </si>
  <si>
    <t>44,936,806,234</t>
  </si>
  <si>
    <t>46,526,922,331</t>
  </si>
  <si>
    <t>46,411,056,331</t>
  </si>
  <si>
    <t>36,879,622,262</t>
  </si>
  <si>
    <t>1.11</t>
  </si>
  <si>
    <t>83,406,544,593</t>
  </si>
  <si>
    <t>83,290,678,593</t>
  </si>
  <si>
    <t>37,697,681,526</t>
  </si>
  <si>
    <t>21,699,673,150</t>
  </si>
  <si>
    <t>59,397,354,676</t>
  </si>
  <si>
    <t>81,527,335,658</t>
  </si>
  <si>
    <t>81,502,250,658</t>
  </si>
  <si>
    <t>26,700,345,509</t>
  </si>
  <si>
    <t>108,227,681,167</t>
  </si>
  <si>
    <t>108,202,596,167</t>
  </si>
  <si>
    <t>1.19</t>
  </si>
  <si>
    <t>66,195,974,717</t>
  </si>
  <si>
    <t>38,983,318,361</t>
  </si>
  <si>
    <t>105,179,293,078</t>
  </si>
  <si>
    <t>106,898,159,322</t>
  </si>
  <si>
    <t>106,887,889,322</t>
  </si>
  <si>
    <t>46,207,931,296</t>
  </si>
  <si>
    <t>46,198,946,296</t>
  </si>
  <si>
    <t>153,106,090,618</t>
  </si>
  <si>
    <t>153,086,835,618</t>
  </si>
  <si>
    <t>149,578,650,814</t>
  </si>
  <si>
    <t>149,484,718,814</t>
  </si>
  <si>
    <t>7.11</t>
  </si>
  <si>
    <t>39,190,902,324</t>
  </si>
  <si>
    <t>39,162,602,324</t>
  </si>
  <si>
    <t>188,769,553,138</t>
  </si>
  <si>
    <t>188,647,321,138</t>
  </si>
  <si>
    <t>2.29</t>
  </si>
  <si>
    <t>189,300,013,863</t>
  </si>
  <si>
    <t>188,945,664,863</t>
  </si>
  <si>
    <t>153,770,132,243</t>
  </si>
  <si>
    <t>152,468,279,243</t>
  </si>
  <si>
    <t>343,070,146,106</t>
  </si>
  <si>
    <t>341,413,944,106</t>
  </si>
  <si>
    <t>JPX日経インデックス400オプション</t>
  </si>
  <si>
    <t>JPX-Nikkei Index 400 Options</t>
  </si>
  <si>
    <t>44,610,000</t>
  </si>
  <si>
    <t>44,010,000</t>
  </si>
  <si>
    <t>460,000</t>
  </si>
  <si>
    <t>88,620,000</t>
  </si>
  <si>
    <t>東証銀行業株価指数オプション</t>
  </si>
  <si>
    <t>TOPIX Banks Index Options</t>
  </si>
  <si>
    <t>東証REIT指数オプション</t>
  </si>
  <si>
    <t>TSE REIT Index Options</t>
  </si>
  <si>
    <t>長期国債先物オプション</t>
  </si>
  <si>
    <t>Options on 10-year JGB Futures</t>
  </si>
  <si>
    <t>742,524,150,000</t>
  </si>
  <si>
    <t>843,627,120,000</t>
  </si>
  <si>
    <t>1,586,151,270,000</t>
  </si>
  <si>
    <t>1.24</t>
  </si>
  <si>
    <t>197,916,480,000</t>
  </si>
  <si>
    <t>414,733,960,000</t>
  </si>
  <si>
    <t>612,650,440,000</t>
  </si>
  <si>
    <t>164,284,280,000</t>
  </si>
  <si>
    <t>379,431,930,000</t>
  </si>
  <si>
    <t>543,716,210,000</t>
  </si>
  <si>
    <t>348,399,190,000</t>
  </si>
  <si>
    <t>483,268,460,000</t>
  </si>
  <si>
    <t>831,667,650,000</t>
  </si>
  <si>
    <t>11.26</t>
  </si>
  <si>
    <t>391,581,480,000</t>
  </si>
  <si>
    <t>432,127,240,000</t>
  </si>
  <si>
    <t>823,708,720,000</t>
  </si>
  <si>
    <t>377,078,510,000</t>
  </si>
  <si>
    <t>471,338,650,000</t>
  </si>
  <si>
    <t>4.27</t>
  </si>
  <si>
    <t>848,417,160,000</t>
  </si>
  <si>
    <t>315,574,680,000</t>
  </si>
  <si>
    <t>429,039,900,000</t>
  </si>
  <si>
    <t>7.23</t>
  </si>
  <si>
    <t>744,614,580,000</t>
  </si>
  <si>
    <t>4.28</t>
  </si>
  <si>
    <t>336,735,110,000</t>
  </si>
  <si>
    <t>8.21</t>
  </si>
  <si>
    <t>328,323,970,000</t>
  </si>
  <si>
    <t>665,059,080,000</t>
  </si>
  <si>
    <t>438,771,370,000</t>
  </si>
  <si>
    <t>292,787,580,000</t>
  </si>
  <si>
    <t>731,558,950,000</t>
  </si>
  <si>
    <t>251,746,420,000</t>
  </si>
  <si>
    <t>180,428,810,000</t>
  </si>
  <si>
    <t>432,175,230,000</t>
  </si>
  <si>
    <t>152,671,700,000</t>
  </si>
  <si>
    <t>153,276,380,000</t>
  </si>
  <si>
    <t>7.24</t>
  </si>
  <si>
    <t>305,948,080,000</t>
  </si>
  <si>
    <t>142,200,190,000</t>
  </si>
  <si>
    <t>97,654,690,000</t>
  </si>
  <si>
    <t>239,854,880,000</t>
  </si>
  <si>
    <t>1.30</t>
  </si>
  <si>
    <t>85,607,520,000</t>
  </si>
  <si>
    <t>85,803,760,000</t>
  </si>
  <si>
    <t>171,411,280,000</t>
  </si>
  <si>
    <t>214,687,370,000</t>
  </si>
  <si>
    <t>121,237,660,000</t>
  </si>
  <si>
    <t>335,925,030,000</t>
  </si>
  <si>
    <t>196,836,290,000</t>
  </si>
  <si>
    <t>139,959,760,000</t>
  </si>
  <si>
    <t>336,796,050,000</t>
  </si>
  <si>
    <t>268,511,660,000</t>
  </si>
  <si>
    <t>151,522,800,000</t>
  </si>
  <si>
    <t>420,034,460,000</t>
  </si>
  <si>
    <t>258,208,030,000</t>
  </si>
  <si>
    <t>761,860,000</t>
  </si>
  <si>
    <t>197,714,220,000</t>
  </si>
  <si>
    <t>506,170,000</t>
  </si>
  <si>
    <t>455,922,250,000</t>
  </si>
  <si>
    <t>1,268,030,000</t>
  </si>
  <si>
    <t>344,972,290,000</t>
  </si>
  <si>
    <t>51,163,270,000</t>
  </si>
  <si>
    <t>374,940,750,000</t>
  </si>
  <si>
    <t>45,813,800,000</t>
  </si>
  <si>
    <t>719,913,040,000</t>
  </si>
  <si>
    <t>96,977,070,000</t>
  </si>
  <si>
    <t>10.10</t>
  </si>
  <si>
    <t>326,346,710,000</t>
  </si>
  <si>
    <t>51,670,220,000</t>
  </si>
  <si>
    <t>327,271,050,000</t>
  </si>
  <si>
    <t>46,633,660,000</t>
  </si>
  <si>
    <t>653,617,760,000</t>
  </si>
  <si>
    <t>98,303,880,000</t>
  </si>
  <si>
    <t>258,440,320,000</t>
  </si>
  <si>
    <t>22,389,190,000</t>
  </si>
  <si>
    <t>294,944,670,000</t>
  </si>
  <si>
    <t>32,589,630,000</t>
  </si>
  <si>
    <t>553,384,990,000</t>
  </si>
  <si>
    <t>54,978,820,000</t>
  </si>
  <si>
    <t>205,514,860,000</t>
  </si>
  <si>
    <t>26,207,180,000</t>
  </si>
  <si>
    <t>201,009,410,000</t>
  </si>
  <si>
    <t>31,704,450,000</t>
  </si>
  <si>
    <t>406,524,270,000</t>
  </si>
  <si>
    <t>57,911,630,000</t>
  </si>
  <si>
    <t>185,066,180,000</t>
  </si>
  <si>
    <t>29,296,690,000</t>
  </si>
  <si>
    <t>157,127,350,000</t>
  </si>
  <si>
    <t>25,992,930,000</t>
  </si>
  <si>
    <t>342,193,530,000</t>
  </si>
  <si>
    <t>55,289,620,000</t>
  </si>
  <si>
    <t>158,208,790,000</t>
  </si>
  <si>
    <t>20,576,110,000</t>
  </si>
  <si>
    <t>129,053,360,000</t>
  </si>
  <si>
    <t>24,425,180,000</t>
  </si>
  <si>
    <t>287,262,150,000</t>
  </si>
  <si>
    <t>45,001,290,000</t>
  </si>
  <si>
    <t>166,025,340,000</t>
  </si>
  <si>
    <t>49,343,150,000</t>
  </si>
  <si>
    <t>98,859,280,000</t>
  </si>
  <si>
    <t>15,493,580,000</t>
  </si>
  <si>
    <t>264,884,620,000</t>
  </si>
  <si>
    <t>64,836,730,000</t>
  </si>
  <si>
    <t>80,804,950,000</t>
  </si>
  <si>
    <t>13,710,510,000</t>
  </si>
  <si>
    <t>44,982,070,000</t>
  </si>
  <si>
    <t>5,287,100,000</t>
  </si>
  <si>
    <t>125,787,020,000</t>
  </si>
  <si>
    <t>18,997,610,000</t>
  </si>
  <si>
    <t>85,597,870,000</t>
  </si>
  <si>
    <t>14,202,290,000</t>
  </si>
  <si>
    <t>53,420,590,000</t>
  </si>
  <si>
    <t>6,773,710,000</t>
  </si>
  <si>
    <t>139,018,460,000</t>
  </si>
  <si>
    <t>20,976,000,000</t>
  </si>
  <si>
    <t>7.2</t>
  </si>
  <si>
    <t>71,325,882,500</t>
  </si>
  <si>
    <t>10,821,862,500</t>
  </si>
  <si>
    <t>39,641,772,500</t>
  </si>
  <si>
    <t>3,441,972,500</t>
  </si>
  <si>
    <t>110,967,655,000</t>
  </si>
  <si>
    <t>14,263,835,000</t>
  </si>
  <si>
    <t>39,573,882,500</t>
  </si>
  <si>
    <t>4,234,902,500</t>
  </si>
  <si>
    <t>33,218,530,000</t>
  </si>
  <si>
    <t>2,029,440,000</t>
  </si>
  <si>
    <t>72,792,412,500</t>
  </si>
  <si>
    <t>6,264,342,500</t>
  </si>
  <si>
    <t>38,732,775,000</t>
  </si>
  <si>
    <t>4,784,045,000</t>
  </si>
  <si>
    <t>11.5</t>
  </si>
  <si>
    <t>27,041,337,500</t>
  </si>
  <si>
    <t>1,650,987,500</t>
  </si>
  <si>
    <t>65,774,112,500</t>
  </si>
  <si>
    <t>6,435,032,500</t>
  </si>
  <si>
    <t>38,838,957,500</t>
  </si>
  <si>
    <t>3,785,197,500</t>
  </si>
  <si>
    <t>38,531,045,000</t>
  </si>
  <si>
    <t>4,623,335,000</t>
  </si>
  <si>
    <t>77,370,002,500</t>
  </si>
  <si>
    <t>8,408,532,500</t>
  </si>
  <si>
    <t>11,434,365,000</t>
  </si>
  <si>
    <t>1,201,475,000</t>
  </si>
  <si>
    <t>10,845,182,500</t>
  </si>
  <si>
    <t>1,473,302,500</t>
  </si>
  <si>
    <t>22,279,547,500</t>
  </si>
  <si>
    <t>2,674,777,500</t>
  </si>
  <si>
    <t>7,307,855,000</t>
  </si>
  <si>
    <t>1,334,185,000</t>
  </si>
  <si>
    <t>6,863,915,000</t>
  </si>
  <si>
    <t>784,065,000</t>
  </si>
  <si>
    <t>14,171,770,000</t>
  </si>
  <si>
    <t>2,118,250,000</t>
  </si>
  <si>
    <t>7,010,862,500</t>
  </si>
  <si>
    <t>1,700,782,500</t>
  </si>
  <si>
    <t>5,352,637,500</t>
  </si>
  <si>
    <t>1,134,557,500</t>
  </si>
  <si>
    <t>12,363,500,000</t>
  </si>
  <si>
    <t>2,835,340,000</t>
  </si>
  <si>
    <t>7.29</t>
  </si>
  <si>
    <t>12,118,292,500</t>
  </si>
  <si>
    <t>7,469,632,500</t>
  </si>
  <si>
    <t>5,793,102,500</t>
  </si>
  <si>
    <t>2,444,552,500</t>
  </si>
  <si>
    <t>17,911,395,000</t>
  </si>
  <si>
    <t>9,914,185,000</t>
  </si>
  <si>
    <t>有価証券オプション</t>
  </si>
  <si>
    <t>Securities Options</t>
  </si>
  <si>
    <t>1,411,715,000</t>
  </si>
  <si>
    <t>2,351,758,000</t>
  </si>
  <si>
    <t>3,763,473,000</t>
  </si>
  <si>
    <t>2,501,338,650</t>
  </si>
  <si>
    <t>1,317,094,000</t>
  </si>
  <si>
    <t>3,818,432,650</t>
  </si>
  <si>
    <t>10,799,596,000</t>
  </si>
  <si>
    <t>6,643,424,350</t>
  </si>
  <si>
    <t>17,443,020,350</t>
  </si>
  <si>
    <t>11,399,965,150</t>
  </si>
  <si>
    <t>6,777,858,700</t>
  </si>
  <si>
    <t>4.21</t>
  </si>
  <si>
    <t>18,177,823,850</t>
  </si>
  <si>
    <t>3,714,505,500</t>
  </si>
  <si>
    <t>6,497,956,850</t>
  </si>
  <si>
    <t>10,212,462,350</t>
  </si>
  <si>
    <t>1,418,157,450</t>
  </si>
  <si>
    <t>1,895,494,600</t>
  </si>
  <si>
    <t>3,313,652,050</t>
  </si>
  <si>
    <t>750,607,250</t>
  </si>
  <si>
    <t>2,000,240,050</t>
  </si>
  <si>
    <t>2,750,847,300</t>
  </si>
  <si>
    <t>1,806,201,600</t>
  </si>
  <si>
    <t>3,053,830,150</t>
  </si>
  <si>
    <t>4,860,031,750</t>
  </si>
  <si>
    <t>1,052,260,350</t>
  </si>
  <si>
    <t>982,849,600</t>
  </si>
  <si>
    <t>2,035,109,950</t>
  </si>
  <si>
    <t>1,770,295,250</t>
  </si>
  <si>
    <t>848,394,575</t>
  </si>
  <si>
    <t>2,618,689,825</t>
  </si>
  <si>
    <t>576,715,400</t>
  </si>
  <si>
    <t>27,358,500</t>
  </si>
  <si>
    <t>195,947,900</t>
  </si>
  <si>
    <t>41,400,000</t>
  </si>
  <si>
    <t>772,663,300</t>
  </si>
  <si>
    <t>68,758,500</t>
  </si>
  <si>
    <t>857,409,760</t>
  </si>
  <si>
    <t>78,523,560</t>
  </si>
  <si>
    <t>243,022,200</t>
  </si>
  <si>
    <t>38,606,450</t>
  </si>
  <si>
    <t>1,100,431,960</t>
  </si>
  <si>
    <t>117,130,010</t>
  </si>
  <si>
    <t>3,787,323,176</t>
  </si>
  <si>
    <t>2,911,702,061</t>
  </si>
  <si>
    <t>858,036,333</t>
  </si>
  <si>
    <t>579,601,008</t>
  </si>
  <si>
    <t>4,645,359,509</t>
  </si>
  <si>
    <t>3,491,303,069</t>
  </si>
  <si>
    <t>2,753,192,231</t>
  </si>
  <si>
    <t>2,670,506,543</t>
  </si>
  <si>
    <t>3,361,552,936</t>
  </si>
  <si>
    <t>3,272,802,244</t>
  </si>
  <si>
    <t>6,114,745,167</t>
  </si>
  <si>
    <t>5,943,308,787</t>
  </si>
  <si>
    <t>922,558,976</t>
  </si>
  <si>
    <t>570,523,949</t>
  </si>
  <si>
    <t>1,657,862,364</t>
  </si>
  <si>
    <t>1,213,701,244</t>
  </si>
  <si>
    <t>2,580,421,340</t>
  </si>
  <si>
    <t>1,784,225,193</t>
  </si>
  <si>
    <t>1,231,304,062</t>
  </si>
  <si>
    <t>227,407,718</t>
  </si>
  <si>
    <t>2,615,178,514</t>
  </si>
  <si>
    <t>1,298,120,639</t>
  </si>
  <si>
    <t>3,846,482,576</t>
  </si>
  <si>
    <t>1,525,528,357</t>
  </si>
  <si>
    <t>4,663,219,462</t>
  </si>
  <si>
    <t>2,520,572,070</t>
  </si>
  <si>
    <t>5,726,461,803</t>
  </si>
  <si>
    <t>3,422,431,897</t>
  </si>
  <si>
    <t>10,389,681,265</t>
  </si>
  <si>
    <t>5,943,003,967</t>
  </si>
  <si>
    <t>3,572,181,640</t>
  </si>
  <si>
    <t>2,697,826,330</t>
  </si>
  <si>
    <t>4,755,865,537</t>
  </si>
  <si>
    <t>3,820,558,954</t>
  </si>
  <si>
    <t>8,328,047,177</t>
  </si>
  <si>
    <t>6,518,385,284</t>
  </si>
  <si>
    <t>3,691,502,020</t>
  </si>
  <si>
    <t>3,170,182,730</t>
  </si>
  <si>
    <t>2,999,508,868</t>
  </si>
  <si>
    <t>2,468,328,958</t>
  </si>
  <si>
    <t>6,691,010,888</t>
  </si>
  <si>
    <t>5,638,511,688</t>
  </si>
  <si>
    <t>3,107,562,410</t>
  </si>
  <si>
    <t>2,806,806,780</t>
  </si>
  <si>
    <t>3,323,770,310</t>
  </si>
  <si>
    <t>2,934,052,935</t>
  </si>
  <si>
    <t>6,431,332,720</t>
  </si>
  <si>
    <t>5,740,859,715</t>
  </si>
  <si>
    <t>6,145,322,480</t>
  </si>
  <si>
    <t>6,126,529,350</t>
  </si>
  <si>
    <t>8,003,483,913</t>
  </si>
  <si>
    <t>7,983,136,573</t>
  </si>
  <si>
    <t>14,148,806,393</t>
  </si>
  <si>
    <t>14,109,665,923</t>
  </si>
  <si>
    <t>3,889,097,462</t>
  </si>
  <si>
    <t>3,847,648,592</t>
  </si>
  <si>
    <t>4,219,849,170</t>
  </si>
  <si>
    <t>4,149,984,290</t>
  </si>
  <si>
    <t>8,108,946,632</t>
  </si>
  <si>
    <t>7,997,632,882</t>
  </si>
  <si>
    <t>3,794,861,436</t>
  </si>
  <si>
    <t>3,708,024,750</t>
  </si>
  <si>
    <t>5.21</t>
  </si>
  <si>
    <t>6,688,271,630</t>
  </si>
  <si>
    <t>6,498,665,190</t>
  </si>
  <si>
    <t>10,483,133,066</t>
  </si>
  <si>
    <t>10,206,689,940</t>
  </si>
  <si>
    <t>1,578,795,454</t>
  </si>
  <si>
    <t>1,450,025,426</t>
  </si>
  <si>
    <t>1,694,727,094</t>
  </si>
  <si>
    <t>1,028,769,797</t>
  </si>
  <si>
    <t>3,273,522,548</t>
  </si>
  <si>
    <t>2,478,795,223</t>
  </si>
  <si>
    <t>1,260,563,181</t>
  </si>
  <si>
    <t>1,131,752,660</t>
  </si>
  <si>
    <t>817,088,297</t>
  </si>
  <si>
    <t>339,557,970</t>
  </si>
  <si>
    <t>2,077,651,478</t>
  </si>
  <si>
    <t>1,471,310,630</t>
  </si>
  <si>
    <t>937,401,477</t>
  </si>
  <si>
    <t>705,593,310</t>
  </si>
  <si>
    <t>896,604,613</t>
  </si>
  <si>
    <t>297,675,660</t>
  </si>
  <si>
    <t>1,834,006,090</t>
  </si>
  <si>
    <t>1,003,268,970</t>
  </si>
  <si>
    <t>1,683,409,888</t>
  </si>
  <si>
    <t>1,406,845,530</t>
  </si>
  <si>
    <t>1,783,199,915</t>
  </si>
  <si>
    <t>790,483,930</t>
  </si>
  <si>
    <t>3,466,609,803</t>
  </si>
  <si>
    <t>2,197,329,460</t>
  </si>
  <si>
    <t>金先物オプション</t>
  </si>
  <si>
    <t>Options on Gold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</si>
</sst>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thin">
        <color rgb="FF000000"/>
      </top>
      <bottom/>
      <diagonal/>
    </border>
    <border>
      <left style="hair">
        <color indexed="64"/>
      </left>
      <right style="thin">
        <color rgb="FF000000"/>
      </right>
      <top/>
      <bottom/>
      <diagonal/>
    </border>
    <border>
      <left style="hair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indexed="64"/>
      </right>
      <top style="thin">
        <color rgb="FF000000"/>
      </top>
      <bottom/>
      <diagonal/>
    </border>
    <border>
      <left style="thin">
        <color rgb="FF000000"/>
      </left>
      <right style="hair">
        <color indexed="64"/>
      </right>
      <top/>
      <bottom/>
      <diagonal/>
    </border>
    <border>
      <left style="thin">
        <color rgb="FF000000"/>
      </left>
      <right style="hair">
        <color indexed="64"/>
      </right>
      <top/>
      <bottom style="thin">
        <color rgb="FF000000"/>
      </bottom>
      <diagonal/>
    </border>
  </borders>
  <cellStyleXfs count="1981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7" numFmtId="9"/>
    <xf borderId="0" fillId="0" fontId="18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3" fontId="20" numFmtId="0"/>
    <xf applyAlignment="0" applyBorder="0" applyNumberFormat="0" applyProtection="0" borderId="0" fillId="10" fontId="20" numFmtId="0"/>
    <xf applyAlignment="0" applyBorder="0" applyNumberFormat="0" applyProtection="0" borderId="0" fillId="11" fontId="20" numFmtId="0"/>
    <xf applyAlignment="0" applyBorder="0" applyNumberFormat="0" applyProtection="0" borderId="0" fillId="14" fontId="20" numFmtId="0"/>
    <xf applyAlignment="0" applyBorder="0" applyNumberFormat="0" applyProtection="0" borderId="0" fillId="15" fontId="20" numFmtId="0"/>
    <xf applyAlignment="0" applyBorder="0" applyNumberFormat="0" applyProtection="0" borderId="0" fillId="16" fontId="20" numFmtId="0"/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7" fontId="20" numFmtId="0"/>
    <xf applyAlignment="0" applyBorder="0" applyNumberFormat="0" applyProtection="0" borderId="0" fillId="18" fontId="20" numFmtId="0"/>
    <xf applyAlignment="0" applyBorder="0" applyNumberFormat="0" applyProtection="0" borderId="0" fillId="19" fontId="20" numFmtId="0"/>
    <xf applyAlignment="0" applyBorder="0" applyNumberFormat="0" applyProtection="0" borderId="0" fillId="14" fontId="20" numFmtId="0"/>
    <xf applyAlignment="0" applyBorder="0" applyNumberFormat="0" applyProtection="0" borderId="0" fillId="15" fontId="20" numFmtId="0"/>
    <xf applyAlignment="0" applyBorder="0" applyNumberFormat="0" applyProtection="0" borderId="0" fillId="20" fontId="20" numFmtId="0"/>
    <xf borderId="0" fillId="0" fontId="22" numFmtId="0">
      <alignment horizontal="center" wrapText="1"/>
      <protection locked="0"/>
    </xf>
    <xf borderId="0" fillId="0" fontId="23" numFmtId="0"/>
    <xf applyAlignment="0" applyBorder="0" applyNumberFormat="0" applyProtection="0" borderId="0" fillId="4" fontId="24" numFmtId="0"/>
    <xf applyAlignment="0" applyBorder="0" applyFill="0" applyNumberFormat="0" applyProtection="0" borderId="0" fillId="0" fontId="25" numFmtId="0"/>
    <xf applyAlignment="0" applyBorder="0" applyFill="0" borderId="0" fillId="0" fontId="5" numFmtId="179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6" fillId="22" fontId="27" numFmtId="0"/>
    <xf borderId="0" fillId="0" fontId="28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29" numFmtId="0">
      <alignment horizontal="left"/>
    </xf>
    <xf applyAlignment="0" applyBorder="0" applyFill="0" applyNumberFormat="0" applyProtection="0" borderId="0" fillId="0" fontId="30" numFmtId="0"/>
    <xf applyAlignment="0" applyBorder="0" applyNumberFormat="0" applyProtection="0" borderId="0" fillId="5" fontId="31" numFmtId="0"/>
    <xf applyAlignment="0" applyBorder="0" applyNumberFormat="0" applyProtection="0" borderId="0" fillId="23" fontId="32" numFmtId="38"/>
    <xf borderId="0" fillId="24" fontId="33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4" numFmtId="0"/>
    <xf applyAlignment="0" applyFill="0" applyNumberFormat="0" applyProtection="0" borderId="8" fillId="0" fontId="35" numFmtId="0"/>
    <xf applyAlignment="0" applyFill="0" applyNumberFormat="0" applyProtection="0" borderId="9" fillId="0" fontId="36" numFmtId="0"/>
    <xf applyAlignment="0" applyBorder="0" applyFill="0" applyNumberFormat="0" applyProtection="0" borderId="0" fillId="0" fontId="36" numFmtId="0"/>
    <xf applyBorder="0" borderId="0" fillId="0" fontId="5" numFmtId="0"/>
    <xf applyAlignment="0" applyNumberFormat="0" applyProtection="0" borderId="5" fillId="8" fontId="37" numFmtId="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borderId="0" fillId="0" fontId="5" numFmtId="0"/>
    <xf applyAlignment="0" applyFill="0" applyNumberFormat="0" applyProtection="0" borderId="10" fillId="0" fontId="38" numFmtId="0"/>
    <xf applyAlignment="0" applyBorder="0" applyFill="0" applyFont="0" applyProtection="0" borderId="0" fillId="0" fontId="39" numFmtId="38"/>
    <xf applyAlignment="0" applyBorder="0" applyFill="0" applyFont="0" applyProtection="0" borderId="0" fillId="0" fontId="39" numFmtId="40"/>
    <xf applyAlignment="0" applyBorder="0" applyFill="0" applyFont="0" applyProtection="0" borderId="0" fillId="0" fontId="39" numFmtId="182"/>
    <xf applyAlignment="0" applyBorder="0" applyFill="0" applyFont="0" applyProtection="0" borderId="0" fillId="0" fontId="39" numFmtId="183"/>
    <xf applyAlignment="0" applyBorder="0" applyNumberFormat="0" applyProtection="0" borderId="0" fillId="26" fontId="40" numFmtId="0"/>
    <xf borderId="0" fillId="0" fontId="41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borderId="0" fillId="0" fontId="22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29" numFmtId="4">
      <alignment horizontal="right"/>
    </xf>
    <xf applyAlignment="0" applyBorder="0" applyFill="0" applyFont="0" applyNumberFormat="0" applyProtection="0" borderId="0" fillId="0" fontId="43" numFmtId="0">
      <alignment horizontal="left"/>
    </xf>
    <xf borderId="13" fillId="0" fontId="44" numFmtId="0">
      <alignment horizontal="center"/>
    </xf>
    <xf applyAlignment="0" applyBorder="0" applyFill="0" applyFont="0" applyNumberFormat="0" borderId="0" fillId="0" fontId="45" numFmtId="0"/>
    <xf borderId="0" fillId="0" fontId="46" numFmtId="4">
      <alignment horizontal="right"/>
    </xf>
    <xf borderId="0" fillId="0" fontId="47" numFmtId="0">
      <alignment horizontal="left"/>
    </xf>
    <xf borderId="0" fillId="0" fontId="48" numFmtId="0"/>
    <xf borderId="0" fillId="0" fontId="49" numFmtId="0">
      <alignment horizontal="center"/>
    </xf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Border="0" applyFill="0" applyNumberFormat="0" applyProtection="0" borderId="0" fillId="0" fontId="51" numFmtId="0"/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borderId="0" fillId="0" fontId="52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borderId="0" fillId="0" fontId="55" numFmtId="0"/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7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4" numFmtId="38"/>
    <xf applyAlignment="0" applyBorder="0" applyFill="0" applyFont="0" applyProtection="0" borderId="0" fillId="0" fontId="15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9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9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9" numFmtId="38">
      <alignment vertical="center"/>
    </xf>
    <xf applyAlignment="0" applyBorder="0" applyFill="0" applyFont="0" applyProtection="0" borderId="0" fillId="0" fontId="19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borderId="0" fillId="0" fontId="10" numFmtId="186"/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3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5" numFmtId="0">
      <alignment vertical="center"/>
    </xf>
    <xf borderId="0" fillId="0" fontId="75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5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7" numFmtId="0"/>
    <xf borderId="0" fillId="0" fontId="15" numFmtId="0">
      <alignment vertical="center"/>
    </xf>
    <xf borderId="0" fillId="0" fontId="17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6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6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9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7" numFmtId="0">
      <alignment vertical="center"/>
    </xf>
    <xf borderId="0" fillId="0" fontId="12" numFmtId="0"/>
    <xf borderId="0" fillId="0" fontId="77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8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7" numFmtId="0"/>
    <xf borderId="0" fillId="0" fontId="12" numFmtId="0">
      <alignment vertical="center"/>
    </xf>
    <xf borderId="0" fillId="0" fontId="12" numFmtId="0">
      <alignment vertical="center"/>
    </xf>
    <xf borderId="0" fillId="0" fontId="17" numFmtId="0"/>
    <xf borderId="0" fillId="0" fontId="15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9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7" numFmtId="0"/>
    <xf borderId="0" fillId="0" fontId="76" numFmtId="0">
      <alignment vertical="center"/>
    </xf>
    <xf borderId="0" fillId="0" fontId="17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19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5" numFmtId="0">
      <alignment vertical="center"/>
    </xf>
    <xf borderId="0" fillId="0" fontId="79" numFmtId="0"/>
    <xf borderId="0" fillId="0" fontId="15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/>
    <xf borderId="0" fillId="0" fontId="3" numFmtId="0"/>
    <xf borderId="0" fillId="0" fontId="3" numFmtId="0"/>
    <xf borderId="0" fillId="0" fontId="79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/>
    <xf borderId="0" fillId="0" fontId="79" numFmtId="0"/>
    <xf borderId="0" fillId="0" fontId="3" numFmtId="0"/>
    <xf borderId="0" fillId="0" fontId="79" numFmtId="0"/>
    <xf borderId="0" fillId="0" fontId="19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0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5" numFmtId="0"/>
    <xf borderId="0" fillId="0" fontId="3" numFmtId="0">
      <alignment vertical="center"/>
    </xf>
    <xf borderId="0" fillId="0" fontId="19" numFmtId="0">
      <alignment vertical="center"/>
    </xf>
    <xf borderId="0" fillId="0" fontId="19" numFmtId="0">
      <alignment vertical="center"/>
    </xf>
    <xf borderId="0" fillId="0" fontId="81" numFmtId="0">
      <alignment vertical="center"/>
    </xf>
    <xf borderId="0" fillId="0" fontId="12" numFmtId="0">
      <alignment vertical="center"/>
    </xf>
    <xf borderId="0" fillId="0" fontId="19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8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19" numFmtId="0">
      <alignment vertical="center"/>
    </xf>
    <xf borderId="0" fillId="0" fontId="19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8" numFmtId="0">
      <alignment vertical="center"/>
    </xf>
    <xf borderId="0" fillId="0" fontId="3" numFmtId="0"/>
    <xf borderId="0" fillId="0" fontId="3" numFmtId="0">
      <alignment vertical="center"/>
    </xf>
    <xf borderId="0" fillId="0" fontId="78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3" numFmtId="0">
      <alignment vertical="center"/>
    </xf>
    <xf borderId="0" fillId="0" fontId="8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7" numFmtId="0"/>
    <xf borderId="0" fillId="0" fontId="83" numFmtId="0">
      <alignment vertical="center"/>
    </xf>
    <xf borderId="0" fillId="0" fontId="17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9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/>
    <xf borderId="0" fillId="0" fontId="85" numFmtId="0"/>
    <xf borderId="0" fillId="0" fontId="55" numFmtId="0"/>
    <xf applyBorder="0" applyFill="0" borderId="0" fillId="0" fontId="13" numFmtId="49"/>
    <xf borderId="0" fillId="0" fontId="86" numFmtId="0"/>
    <xf borderId="0" fillId="0" fontId="87" numFmtId="0"/>
    <xf borderId="0" fillId="0" fontId="86" numFmtId="0"/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borderId="0" fillId="0" fontId="3" numFmtId="0"/>
    <xf borderId="0" fillId="0" fontId="89" numFmtId="0">
      <alignment vertical="center"/>
    </xf>
    <xf applyAlignment="0" applyBorder="0" applyFill="0" applyNumberFormat="0" applyProtection="0" borderId="0" fillId="0" fontId="90" numFmtId="0">
      <alignment vertical="center"/>
    </xf>
    <xf applyAlignment="0" applyFill="0" applyNumberFormat="0" applyProtection="0" borderId="23" fillId="0" fontId="91" numFmtId="0">
      <alignment vertical="center"/>
    </xf>
    <xf applyAlignment="0" applyFill="0" applyNumberFormat="0" applyProtection="0" borderId="24" fillId="0" fontId="92" numFmtId="0">
      <alignment vertical="center"/>
    </xf>
    <xf applyAlignment="0" applyFill="0" applyNumberFormat="0" applyProtection="0" borderId="25" fillId="0" fontId="93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Border="0" applyNumberFormat="0" applyProtection="0" borderId="0" fillId="28" fontId="94" numFmtId="0">
      <alignment vertical="center"/>
    </xf>
    <xf applyAlignment="0" applyBorder="0" applyNumberFormat="0" applyProtection="0" borderId="0" fillId="29" fontId="95" numFmtId="0">
      <alignment vertical="center"/>
    </xf>
    <xf applyAlignment="0" applyBorder="0" applyNumberFormat="0" applyProtection="0" borderId="0" fillId="30" fontId="96" numFmtId="0">
      <alignment vertical="center"/>
    </xf>
    <xf applyAlignment="0" applyNumberFormat="0" applyProtection="0" borderId="26" fillId="31" fontId="97" numFmtId="0">
      <alignment vertical="center"/>
    </xf>
    <xf applyAlignment="0" applyNumberFormat="0" applyProtection="0" borderId="27" fillId="32" fontId="98" numFmtId="0">
      <alignment vertical="center"/>
    </xf>
    <xf applyAlignment="0" applyNumberFormat="0" applyProtection="0" borderId="26" fillId="32" fontId="99" numFmtId="0">
      <alignment vertical="center"/>
    </xf>
    <xf applyAlignment="0" applyFill="0" applyNumberFormat="0" applyProtection="0" borderId="28" fillId="0" fontId="100" numFmtId="0">
      <alignment vertical="center"/>
    </xf>
    <xf applyAlignment="0" applyNumberFormat="0" applyProtection="0" borderId="29" fillId="33" fontId="101" numFmtId="0">
      <alignment vertical="center"/>
    </xf>
    <xf applyAlignment="0" applyBorder="0" applyFill="0" applyNumberFormat="0" applyProtection="0" borderId="0" fillId="0" fontId="102" numFmtId="0">
      <alignment vertical="center"/>
    </xf>
    <xf applyAlignment="0" applyBorder="0" applyFill="0" applyNumberFormat="0" applyProtection="0" borderId="0" fillId="0" fontId="103" numFmtId="0">
      <alignment vertical="center"/>
    </xf>
    <xf applyAlignment="0" applyFill="0" applyNumberFormat="0" applyProtection="0" borderId="31" fillId="0" fontId="104" numFmtId="0">
      <alignment vertical="center"/>
    </xf>
    <xf applyAlignment="0" applyBorder="0" applyNumberFormat="0" applyProtection="0" borderId="0" fillId="35" fontId="105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5" numFmtId="0">
      <alignment vertical="center"/>
    </xf>
    <xf applyAlignment="0" applyBorder="0" applyNumberFormat="0" applyProtection="0" borderId="0" fillId="39" fontId="105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5" numFmtId="0">
      <alignment vertical="center"/>
    </xf>
    <xf applyAlignment="0" applyBorder="0" applyNumberFormat="0" applyProtection="0" borderId="0" fillId="43" fontId="105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5" numFmtId="0">
      <alignment vertical="center"/>
    </xf>
    <xf applyAlignment="0" applyBorder="0" applyNumberFormat="0" applyProtection="0" borderId="0" fillId="47" fontId="105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5" numFmtId="0">
      <alignment vertical="center"/>
    </xf>
    <xf applyAlignment="0" applyBorder="0" applyNumberFormat="0" applyProtection="0" borderId="0" fillId="51" fontId="105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5" numFmtId="0">
      <alignment vertical="center"/>
    </xf>
    <xf applyAlignment="0" applyBorder="0" applyNumberFormat="0" applyProtection="0" borderId="0" fillId="55" fontId="105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5" numFmtId="0">
      <alignment vertical="center"/>
    </xf>
    <xf borderId="0" fillId="0" fontId="1" numFmtId="0">
      <alignment vertical="center"/>
    </xf>
    <xf applyAlignment="0" applyFont="0" applyNumberFormat="0" applyProtection="0" borderId="30" fillId="34" fontId="1" numFmtId="0">
      <alignment vertical="center"/>
    </xf>
    <xf borderId="0" fillId="0" fontId="106" numFmtId="0">
      <alignment vertical="center"/>
    </xf>
  </cellStyleXfs>
  <cellXfs count="51">
    <xf borderId="0" fillId="0" fontId="0" numFmtId="0" xfId="0"/>
    <xf applyFont="1" borderId="0" fillId="0" fontId="108" numFmtId="0" xfId="1980">
      <alignment vertical="center"/>
    </xf>
    <xf applyAlignment="1" applyFont="1" borderId="0" fillId="0" fontId="17" numFmtId="0" xfId="1980">
      <alignment horizontal="center" vertical="center"/>
    </xf>
    <xf applyAlignment="1" applyBorder="1" applyFill="1" applyFont="1" applyNumberFormat="1" borderId="19" fillId="0" fontId="17" numFmtId="49" xfId="1980">
      <alignment horizontal="right" vertical="center"/>
    </xf>
    <xf applyAlignment="1" applyBorder="1" applyFill="1" applyFont="1" applyNumberFormat="1" borderId="39" fillId="0" fontId="17" numFmtId="49" xfId="1980">
      <alignment horizontal="center" vertical="center"/>
    </xf>
    <xf applyAlignment="1" applyBorder="1" applyFill="1" applyFont="1" applyNumberFormat="1" borderId="33" fillId="0" fontId="17" numFmtId="49" xfId="1980">
      <alignment horizontal="center" vertical="center"/>
    </xf>
    <xf applyBorder="1" applyFill="1" applyFont="1" applyNumberFormat="1" borderId="0" fillId="0" fontId="108" numFmtId="49" xfId="1980">
      <alignment vertical="center"/>
    </xf>
    <xf applyFont="1" borderId="0" fillId="0" fontId="17" numFmtId="0" xfId="1980">
      <alignment vertical="center"/>
    </xf>
    <xf applyFill="1" applyFont="1" borderId="0" fillId="0" fontId="17" numFmtId="0" xfId="1980">
      <alignment vertical="center"/>
    </xf>
    <xf applyAlignment="1" applyBorder="1" applyFill="1" applyFont="1" applyNumberFormat="1" borderId="35" fillId="0" fontId="5" numFmtId="0" xfId="1980">
      <alignment horizontal="center" vertical="top" wrapText="1"/>
    </xf>
    <xf applyAlignment="1" applyBorder="1" applyFill="1" applyFont="1" applyNumberFormat="1" borderId="18" fillId="0" fontId="5" numFmtId="0" xfId="1980">
      <alignment horizontal="center" vertical="top" wrapText="1"/>
    </xf>
    <xf applyAlignment="1" applyBorder="1" applyFill="1" applyFont="1" applyNumberFormat="1" borderId="38" fillId="0" fontId="5" numFmtId="0" xfId="1980">
      <alignment horizontal="center" vertical="top" wrapText="1"/>
    </xf>
    <xf applyAlignment="1" applyBorder="1" applyFill="1" applyFont="1" applyNumberFormat="1" borderId="4" fillId="0" fontId="5" numFmtId="0" xfId="1980">
      <alignment horizontal="center" vertical="top" wrapText="1"/>
    </xf>
    <xf applyAlignment="1" applyBorder="1" applyFill="1" applyFont="1" applyNumberFormat="1" borderId="19" fillId="0" fontId="5" numFmtId="0" xfId="1980">
      <alignment horizontal="center" vertical="top" wrapText="1"/>
    </xf>
    <xf applyAlignment="1" applyBorder="1" applyFill="1" applyFont="1" applyNumberFormat="1" borderId="33" fillId="0" fontId="5" numFmtId="0" xfId="1980">
      <alignment horizontal="center" vertical="center" wrapText="1"/>
    </xf>
    <xf applyAlignment="1" applyBorder="1" applyFill="1" applyFont="1" applyNumberFormat="1" borderId="34" fillId="0" fontId="5" numFmtId="0" xfId="1980">
      <alignment horizontal="center" vertical="center" wrapText="1"/>
    </xf>
    <xf applyAlignment="1" applyBorder="1" applyFill="1" applyFont="1" applyNumberFormat="1" borderId="19" fillId="0" fontId="5" numFmtId="0" xfId="1980">
      <alignment horizontal="center" vertical="center" wrapText="1"/>
    </xf>
    <xf applyAlignment="1" applyBorder="1" applyFill="1" applyFont="1" applyNumberFormat="1" borderId="32" fillId="0" fontId="5" numFmtId="0" xfId="1980">
      <alignment horizontal="center" vertical="center" wrapText="1"/>
    </xf>
    <xf applyAlignment="1" applyBorder="1" applyFill="1" applyFont="1" applyNumberFormat="1" borderId="39" fillId="0" fontId="5" numFmtId="0" xfId="1980">
      <alignment horizontal="center" vertical="center" wrapText="1"/>
    </xf>
    <xf applyAlignment="1" applyBorder="1" applyFill="1" applyFont="1" applyNumberFormat="1" borderId="38" fillId="0" fontId="5" numFmtId="0" xfId="1980">
      <alignment horizontal="center" vertical="center" wrapText="1"/>
    </xf>
    <xf applyAlignment="1" applyBorder="1" applyFill="1" applyFont="1" applyNumberFormat="1" borderId="15" fillId="0" fontId="17" numFmtId="49" xfId="1980">
      <alignment horizontal="left" vertical="center"/>
    </xf>
    <xf applyAlignment="1" applyBorder="1" applyFill="1" applyFont="1" applyNumberFormat="1" borderId="34" fillId="0" fontId="17" numFmtId="49" xfId="1980">
      <alignment horizontal="left" vertical="center"/>
    </xf>
    <xf applyAlignment="1" applyBorder="1" applyFill="1" applyFont="1" applyNumberFormat="1" borderId="41" fillId="0" fontId="5" numFmtId="49" xfId="1980">
      <alignment horizontal="left" vertical="center"/>
    </xf>
    <xf applyAlignment="1" applyBorder="1" applyFill="1" applyFont="1" applyNumberFormat="1" borderId="34" fillId="0" fontId="5" numFmtId="49" xfId="1980">
      <alignment horizontal="left" vertical="center"/>
    </xf>
    <xf applyAlignment="1" applyBorder="1" applyFill="1" applyFont="1" applyNumberFormat="1" borderId="19" fillId="0" fontId="17" numFmtId="49" xfId="1980">
      <alignment horizontal="left" vertical="center"/>
    </xf>
    <xf applyAlignment="1" applyBorder="1" applyFill="1" applyFont="1" applyNumberFormat="1" borderId="19" fillId="0" fontId="17" numFmtId="189" xfId="1980">
      <alignment horizontal="center" vertical="center"/>
    </xf>
    <xf applyAlignment="1" applyBorder="1" applyFill="1" applyFont="1" applyNumberFormat="1" borderId="19" fillId="0" fontId="17" numFmtId="3" xfId="1980">
      <alignment horizontal="right" vertical="center"/>
    </xf>
    <xf applyAlignment="1" applyBorder="1" applyFill="1" applyFont="1" applyNumberFormat="1" borderId="34" fillId="0" fontId="17" numFmtId="3" xfId="1980">
      <alignment horizontal="right" vertical="center"/>
    </xf>
    <xf applyAlignment="1" applyBorder="1" applyFill="1" applyFont="1" applyNumberFormat="1" borderId="38" fillId="0" fontId="17" numFmtId="3" xfId="1980">
      <alignment horizontal="right" vertical="center"/>
    </xf>
    <xf applyAlignment="1" applyFill="1" applyFont="1" applyNumberFormat="1" borderId="0" fillId="0" fontId="107" numFmtId="0" xfId="1980">
      <alignment horizontal="left" vertical="top" wrapText="1"/>
    </xf>
    <xf applyAlignment="1" applyBorder="1" applyFill="1" applyFont="1" applyNumberFormat="1" borderId="16" fillId="0" fontId="109" numFmtId="0" xfId="1980">
      <alignment horizontal="left" vertical="top" wrapText="1"/>
    </xf>
    <xf applyAlignment="1" applyBorder="1" applyFill="1" applyFont="1" applyNumberFormat="1" borderId="19" fillId="0" fontId="5" numFmtId="0" xfId="1980">
      <alignment horizontal="center" vertical="center" wrapText="1"/>
    </xf>
    <xf applyAlignment="1" applyBorder="1" applyFill="1" applyFont="1" applyNumberFormat="1" borderId="17" fillId="0" fontId="5" numFmtId="0" xfId="1980">
      <alignment horizontal="center" vertical="center" wrapText="1"/>
    </xf>
    <xf applyAlignment="1" applyBorder="1" applyFill="1" applyFont="1" applyNumberFormat="1" borderId="37" fillId="0" fontId="5" numFmtId="0" xfId="1980">
      <alignment horizontal="center" vertical="center" wrapText="1"/>
    </xf>
    <xf applyAlignment="1" applyBorder="1" applyFill="1" applyFont="1" applyNumberFormat="1" borderId="42" fillId="0" fontId="5" numFmtId="0" xfId="1980">
      <alignment horizontal="center" vertical="center" wrapText="1"/>
    </xf>
    <xf applyAlignment="1" applyBorder="1" applyFill="1" applyFont="1" applyNumberFormat="1" borderId="43" fillId="0" fontId="5" numFmtId="0" xfId="1980">
      <alignment horizontal="center" vertical="center" wrapText="1"/>
    </xf>
    <xf applyAlignment="1" applyBorder="1" applyFill="1" applyFont="1" applyNumberFormat="1" borderId="44" fillId="0" fontId="5" numFmtId="0" xfId="1980">
      <alignment horizontal="center" vertical="center" wrapText="1"/>
    </xf>
    <xf applyAlignment="1" applyBorder="1" applyFill="1" applyFont="1" applyNumberFormat="1" borderId="45" fillId="0" fontId="5" numFmtId="0" xfId="1980">
      <alignment horizontal="center" vertical="center" wrapText="1"/>
    </xf>
    <xf applyAlignment="1" applyBorder="1" applyFill="1" applyFont="1" applyNumberFormat="1" borderId="18" fillId="0" fontId="5" numFmtId="0" xfId="1980">
      <alignment horizontal="center" vertical="center" wrapText="1"/>
    </xf>
    <xf applyAlignment="1" applyBorder="1" applyFill="1" applyFont="1" applyNumberFormat="1" borderId="40" fillId="0" fontId="5" numFmtId="0" xfId="1980">
      <alignment horizontal="center" vertical="center" wrapText="1"/>
    </xf>
    <xf applyAlignment="1" applyBorder="1" applyFill="1" applyFont="1" applyNumberFormat="1" borderId="21" fillId="0" fontId="5" numFmtId="0" xfId="1980">
      <alignment horizontal="center" vertical="center" wrapText="1"/>
    </xf>
    <xf applyAlignment="1" applyBorder="1" applyFill="1" applyFont="1" applyNumberFormat="1" borderId="46" fillId="0" fontId="5" numFmtId="0" xfId="1980">
      <alignment horizontal="center" vertical="center" wrapText="1"/>
    </xf>
    <xf applyAlignment="1" applyBorder="1" applyFill="1" applyFont="1" applyNumberFormat="1" borderId="47" fillId="0" fontId="5" numFmtId="0" xfId="1980">
      <alignment horizontal="center" vertical="center" wrapText="1"/>
    </xf>
    <xf applyAlignment="1" applyBorder="1" applyFill="1" applyFont="1" applyNumberFormat="1" borderId="48" fillId="0" fontId="5" numFmtId="0" xfId="1980">
      <alignment horizontal="center" vertical="center" wrapText="1"/>
    </xf>
    <xf applyAlignment="1" applyBorder="1" applyFill="1" applyFont="1" applyNumberFormat="1" borderId="19" fillId="0" fontId="5" numFmtId="0" xfId="1980">
      <alignment horizontal="center" vertical="top" wrapText="1"/>
    </xf>
    <xf applyAlignment="1" applyBorder="1" applyFill="1" applyFont="1" applyNumberFormat="1" borderId="22" fillId="0" fontId="5" numFmtId="0" xfId="1980">
      <alignment horizontal="center" vertical="center" wrapText="1"/>
    </xf>
    <xf applyAlignment="1" applyBorder="1" applyFill="1" applyFont="1" applyNumberFormat="1" borderId="36" fillId="0" fontId="5" numFmtId="0" xfId="1980">
      <alignment horizontal="center" vertical="center" wrapText="1"/>
    </xf>
    <xf applyAlignment="1" applyBorder="1" applyFill="1" applyFont="1" applyNumberFormat="1" borderId="32" fillId="0" fontId="5" numFmtId="0" xfId="1980">
      <alignment horizontal="center" vertical="center" wrapText="1"/>
    </xf>
    <xf applyAlignment="1" applyBorder="1" applyFill="1" applyFont="1" applyNumberFormat="1" borderId="20" fillId="0" fontId="5" numFmtId="0" xfId="1980">
      <alignment horizontal="center" vertical="center" wrapText="1"/>
    </xf>
    <xf applyAlignment="1" applyBorder="1" applyFill="1" applyFont="1" applyNumberFormat="1" borderId="39" fillId="0" fontId="5" numFmtId="0" xfId="1980">
      <alignment horizontal="center" vertical="center" wrapText="1"/>
    </xf>
    <xf applyAlignment="1" applyBorder="1" applyFill="1" applyFont="1" applyNumberFormat="1" borderId="38" fillId="0" fontId="5" numFmtId="0" xfId="1980">
      <alignment horizontal="center" vertical="center" wrapText="1"/>
    </xf>
  </cellXfs>
  <cellStyles count="1981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4" xfId="1980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F790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7" width="27.625" collapsed="false"/>
    <col min="2" max="2" bestFit="true" customWidth="true" style="7" width="30.125" collapsed="false"/>
    <col min="3" max="3" customWidth="true" style="7" width="7.875" collapsed="false"/>
    <col min="4" max="4" customWidth="true" style="7" width="11.75" collapsed="false"/>
    <col min="5" max="5" customWidth="true" style="7" width="6.875" collapsed="false"/>
    <col min="6" max="6" customWidth="true" style="7" width="8.625" collapsed="false"/>
    <col min="7" max="11" customWidth="true" style="7" width="25.625" collapsed="false"/>
    <col min="12" max="12" customWidth="true" style="7" width="6.625" collapsed="false"/>
    <col min="13" max="13" customWidth="true" style="7" width="20.625" collapsed="false"/>
    <col min="14" max="14" customWidth="true" style="7" width="6.625" collapsed="false"/>
    <col min="15" max="15" customWidth="true" style="7" width="20.625" collapsed="false"/>
    <col min="16" max="20" customWidth="true" style="7" width="25.625" collapsed="false"/>
    <col min="21" max="21" customWidth="true" style="7" width="5.875" collapsed="false"/>
    <col min="22" max="22" customWidth="true" style="7" width="25.625" collapsed="false"/>
    <col min="23" max="23" customWidth="true" style="7" width="5.875" collapsed="false"/>
    <col min="24" max="27" customWidth="true" style="7" width="25.625" collapsed="false"/>
    <col min="28" max="28" customWidth="true" style="7" width="5.875" collapsed="false"/>
    <col min="29" max="29" customWidth="true" style="7" width="25.625" collapsed="false"/>
    <col min="30" max="30" customWidth="true" style="7" width="5.875" collapsed="false"/>
    <col min="31" max="31" customWidth="true" style="7" width="25.625" collapsed="false"/>
    <col min="32" max="16384" style="1" width="9.0" collapsed="false"/>
  </cols>
  <sheetData>
    <row customHeight="1" ht="20.100000000000001" r="1" spans="1:31">
      <c r="A1" s="29" t="s">
        <v>36</v>
      </c>
      <c r="B1" s="29"/>
      <c r="C1" s="29"/>
      <c r="D1" s="29"/>
      <c r="E1" s="2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customHeight="1" ht="30" r="2" spans="1:31">
      <c r="A2" s="30" t="s">
        <v>35</v>
      </c>
      <c r="B2" s="30"/>
      <c r="C2" s="30"/>
      <c r="D2" s="30"/>
      <c r="E2" s="30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customFormat="1" customHeight="1" ht="17.100000000000001" r="3" s="2" spans="1:31">
      <c r="A3" s="32" t="s">
        <v>37</v>
      </c>
      <c r="B3" s="35" t="s">
        <v>38</v>
      </c>
      <c r="C3" s="41" t="s">
        <v>41</v>
      </c>
      <c r="D3" s="38" t="s">
        <v>40</v>
      </c>
      <c r="E3" s="31" t="s">
        <v>34</v>
      </c>
      <c r="F3" s="31" t="s">
        <v>0</v>
      </c>
      <c r="G3" s="44" t="s">
        <v>11</v>
      </c>
      <c r="H3" s="44"/>
      <c r="I3" s="44"/>
      <c r="J3" s="44"/>
      <c r="K3" s="44"/>
      <c r="L3" s="44"/>
      <c r="M3" s="44"/>
      <c r="N3" s="44"/>
      <c r="O3" s="44"/>
      <c r="P3" s="44" t="s">
        <v>12</v>
      </c>
      <c r="Q3" s="44"/>
      <c r="R3" s="44"/>
      <c r="S3" s="44"/>
      <c r="T3" s="44"/>
      <c r="U3" s="44"/>
      <c r="V3" s="44"/>
      <c r="W3" s="44"/>
      <c r="X3" s="44"/>
      <c r="Y3" s="45" t="s">
        <v>1</v>
      </c>
      <c r="Z3" s="45" t="s">
        <v>2</v>
      </c>
      <c r="AA3" s="44" t="s">
        <v>13</v>
      </c>
      <c r="AB3" s="44"/>
      <c r="AC3" s="44"/>
      <c r="AD3" s="44"/>
      <c r="AE3" s="44"/>
    </row>
    <row customFormat="1" customHeight="1" ht="17.100000000000001" r="4" s="2" spans="1:31">
      <c r="A4" s="33"/>
      <c r="B4" s="36"/>
      <c r="C4" s="42"/>
      <c r="D4" s="39"/>
      <c r="E4" s="31"/>
      <c r="F4" s="31"/>
      <c r="G4" s="32" t="s">
        <v>8</v>
      </c>
      <c r="H4" s="9"/>
      <c r="I4" s="10"/>
      <c r="J4" s="32" t="s">
        <v>22</v>
      </c>
      <c r="K4" s="11"/>
      <c r="L4" s="32" t="s">
        <v>30</v>
      </c>
      <c r="M4" s="38"/>
      <c r="N4" s="49" t="s">
        <v>29</v>
      </c>
      <c r="O4" s="50"/>
      <c r="P4" s="32" t="s">
        <v>14</v>
      </c>
      <c r="Q4" s="9"/>
      <c r="R4" s="11"/>
      <c r="S4" s="32" t="s">
        <v>20</v>
      </c>
      <c r="T4" s="11"/>
      <c r="U4" s="32" t="s">
        <v>30</v>
      </c>
      <c r="V4" s="38"/>
      <c r="W4" s="49" t="s">
        <v>29</v>
      </c>
      <c r="X4" s="50"/>
      <c r="Y4" s="46"/>
      <c r="Z4" s="46"/>
      <c r="AA4" s="45" t="s">
        <v>44</v>
      </c>
      <c r="AB4" s="32" t="s">
        <v>30</v>
      </c>
      <c r="AC4" s="38"/>
      <c r="AD4" s="49" t="s">
        <v>29</v>
      </c>
      <c r="AE4" s="50"/>
    </row>
    <row customFormat="1" customHeight="1" ht="17.100000000000001" r="5" s="2" spans="1:31">
      <c r="A5" s="33"/>
      <c r="B5" s="36"/>
      <c r="C5" s="42"/>
      <c r="D5" s="39"/>
      <c r="E5" s="31"/>
      <c r="F5" s="31"/>
      <c r="G5" s="48"/>
      <c r="H5" s="12" t="s">
        <v>23</v>
      </c>
      <c r="I5" s="11" t="s">
        <v>24</v>
      </c>
      <c r="J5" s="48"/>
      <c r="K5" s="13" t="s">
        <v>24</v>
      </c>
      <c r="L5" s="14" t="s">
        <v>33</v>
      </c>
      <c r="M5" s="15" t="s">
        <v>26</v>
      </c>
      <c r="N5" s="14" t="s">
        <v>33</v>
      </c>
      <c r="O5" s="15" t="s">
        <v>26</v>
      </c>
      <c r="P5" s="48"/>
      <c r="Q5" s="12" t="s">
        <v>21</v>
      </c>
      <c r="R5" s="11" t="s">
        <v>25</v>
      </c>
      <c r="S5" s="48"/>
      <c r="T5" s="13" t="s">
        <v>25</v>
      </c>
      <c r="U5" s="14" t="s">
        <v>33</v>
      </c>
      <c r="V5" s="15" t="s">
        <v>43</v>
      </c>
      <c r="W5" s="14" t="s">
        <v>33</v>
      </c>
      <c r="X5" s="15" t="s">
        <v>43</v>
      </c>
      <c r="Y5" s="47"/>
      <c r="Z5" s="47"/>
      <c r="AA5" s="47"/>
      <c r="AB5" s="14" t="s">
        <v>33</v>
      </c>
      <c r="AC5" s="15" t="s">
        <v>26</v>
      </c>
      <c r="AD5" s="14" t="s">
        <v>33</v>
      </c>
      <c r="AE5" s="15" t="s">
        <v>26</v>
      </c>
    </row>
    <row customFormat="1" ht="24" r="6" s="2" spans="1:31">
      <c r="A6" s="34"/>
      <c r="B6" s="37"/>
      <c r="C6" s="43"/>
      <c r="D6" s="40"/>
      <c r="E6" s="16" t="s">
        <v>39</v>
      </c>
      <c r="F6" s="16" t="s">
        <v>3</v>
      </c>
      <c r="G6" s="16" t="s">
        <v>4</v>
      </c>
      <c r="H6" s="17" t="s">
        <v>16</v>
      </c>
      <c r="I6" s="16" t="s">
        <v>15</v>
      </c>
      <c r="J6" s="16" t="s">
        <v>5</v>
      </c>
      <c r="K6" s="16" t="s">
        <v>15</v>
      </c>
      <c r="L6" s="18" t="s">
        <v>42</v>
      </c>
      <c r="M6" s="15" t="s">
        <v>9</v>
      </c>
      <c r="N6" s="18" t="s">
        <v>42</v>
      </c>
      <c r="O6" s="15" t="s">
        <v>28</v>
      </c>
      <c r="P6" s="16" t="s">
        <v>18</v>
      </c>
      <c r="Q6" s="17" t="s">
        <v>19</v>
      </c>
      <c r="R6" s="16" t="s">
        <v>17</v>
      </c>
      <c r="S6" s="16" t="s">
        <v>10</v>
      </c>
      <c r="T6" s="16" t="s">
        <v>27</v>
      </c>
      <c r="U6" s="18" t="s">
        <v>42</v>
      </c>
      <c r="V6" s="15" t="s">
        <v>31</v>
      </c>
      <c r="W6" s="18" t="s">
        <v>42</v>
      </c>
      <c r="X6" s="15" t="s">
        <v>32</v>
      </c>
      <c r="Y6" s="19" t="s">
        <v>6</v>
      </c>
      <c r="Z6" s="15" t="s">
        <v>7</v>
      </c>
      <c r="AA6" s="16" t="s">
        <v>45</v>
      </c>
      <c r="AB6" s="18" t="s">
        <v>42</v>
      </c>
      <c r="AC6" s="15" t="s">
        <v>9</v>
      </c>
      <c r="AD6" s="18" t="s">
        <v>42</v>
      </c>
      <c r="AE6" s="15" t="s">
        <v>28</v>
      </c>
    </row>
    <row customFormat="1" customHeight="1" ht="13.5" r="7" s="6" spans="1:31">
      <c r="A7" s="20" t="s">
        <v>46</v>
      </c>
      <c r="B7" s="21" t="s">
        <v>47</v>
      </c>
      <c r="C7" s="22"/>
      <c r="D7" s="23"/>
      <c r="E7" s="24" t="s">
        <v>48</v>
      </c>
      <c r="F7" s="25" t="n">
        <f>81</f>
        <v>81.0</v>
      </c>
      <c r="G7" s="26" t="n">
        <f>9819801</f>
        <v>9819801.0</v>
      </c>
      <c r="H7" s="26"/>
      <c r="I7" s="26" t="n">
        <f>2256212</f>
        <v>2256212.0</v>
      </c>
      <c r="J7" s="26" t="n">
        <f>121232</f>
        <v>121232.0</v>
      </c>
      <c r="K7" s="26" t="n">
        <f>27854</f>
        <v>27854.0</v>
      </c>
      <c r="L7" s="4" t="s">
        <v>49</v>
      </c>
      <c r="M7" s="27" t="n">
        <f>456326</f>
        <v>456326.0</v>
      </c>
      <c r="N7" s="5" t="s">
        <v>50</v>
      </c>
      <c r="O7" s="28" t="n">
        <f>26438</f>
        <v>26438.0</v>
      </c>
      <c r="P7" s="3" t="s">
        <v>51</v>
      </c>
      <c r="Q7" s="26"/>
      <c r="R7" s="3" t="s">
        <v>52</v>
      </c>
      <c r="S7" s="26" t="n">
        <f>2179711288321</f>
        <v>2.179711288321E12</v>
      </c>
      <c r="T7" s="26" t="n">
        <f>502186792580</f>
        <v>5.0218679258E11</v>
      </c>
      <c r="U7" s="5" t="s">
        <v>53</v>
      </c>
      <c r="V7" s="28" t="n">
        <f>8058869077000</f>
        <v>8.058869077E12</v>
      </c>
      <c r="W7" s="5" t="s">
        <v>50</v>
      </c>
      <c r="X7" s="28" t="n">
        <f>470907484000</f>
        <v>4.70907484E11</v>
      </c>
      <c r="Y7" s="28"/>
      <c r="Z7" s="26" t="n">
        <f>1523504</f>
        <v>1523504.0</v>
      </c>
      <c r="AA7" s="26" t="n">
        <f>424925</f>
        <v>424925.0</v>
      </c>
      <c r="AB7" s="4" t="s">
        <v>54</v>
      </c>
      <c r="AC7" s="27" t="n">
        <f>639124</f>
        <v>639124.0</v>
      </c>
      <c r="AD7" s="5" t="s">
        <v>55</v>
      </c>
      <c r="AE7" s="28" t="n">
        <f>402242</f>
        <v>402242.0</v>
      </c>
    </row>
    <row r="8">
      <c r="A8" s="20" t="s">
        <v>46</v>
      </c>
      <c r="B8" s="21" t="s">
        <v>47</v>
      </c>
      <c r="C8" s="22"/>
      <c r="D8" s="23"/>
      <c r="E8" s="24" t="s">
        <v>56</v>
      </c>
      <c r="F8" s="25" t="n">
        <f>245</f>
        <v>245.0</v>
      </c>
      <c r="G8" s="26" t="n">
        <f>29487683</f>
        <v>2.9487683E7</v>
      </c>
      <c r="H8" s="26"/>
      <c r="I8" s="26" t="n">
        <f>6066157</f>
        <v>6066157.0</v>
      </c>
      <c r="J8" s="26" t="n">
        <f>120358</f>
        <v>120358.0</v>
      </c>
      <c r="K8" s="26" t="n">
        <f>24760</f>
        <v>24760.0</v>
      </c>
      <c r="L8" s="4" t="s">
        <v>57</v>
      </c>
      <c r="M8" s="27" t="n">
        <f>507850</f>
        <v>507850.0</v>
      </c>
      <c r="N8" s="5" t="s">
        <v>58</v>
      </c>
      <c r="O8" s="28" t="n">
        <f>28515</f>
        <v>28515.0</v>
      </c>
      <c r="P8" s="3" t="s">
        <v>59</v>
      </c>
      <c r="Q8" s="26"/>
      <c r="R8" s="3" t="s">
        <v>60</v>
      </c>
      <c r="S8" s="26" t="n">
        <f>2239068046910</f>
        <v>2.23906804691E12</v>
      </c>
      <c r="T8" s="26" t="n">
        <f>461484852890</f>
        <v>4.6148485289E11</v>
      </c>
      <c r="U8" s="5" t="s">
        <v>57</v>
      </c>
      <c r="V8" s="28" t="n">
        <f>9202865815000</f>
        <v>9.202865815E12</v>
      </c>
      <c r="W8" s="5" t="s">
        <v>58</v>
      </c>
      <c r="X8" s="28" t="n">
        <f>537183017000</f>
        <v>5.37183017E11</v>
      </c>
      <c r="Y8" s="28"/>
      <c r="Z8" s="26" t="n">
        <f>4159834</f>
        <v>4159834.0</v>
      </c>
      <c r="AA8" s="26" t="n">
        <f>431555</f>
        <v>431555.0</v>
      </c>
      <c r="AB8" s="4" t="s">
        <v>61</v>
      </c>
      <c r="AC8" s="27" t="n">
        <f>644385</f>
        <v>644385.0</v>
      </c>
      <c r="AD8" s="5" t="s">
        <v>62</v>
      </c>
      <c r="AE8" s="28" t="n">
        <f>375882</f>
        <v>375882.0</v>
      </c>
    </row>
    <row r="9">
      <c r="A9" s="20" t="s">
        <v>46</v>
      </c>
      <c r="B9" s="21" t="s">
        <v>47</v>
      </c>
      <c r="C9" s="22"/>
      <c r="D9" s="23"/>
      <c r="E9" s="24" t="s">
        <v>63</v>
      </c>
      <c r="F9" s="25" t="n">
        <f>245</f>
        <v>245.0</v>
      </c>
      <c r="G9" s="26" t="n">
        <f>24041367</f>
        <v>2.4041367E7</v>
      </c>
      <c r="H9" s="26"/>
      <c r="I9" s="26" t="n">
        <f>6015034</f>
        <v>6015034.0</v>
      </c>
      <c r="J9" s="26" t="n">
        <f>98128</f>
        <v>98128.0</v>
      </c>
      <c r="K9" s="26" t="n">
        <f>24551</f>
        <v>24551.0</v>
      </c>
      <c r="L9" s="4" t="s">
        <v>64</v>
      </c>
      <c r="M9" s="27" t="n">
        <f>548073</f>
        <v>548073.0</v>
      </c>
      <c r="N9" s="5" t="s">
        <v>50</v>
      </c>
      <c r="O9" s="28" t="n">
        <f>32632</f>
        <v>32632.0</v>
      </c>
      <c r="P9" s="3" t="s">
        <v>65</v>
      </c>
      <c r="Q9" s="26"/>
      <c r="R9" s="3" t="s">
        <v>66</v>
      </c>
      <c r="S9" s="26" t="n">
        <f>1717638306589</f>
        <v>1.717638306589E12</v>
      </c>
      <c r="T9" s="26" t="n">
        <f>431565206642</f>
        <v>4.31565206642E11</v>
      </c>
      <c r="U9" s="5" t="s">
        <v>64</v>
      </c>
      <c r="V9" s="28" t="n">
        <f>10077313855960</f>
        <v>1.007731385596E13</v>
      </c>
      <c r="W9" s="5" t="s">
        <v>67</v>
      </c>
      <c r="X9" s="28" t="n">
        <f>618785473370</f>
        <v>6.1878547337E11</v>
      </c>
      <c r="Y9" s="28"/>
      <c r="Z9" s="26" t="n">
        <f>3528904</f>
        <v>3528904.0</v>
      </c>
      <c r="AA9" s="26" t="n">
        <f>431832</f>
        <v>431832.0</v>
      </c>
      <c r="AB9" s="4" t="s">
        <v>68</v>
      </c>
      <c r="AC9" s="27" t="n">
        <f>625766</f>
        <v>625766.0</v>
      </c>
      <c r="AD9" s="5" t="s">
        <v>69</v>
      </c>
      <c r="AE9" s="28" t="n">
        <f>363688</f>
        <v>363688.0</v>
      </c>
    </row>
    <row r="10">
      <c r="A10" s="20" t="s">
        <v>46</v>
      </c>
      <c r="B10" s="21" t="s">
        <v>47</v>
      </c>
      <c r="C10" s="22"/>
      <c r="D10" s="23"/>
      <c r="E10" s="24" t="s">
        <v>70</v>
      </c>
      <c r="F10" s="25" t="n">
        <f>245</f>
        <v>245.0</v>
      </c>
      <c r="G10" s="26" t="n">
        <f>25030805</f>
        <v>2.5030805E7</v>
      </c>
      <c r="H10" s="26"/>
      <c r="I10" s="26" t="n">
        <f>6051591</f>
        <v>6051591.0</v>
      </c>
      <c r="J10" s="26" t="n">
        <f>102167</f>
        <v>102167.0</v>
      </c>
      <c r="K10" s="26" t="n">
        <f>24700</f>
        <v>24700.0</v>
      </c>
      <c r="L10" s="4" t="s">
        <v>71</v>
      </c>
      <c r="M10" s="27" t="n">
        <f>520171</f>
        <v>520171.0</v>
      </c>
      <c r="N10" s="5" t="s">
        <v>50</v>
      </c>
      <c r="O10" s="28" t="n">
        <f>15763</f>
        <v>15763.0</v>
      </c>
      <c r="P10" s="3" t="s">
        <v>72</v>
      </c>
      <c r="Q10" s="26"/>
      <c r="R10" s="3" t="s">
        <v>73</v>
      </c>
      <c r="S10" s="26" t="n">
        <f>2148945380551</f>
        <v>2.148945380551E12</v>
      </c>
      <c r="T10" s="26" t="n">
        <f>518776646102</f>
        <v>5.18776646102E11</v>
      </c>
      <c r="U10" s="5" t="s">
        <v>71</v>
      </c>
      <c r="V10" s="28" t="n">
        <f>11094855966410</f>
        <v>1.109485596641E13</v>
      </c>
      <c r="W10" s="5" t="s">
        <v>50</v>
      </c>
      <c r="X10" s="28" t="n">
        <f>360339288460</f>
        <v>3.6033928846E11</v>
      </c>
      <c r="Y10" s="28"/>
      <c r="Z10" s="26" t="n">
        <f>3551842</f>
        <v>3551842.0</v>
      </c>
      <c r="AA10" s="26" t="n">
        <f>436080</f>
        <v>436080.0</v>
      </c>
      <c r="AB10" s="4" t="s">
        <v>74</v>
      </c>
      <c r="AC10" s="27" t="n">
        <f>608734</f>
        <v>608734.0</v>
      </c>
      <c r="AD10" s="5" t="s">
        <v>75</v>
      </c>
      <c r="AE10" s="28" t="n">
        <f>356596</f>
        <v>356596.0</v>
      </c>
    </row>
    <row r="11">
      <c r="A11" s="20" t="s">
        <v>46</v>
      </c>
      <c r="B11" s="21" t="s">
        <v>47</v>
      </c>
      <c r="C11" s="22"/>
      <c r="D11" s="23"/>
      <c r="E11" s="24" t="s">
        <v>76</v>
      </c>
      <c r="F11" s="25" t="n">
        <f>244</f>
        <v>244.0</v>
      </c>
      <c r="G11" s="26" t="n">
        <f>24385162</f>
        <v>2.4385162E7</v>
      </c>
      <c r="H11" s="26"/>
      <c r="I11" s="26" t="n">
        <f>5664944</f>
        <v>5664944.0</v>
      </c>
      <c r="J11" s="26" t="n">
        <f>99939</f>
        <v>99939.0</v>
      </c>
      <c r="K11" s="26" t="n">
        <f>23217</f>
        <v>23217.0</v>
      </c>
      <c r="L11" s="4" t="s">
        <v>54</v>
      </c>
      <c r="M11" s="27" t="n">
        <f>481783</f>
        <v>481783.0</v>
      </c>
      <c r="N11" s="5" t="s">
        <v>77</v>
      </c>
      <c r="O11" s="28" t="n">
        <f>41406</f>
        <v>41406.0</v>
      </c>
      <c r="P11" s="3" t="s">
        <v>78</v>
      </c>
      <c r="Q11" s="26"/>
      <c r="R11" s="3" t="s">
        <v>79</v>
      </c>
      <c r="S11" s="26" t="n">
        <f>2188905682273</f>
        <v>2.188905682273E12</v>
      </c>
      <c r="T11" s="26" t="n">
        <f>507890590342</f>
        <v>5.07890590342E11</v>
      </c>
      <c r="U11" s="5" t="s">
        <v>54</v>
      </c>
      <c r="V11" s="28" t="n">
        <f>10313099467582</f>
        <v>1.0313099467582E13</v>
      </c>
      <c r="W11" s="5" t="s">
        <v>77</v>
      </c>
      <c r="X11" s="28" t="n">
        <f>934218055030</f>
        <v>9.3421805503E11</v>
      </c>
      <c r="Y11" s="28"/>
      <c r="Z11" s="26" t="n">
        <f>2722735</f>
        <v>2722735.0</v>
      </c>
      <c r="AA11" s="26" t="n">
        <f>394207</f>
        <v>394207.0</v>
      </c>
      <c r="AB11" s="4" t="s">
        <v>54</v>
      </c>
      <c r="AC11" s="27" t="n">
        <f>595659</f>
        <v>595659.0</v>
      </c>
      <c r="AD11" s="5" t="s">
        <v>80</v>
      </c>
      <c r="AE11" s="28" t="n">
        <f>359928</f>
        <v>359928.0</v>
      </c>
    </row>
    <row r="12">
      <c r="A12" s="20" t="s">
        <v>46</v>
      </c>
      <c r="B12" s="21" t="s">
        <v>47</v>
      </c>
      <c r="C12" s="22"/>
      <c r="D12" s="23"/>
      <c r="E12" s="24" t="s">
        <v>81</v>
      </c>
      <c r="F12" s="25" t="n">
        <f>241</f>
        <v>241.0</v>
      </c>
      <c r="G12" s="26" t="n">
        <f>26519770</f>
        <v>2.651977E7</v>
      </c>
      <c r="H12" s="26"/>
      <c r="I12" s="26" t="n">
        <f>5750949</f>
        <v>5750949.0</v>
      </c>
      <c r="J12" s="26" t="n">
        <f>110041</f>
        <v>110041.0</v>
      </c>
      <c r="K12" s="26" t="n">
        <f>23863</f>
        <v>23863.0</v>
      </c>
      <c r="L12" s="4" t="s">
        <v>53</v>
      </c>
      <c r="M12" s="27" t="n">
        <f>623938</f>
        <v>623938.0</v>
      </c>
      <c r="N12" s="5" t="s">
        <v>82</v>
      </c>
      <c r="O12" s="28" t="n">
        <f>12395</f>
        <v>12395.0</v>
      </c>
      <c r="P12" s="3" t="s">
        <v>83</v>
      </c>
      <c r="Q12" s="26"/>
      <c r="R12" s="3" t="s">
        <v>84</v>
      </c>
      <c r="S12" s="26" t="n">
        <f>2351829134795</f>
        <v>2.351829134795E12</v>
      </c>
      <c r="T12" s="26" t="n">
        <f>508468563492</f>
        <v>5.08468563492E11</v>
      </c>
      <c r="U12" s="5" t="s">
        <v>53</v>
      </c>
      <c r="V12" s="28" t="n">
        <f>12064388567567</f>
        <v>1.2064388567567E13</v>
      </c>
      <c r="W12" s="5" t="s">
        <v>82</v>
      </c>
      <c r="X12" s="28" t="n">
        <f>294315870660</f>
        <v>2.9431587066E11</v>
      </c>
      <c r="Y12" s="28"/>
      <c r="Z12" s="26" t="n">
        <f>2415185</f>
        <v>2415185.0</v>
      </c>
      <c r="AA12" s="26" t="n">
        <f>446816</f>
        <v>446816.0</v>
      </c>
      <c r="AB12" s="4" t="s">
        <v>85</v>
      </c>
      <c r="AC12" s="27" t="n">
        <f>616809</f>
        <v>616809.0</v>
      </c>
      <c r="AD12" s="5" t="s">
        <v>86</v>
      </c>
      <c r="AE12" s="28" t="n">
        <f>328183</f>
        <v>328183.0</v>
      </c>
    </row>
    <row r="13">
      <c r="A13" s="20" t="s">
        <v>46</v>
      </c>
      <c r="B13" s="21" t="s">
        <v>47</v>
      </c>
      <c r="C13" s="22"/>
      <c r="D13" s="23"/>
      <c r="E13" s="24" t="s">
        <v>87</v>
      </c>
      <c r="F13" s="25" t="n">
        <f>245</f>
        <v>245.0</v>
      </c>
      <c r="G13" s="26" t="n">
        <f>22476988</f>
        <v>2.2476988E7</v>
      </c>
      <c r="H13" s="26"/>
      <c r="I13" s="26" t="n">
        <f>5212142</f>
        <v>5212142.0</v>
      </c>
      <c r="J13" s="26" t="n">
        <f>91743</f>
        <v>91743.0</v>
      </c>
      <c r="K13" s="26" t="n">
        <f>21274</f>
        <v>21274.0</v>
      </c>
      <c r="L13" s="4" t="s">
        <v>61</v>
      </c>
      <c r="M13" s="27" t="n">
        <f>390095</f>
        <v>390095.0</v>
      </c>
      <c r="N13" s="5" t="s">
        <v>82</v>
      </c>
      <c r="O13" s="28" t="n">
        <f>13578</f>
        <v>13578.0</v>
      </c>
      <c r="P13" s="3" t="s">
        <v>88</v>
      </c>
      <c r="Q13" s="26"/>
      <c r="R13" s="3" t="s">
        <v>89</v>
      </c>
      <c r="S13" s="26" t="n">
        <f>2230354870434</f>
        <v>2.230354870434E12</v>
      </c>
      <c r="T13" s="26" t="n">
        <f>518020549299</f>
        <v>5.18020549299E11</v>
      </c>
      <c r="U13" s="5" t="s">
        <v>61</v>
      </c>
      <c r="V13" s="28" t="n">
        <f>11231687743747</f>
        <v>1.1231687743747E13</v>
      </c>
      <c r="W13" s="5" t="s">
        <v>82</v>
      </c>
      <c r="X13" s="28" t="n">
        <f>361421139100</f>
        <v>3.614211391E11</v>
      </c>
      <c r="Y13" s="28"/>
      <c r="Z13" s="26" t="n">
        <f>2073778</f>
        <v>2073778.0</v>
      </c>
      <c r="AA13" s="26" t="n">
        <f>311790</f>
        <v>311790.0</v>
      </c>
      <c r="AB13" s="4" t="s">
        <v>90</v>
      </c>
      <c r="AC13" s="27" t="n">
        <f>604958</f>
        <v>604958.0</v>
      </c>
      <c r="AD13" s="5" t="s">
        <v>91</v>
      </c>
      <c r="AE13" s="28" t="n">
        <f>297789</f>
        <v>297789.0</v>
      </c>
    </row>
    <row r="14">
      <c r="A14" s="20" t="s">
        <v>46</v>
      </c>
      <c r="B14" s="21" t="s">
        <v>47</v>
      </c>
      <c r="C14" s="22"/>
      <c r="D14" s="23"/>
      <c r="E14" s="24" t="s">
        <v>92</v>
      </c>
      <c r="F14" s="25" t="n">
        <f>244</f>
        <v>244.0</v>
      </c>
      <c r="G14" s="26" t="n">
        <f>18540771</f>
        <v>1.8540771E7</v>
      </c>
      <c r="H14" s="26"/>
      <c r="I14" s="26" t="n">
        <f>4656690</f>
        <v>4656690.0</v>
      </c>
      <c r="J14" s="26" t="n">
        <f>75987</f>
        <v>75987.0</v>
      </c>
      <c r="K14" s="26" t="n">
        <f>19085</f>
        <v>19085.0</v>
      </c>
      <c r="L14" s="4" t="s">
        <v>61</v>
      </c>
      <c r="M14" s="27" t="n">
        <f>392829</f>
        <v>392829.0</v>
      </c>
      <c r="N14" s="5" t="s">
        <v>93</v>
      </c>
      <c r="O14" s="28" t="n">
        <f>16941</f>
        <v>16941.0</v>
      </c>
      <c r="P14" s="3" t="s">
        <v>94</v>
      </c>
      <c r="Q14" s="26"/>
      <c r="R14" s="3" t="s">
        <v>95</v>
      </c>
      <c r="S14" s="26" t="n">
        <f>2134293529796</f>
        <v>2.134293529796E12</v>
      </c>
      <c r="T14" s="26" t="n">
        <f>536321840476</f>
        <v>5.36321840476E11</v>
      </c>
      <c r="U14" s="5" t="s">
        <v>96</v>
      </c>
      <c r="V14" s="28" t="n">
        <f>10120066661710</f>
        <v>1.012006666171E13</v>
      </c>
      <c r="W14" s="5" t="s">
        <v>93</v>
      </c>
      <c r="X14" s="28" t="n">
        <f>485560644860</f>
        <v>4.8556064486E11</v>
      </c>
      <c r="Y14" s="28"/>
      <c r="Z14" s="26" t="n">
        <f>2636370</f>
        <v>2636370.0</v>
      </c>
      <c r="AA14" s="26" t="n">
        <f>280899</f>
        <v>280899.0</v>
      </c>
      <c r="AB14" s="4" t="s">
        <v>53</v>
      </c>
      <c r="AC14" s="27" t="n">
        <f>396220</f>
        <v>396220.0</v>
      </c>
      <c r="AD14" s="5" t="s">
        <v>97</v>
      </c>
      <c r="AE14" s="28" t="n">
        <f>239898</f>
        <v>239898.0</v>
      </c>
    </row>
    <row r="15">
      <c r="A15" s="20" t="s">
        <v>46</v>
      </c>
      <c r="B15" s="21" t="s">
        <v>47</v>
      </c>
      <c r="C15" s="22"/>
      <c r="D15" s="23"/>
      <c r="E15" s="24" t="s">
        <v>98</v>
      </c>
      <c r="F15" s="25" t="n">
        <f>245</f>
        <v>245.0</v>
      </c>
      <c r="G15" s="26" t="n">
        <f>21467298</f>
        <v>2.1467298E7</v>
      </c>
      <c r="H15" s="26"/>
      <c r="I15" s="26" t="n">
        <f>4886660</f>
        <v>4886660.0</v>
      </c>
      <c r="J15" s="26" t="n">
        <f>87622</f>
        <v>87622.0</v>
      </c>
      <c r="K15" s="26" t="n">
        <f>19946</f>
        <v>19946.0</v>
      </c>
      <c r="L15" s="4" t="s">
        <v>99</v>
      </c>
      <c r="M15" s="27" t="n">
        <f>354117</f>
        <v>354117.0</v>
      </c>
      <c r="N15" s="5" t="s">
        <v>93</v>
      </c>
      <c r="O15" s="28" t="n">
        <f>30439</f>
        <v>30439.0</v>
      </c>
      <c r="P15" s="3" t="s">
        <v>100</v>
      </c>
      <c r="Q15" s="26"/>
      <c r="R15" s="3" t="s">
        <v>101</v>
      </c>
      <c r="S15" s="26" t="n">
        <f>2384806330540</f>
        <v>2.38480633054E12</v>
      </c>
      <c r="T15" s="26" t="n">
        <f>545254654442</f>
        <v>5.45254654442E11</v>
      </c>
      <c r="U15" s="5" t="s">
        <v>99</v>
      </c>
      <c r="V15" s="28" t="n">
        <f>9899619089733</f>
        <v>9.899619089733E12</v>
      </c>
      <c r="W15" s="5" t="s">
        <v>93</v>
      </c>
      <c r="X15" s="28" t="n">
        <f>804324030078</f>
        <v>8.04324030078E11</v>
      </c>
      <c r="Y15" s="28"/>
      <c r="Z15" s="26" t="n">
        <f>2188355</f>
        <v>2188355.0</v>
      </c>
      <c r="AA15" s="26" t="n">
        <f>291708</f>
        <v>291708.0</v>
      </c>
      <c r="AB15" s="4" t="s">
        <v>102</v>
      </c>
      <c r="AC15" s="27" t="n">
        <f>381216</f>
        <v>381216.0</v>
      </c>
      <c r="AD15" s="5" t="s">
        <v>54</v>
      </c>
      <c r="AE15" s="28" t="n">
        <f>247339</f>
        <v>247339.0</v>
      </c>
    </row>
    <row r="16">
      <c r="A16" s="20" t="s">
        <v>46</v>
      </c>
      <c r="B16" s="21" t="s">
        <v>47</v>
      </c>
      <c r="C16" s="22"/>
      <c r="D16" s="23"/>
      <c r="E16" s="24" t="s">
        <v>103</v>
      </c>
      <c r="F16" s="25" t="n">
        <f>244</f>
        <v>244.0</v>
      </c>
      <c r="G16" s="26" t="n">
        <f>21320485</f>
        <v>2.1320485E7</v>
      </c>
      <c r="H16" s="26"/>
      <c r="I16" s="26" t="n">
        <f>4631856</f>
        <v>4631856.0</v>
      </c>
      <c r="J16" s="26" t="n">
        <f>87379</f>
        <v>87379.0</v>
      </c>
      <c r="K16" s="26" t="n">
        <f>18983</f>
        <v>18983.0</v>
      </c>
      <c r="L16" s="4" t="s">
        <v>104</v>
      </c>
      <c r="M16" s="27" t="n">
        <f>488619</f>
        <v>488619.0</v>
      </c>
      <c r="N16" s="5" t="s">
        <v>50</v>
      </c>
      <c r="O16" s="28" t="n">
        <f>17289</f>
        <v>17289.0</v>
      </c>
      <c r="P16" s="3" t="s">
        <v>105</v>
      </c>
      <c r="Q16" s="26"/>
      <c r="R16" s="3" t="s">
        <v>106</v>
      </c>
      <c r="S16" s="26" t="n">
        <f>2921546546193</f>
        <v>2.921546546193E12</v>
      </c>
      <c r="T16" s="26" t="n">
        <f>637798655943</f>
        <v>6.37798655943E11</v>
      </c>
      <c r="U16" s="5" t="s">
        <v>104</v>
      </c>
      <c r="V16" s="28" t="n">
        <f>19523904099485</f>
        <v>1.9523904099485E13</v>
      </c>
      <c r="W16" s="5" t="s">
        <v>50</v>
      </c>
      <c r="X16" s="28" t="n">
        <f>573418370000</f>
        <v>5.7341837E11</v>
      </c>
      <c r="Y16" s="28"/>
      <c r="Z16" s="26" t="n">
        <f>2630608</f>
        <v>2630608.0</v>
      </c>
      <c r="AA16" s="26" t="n">
        <f>275870</f>
        <v>275870.0</v>
      </c>
      <c r="AB16" s="4" t="s">
        <v>107</v>
      </c>
      <c r="AC16" s="27" t="n">
        <f>409400</f>
        <v>409400.0</v>
      </c>
      <c r="AD16" s="5" t="s">
        <v>54</v>
      </c>
      <c r="AE16" s="28" t="n">
        <f>243886</f>
        <v>243886.0</v>
      </c>
    </row>
    <row r="17">
      <c r="A17" s="20" t="s">
        <v>108</v>
      </c>
      <c r="B17" s="21" t="s">
        <v>109</v>
      </c>
      <c r="C17" s="22"/>
      <c r="D17" s="23"/>
      <c r="E17" s="24" t="s">
        <v>48</v>
      </c>
      <c r="F17" s="25" t="n">
        <f>81</f>
        <v>81.0</v>
      </c>
      <c r="G17" s="26" t="n">
        <f>76598900</f>
        <v>7.65989E7</v>
      </c>
      <c r="H17" s="26"/>
      <c r="I17" s="26" t="n">
        <f>2421637</f>
        <v>2421637.0</v>
      </c>
      <c r="J17" s="26" t="n">
        <f>945665</f>
        <v>945665.0</v>
      </c>
      <c r="K17" s="26" t="n">
        <f>29897</f>
        <v>29897.0</v>
      </c>
      <c r="L17" s="4" t="s">
        <v>110</v>
      </c>
      <c r="M17" s="27" t="n">
        <f>2081030</f>
        <v>2081030.0</v>
      </c>
      <c r="N17" s="5" t="s">
        <v>82</v>
      </c>
      <c r="O17" s="28" t="n">
        <f>191322</f>
        <v>191322.0</v>
      </c>
      <c r="P17" s="3" t="s">
        <v>111</v>
      </c>
      <c r="Q17" s="26"/>
      <c r="R17" s="3" t="s">
        <v>112</v>
      </c>
      <c r="S17" s="26" t="n">
        <f>1696065541679</f>
        <v>1.696065541679E12</v>
      </c>
      <c r="T17" s="26" t="n">
        <f>53522256784</f>
        <v>5.3522256784E10</v>
      </c>
      <c r="U17" s="5" t="s">
        <v>49</v>
      </c>
      <c r="V17" s="28" t="n">
        <f>3605171958800</f>
        <v>3.6051719588E12</v>
      </c>
      <c r="W17" s="5" t="s">
        <v>82</v>
      </c>
      <c r="X17" s="28" t="n">
        <f>340433553900</f>
        <v>3.404335539E11</v>
      </c>
      <c r="Y17" s="28"/>
      <c r="Z17" s="26" t="n">
        <f>3425060</f>
        <v>3425060.0</v>
      </c>
      <c r="AA17" s="26" t="n">
        <f>435055</f>
        <v>435055.0</v>
      </c>
      <c r="AB17" s="4" t="s">
        <v>54</v>
      </c>
      <c r="AC17" s="27" t="n">
        <f>917603</f>
        <v>917603.0</v>
      </c>
      <c r="AD17" s="5" t="s">
        <v>55</v>
      </c>
      <c r="AE17" s="28" t="n">
        <f>333571</f>
        <v>333571.0</v>
      </c>
    </row>
    <row r="18">
      <c r="A18" s="20" t="s">
        <v>108</v>
      </c>
      <c r="B18" s="21" t="s">
        <v>109</v>
      </c>
      <c r="C18" s="22"/>
      <c r="D18" s="23"/>
      <c r="E18" s="24" t="s">
        <v>56</v>
      </c>
      <c r="F18" s="25" t="n">
        <f>245</f>
        <v>245.0</v>
      </c>
      <c r="G18" s="26" t="n">
        <f>269690101</f>
        <v>2.69690101E8</v>
      </c>
      <c r="H18" s="26"/>
      <c r="I18" s="26" t="n">
        <f>10885111</f>
        <v>1.0885111E7</v>
      </c>
      <c r="J18" s="26" t="n">
        <f>1100776</f>
        <v>1100776.0</v>
      </c>
      <c r="K18" s="26" t="n">
        <f>44429</f>
        <v>44429.0</v>
      </c>
      <c r="L18" s="4" t="s">
        <v>57</v>
      </c>
      <c r="M18" s="27" t="n">
        <f>4893610</f>
        <v>4893610.0</v>
      </c>
      <c r="N18" s="5" t="s">
        <v>58</v>
      </c>
      <c r="O18" s="28" t="n">
        <f>341116</f>
        <v>341116.0</v>
      </c>
      <c r="P18" s="3" t="s">
        <v>113</v>
      </c>
      <c r="Q18" s="26"/>
      <c r="R18" s="3" t="s">
        <v>114</v>
      </c>
      <c r="S18" s="26" t="n">
        <f>2052468709337</f>
        <v>2.052468709337E12</v>
      </c>
      <c r="T18" s="26" t="n">
        <f>82566783596</f>
        <v>8.2566783596E10</v>
      </c>
      <c r="U18" s="5" t="s">
        <v>57</v>
      </c>
      <c r="V18" s="28" t="n">
        <f>8834987357200</f>
        <v>8.8349873572E12</v>
      </c>
      <c r="W18" s="5" t="s">
        <v>58</v>
      </c>
      <c r="X18" s="28" t="n">
        <f>642345110600</f>
        <v>6.423451106E11</v>
      </c>
      <c r="Y18" s="28"/>
      <c r="Z18" s="26" t="n">
        <f>15948881</f>
        <v>1.5948881E7</v>
      </c>
      <c r="AA18" s="26" t="n">
        <f>361567</f>
        <v>361567.0</v>
      </c>
      <c r="AB18" s="4" t="s">
        <v>75</v>
      </c>
      <c r="AC18" s="27" t="n">
        <f>936727</f>
        <v>936727.0</v>
      </c>
      <c r="AD18" s="5" t="s">
        <v>115</v>
      </c>
      <c r="AE18" s="28" t="n">
        <f>254479</f>
        <v>254479.0</v>
      </c>
    </row>
    <row r="19">
      <c r="A19" s="20" t="s">
        <v>108</v>
      </c>
      <c r="B19" s="21" t="s">
        <v>109</v>
      </c>
      <c r="C19" s="22"/>
      <c r="D19" s="23"/>
      <c r="E19" s="24" t="s">
        <v>63</v>
      </c>
      <c r="F19" s="25" t="n">
        <f>245</f>
        <v>245.0</v>
      </c>
      <c r="G19" s="26" t="n">
        <f>210999767</f>
        <v>2.10999767E8</v>
      </c>
      <c r="H19" s="26"/>
      <c r="I19" s="26" t="n">
        <f>9762093</f>
        <v>9762093.0</v>
      </c>
      <c r="J19" s="26" t="n">
        <f>861224</f>
        <v>861224.0</v>
      </c>
      <c r="K19" s="26" t="n">
        <f>39845</f>
        <v>39845.0</v>
      </c>
      <c r="L19" s="4" t="s">
        <v>116</v>
      </c>
      <c r="M19" s="27" t="n">
        <f>3039238</f>
        <v>3039238.0</v>
      </c>
      <c r="N19" s="5" t="s">
        <v>50</v>
      </c>
      <c r="O19" s="28" t="n">
        <f>336109</f>
        <v>336109.0</v>
      </c>
      <c r="P19" s="3" t="s">
        <v>117</v>
      </c>
      <c r="Q19" s="26"/>
      <c r="R19" s="3" t="s">
        <v>118</v>
      </c>
      <c r="S19" s="26" t="n">
        <f>1506086235886</f>
        <v>1.506086235886E12</v>
      </c>
      <c r="T19" s="26" t="n">
        <f>69476115224</f>
        <v>6.9476115224E10</v>
      </c>
      <c r="U19" s="5" t="s">
        <v>116</v>
      </c>
      <c r="V19" s="28" t="n">
        <f>5094447340200</f>
        <v>5.0944473402E12</v>
      </c>
      <c r="W19" s="5" t="s">
        <v>67</v>
      </c>
      <c r="X19" s="28" t="n">
        <f>627574987600</f>
        <v>6.275749876E11</v>
      </c>
      <c r="Y19" s="28"/>
      <c r="Z19" s="26" t="n">
        <f>13366839</f>
        <v>1.3366839E7</v>
      </c>
      <c r="AA19" s="26" t="n">
        <f>485725</f>
        <v>485725.0</v>
      </c>
      <c r="AB19" s="4" t="s">
        <v>119</v>
      </c>
      <c r="AC19" s="27" t="n">
        <f>756915</f>
        <v>756915.0</v>
      </c>
      <c r="AD19" s="5" t="s">
        <v>69</v>
      </c>
      <c r="AE19" s="28" t="n">
        <f>243378</f>
        <v>243378.0</v>
      </c>
    </row>
    <row r="20">
      <c r="A20" s="20" t="s">
        <v>108</v>
      </c>
      <c r="B20" s="21" t="s">
        <v>109</v>
      </c>
      <c r="C20" s="22"/>
      <c r="D20" s="23"/>
      <c r="E20" s="24" t="s">
        <v>70</v>
      </c>
      <c r="F20" s="25" t="n">
        <f>245</f>
        <v>245.0</v>
      </c>
      <c r="G20" s="26" t="n">
        <f>241275249</f>
        <v>2.41275249E8</v>
      </c>
      <c r="H20" s="26"/>
      <c r="I20" s="26" t="n">
        <f>12642480</f>
        <v>1.264248E7</v>
      </c>
      <c r="J20" s="26" t="n">
        <f>984797</f>
        <v>984797.0</v>
      </c>
      <c r="K20" s="26" t="n">
        <f>51602</f>
        <v>51602.0</v>
      </c>
      <c r="L20" s="4" t="s">
        <v>120</v>
      </c>
      <c r="M20" s="27" t="n">
        <f>3415767</f>
        <v>3415767.0</v>
      </c>
      <c r="N20" s="5" t="s">
        <v>50</v>
      </c>
      <c r="O20" s="28" t="n">
        <f>193505</f>
        <v>193505.0</v>
      </c>
      <c r="P20" s="3" t="s">
        <v>121</v>
      </c>
      <c r="Q20" s="26"/>
      <c r="R20" s="3" t="s">
        <v>122</v>
      </c>
      <c r="S20" s="26" t="n">
        <f>2079615583971</f>
        <v>2.079615583971E12</v>
      </c>
      <c r="T20" s="26" t="n">
        <f>110010672713</f>
        <v>1.10010672713E11</v>
      </c>
      <c r="U20" s="5" t="s">
        <v>120</v>
      </c>
      <c r="V20" s="28" t="n">
        <f>7466438977550</f>
        <v>7.46643897755E12</v>
      </c>
      <c r="W20" s="5" t="s">
        <v>50</v>
      </c>
      <c r="X20" s="28" t="n">
        <f>442637806800</f>
        <v>4.426378068E11</v>
      </c>
      <c r="Y20" s="28"/>
      <c r="Z20" s="26" t="n">
        <f>16887216</f>
        <v>1.6887216E7</v>
      </c>
      <c r="AA20" s="26" t="n">
        <f>552300</f>
        <v>552300.0</v>
      </c>
      <c r="AB20" s="4" t="s">
        <v>74</v>
      </c>
      <c r="AC20" s="27" t="n">
        <f>1255998</f>
        <v>1255998.0</v>
      </c>
      <c r="AD20" s="5" t="s">
        <v>90</v>
      </c>
      <c r="AE20" s="28" t="n">
        <f>296343</f>
        <v>296343.0</v>
      </c>
    </row>
    <row r="21">
      <c r="A21" s="20" t="s">
        <v>108</v>
      </c>
      <c r="B21" s="21" t="s">
        <v>109</v>
      </c>
      <c r="C21" s="22"/>
      <c r="D21" s="23"/>
      <c r="E21" s="24" t="s">
        <v>76</v>
      </c>
      <c r="F21" s="25" t="n">
        <f>244</f>
        <v>244.0</v>
      </c>
      <c r="G21" s="26" t="n">
        <f>256461240</f>
        <v>2.5646124E8</v>
      </c>
      <c r="H21" s="26"/>
      <c r="I21" s="26" t="n">
        <f>15196611</f>
        <v>1.5196611E7</v>
      </c>
      <c r="J21" s="26" t="n">
        <f>1051071</f>
        <v>1051071.0</v>
      </c>
      <c r="K21" s="26" t="n">
        <f>62281</f>
        <v>62281.0</v>
      </c>
      <c r="L21" s="4" t="s">
        <v>123</v>
      </c>
      <c r="M21" s="27" t="n">
        <f>2659660</f>
        <v>2659660.0</v>
      </c>
      <c r="N21" s="5" t="s">
        <v>124</v>
      </c>
      <c r="O21" s="28" t="n">
        <f>370324</f>
        <v>370324.0</v>
      </c>
      <c r="P21" s="3" t="s">
        <v>125</v>
      </c>
      <c r="Q21" s="26"/>
      <c r="R21" s="3" t="s">
        <v>126</v>
      </c>
      <c r="S21" s="26" t="n">
        <f>2300918848494</f>
        <v>2.300918848494E12</v>
      </c>
      <c r="T21" s="26" t="n">
        <f>136101114167</f>
        <v>1.36101114167E11</v>
      </c>
      <c r="U21" s="5" t="s">
        <v>123</v>
      </c>
      <c r="V21" s="28" t="n">
        <f>6081735038130</f>
        <v>6.08173503813E12</v>
      </c>
      <c r="W21" s="5" t="s">
        <v>124</v>
      </c>
      <c r="X21" s="28" t="n">
        <f>851457037400</f>
        <v>8.514570374E11</v>
      </c>
      <c r="Y21" s="28"/>
      <c r="Z21" s="26" t="n">
        <f>18798727</f>
        <v>1.8798727E7</v>
      </c>
      <c r="AA21" s="26" t="n">
        <f>419232</f>
        <v>419232.0</v>
      </c>
      <c r="AB21" s="4" t="s">
        <v>58</v>
      </c>
      <c r="AC21" s="27" t="n">
        <f>1279710</f>
        <v>1279710.0</v>
      </c>
      <c r="AD21" s="5" t="s">
        <v>127</v>
      </c>
      <c r="AE21" s="28" t="n">
        <f>236192</f>
        <v>236192.0</v>
      </c>
    </row>
    <row r="22">
      <c r="A22" s="20" t="s">
        <v>108</v>
      </c>
      <c r="B22" s="21" t="s">
        <v>109</v>
      </c>
      <c r="C22" s="22"/>
      <c r="D22" s="23"/>
      <c r="E22" s="24" t="s">
        <v>81</v>
      </c>
      <c r="F22" s="25" t="n">
        <f>241</f>
        <v>241.0</v>
      </c>
      <c r="G22" s="26" t="n">
        <f>295899813</f>
        <v>2.95899813E8</v>
      </c>
      <c r="H22" s="26"/>
      <c r="I22" s="26" t="n">
        <f>19170881</f>
        <v>1.9170881E7</v>
      </c>
      <c r="J22" s="26" t="n">
        <f>1227800</f>
        <v>1227800.0</v>
      </c>
      <c r="K22" s="26" t="n">
        <f>79547</f>
        <v>79547.0</v>
      </c>
      <c r="L22" s="4" t="s">
        <v>128</v>
      </c>
      <c r="M22" s="27" t="n">
        <f>5132559</f>
        <v>5132559.0</v>
      </c>
      <c r="N22" s="5" t="s">
        <v>82</v>
      </c>
      <c r="O22" s="28" t="n">
        <f>166721</f>
        <v>166721.0</v>
      </c>
      <c r="P22" s="3" t="s">
        <v>129</v>
      </c>
      <c r="Q22" s="26"/>
      <c r="R22" s="3" t="s">
        <v>130</v>
      </c>
      <c r="S22" s="26" t="n">
        <f>2624758212912</f>
        <v>2.624758212912E12</v>
      </c>
      <c r="T22" s="26" t="n">
        <f>170813449943</f>
        <v>1.70813449943E11</v>
      </c>
      <c r="U22" s="5" t="s">
        <v>128</v>
      </c>
      <c r="V22" s="28" t="n">
        <f>10739808304500</f>
        <v>1.07398083045E13</v>
      </c>
      <c r="W22" s="5" t="s">
        <v>82</v>
      </c>
      <c r="X22" s="28" t="n">
        <f>395952456600</f>
        <v>3.959524566E11</v>
      </c>
      <c r="Y22" s="28"/>
      <c r="Z22" s="26" t="n">
        <f>23099387</f>
        <v>2.3099387E7</v>
      </c>
      <c r="AA22" s="26" t="n">
        <f>665463</f>
        <v>665463.0</v>
      </c>
      <c r="AB22" s="4" t="s">
        <v>85</v>
      </c>
      <c r="AC22" s="27" t="n">
        <f>2031915</f>
        <v>2031915.0</v>
      </c>
      <c r="AD22" s="5" t="s">
        <v>131</v>
      </c>
      <c r="AE22" s="28" t="n">
        <f>284867</f>
        <v>284867.0</v>
      </c>
    </row>
    <row r="23">
      <c r="A23" s="20" t="s">
        <v>108</v>
      </c>
      <c r="B23" s="21" t="s">
        <v>109</v>
      </c>
      <c r="C23" s="22"/>
      <c r="D23" s="23"/>
      <c r="E23" s="24" t="s">
        <v>87</v>
      </c>
      <c r="F23" s="25" t="n">
        <f>245</f>
        <v>245.0</v>
      </c>
      <c r="G23" s="26" t="n">
        <f>263717725</f>
        <v>2.63717725E8</v>
      </c>
      <c r="H23" s="26"/>
      <c r="I23" s="26" t="n">
        <f>21381527</f>
        <v>2.1381527E7</v>
      </c>
      <c r="J23" s="26" t="n">
        <f>1076399</f>
        <v>1076399.0</v>
      </c>
      <c r="K23" s="26" t="n">
        <f>87272</f>
        <v>87272.0</v>
      </c>
      <c r="L23" s="4" t="s">
        <v>132</v>
      </c>
      <c r="M23" s="27" t="n">
        <f>2460721</f>
        <v>2460721.0</v>
      </c>
      <c r="N23" s="5" t="s">
        <v>82</v>
      </c>
      <c r="O23" s="28" t="n">
        <f>180145</f>
        <v>180145.0</v>
      </c>
      <c r="P23" s="3" t="s">
        <v>133</v>
      </c>
      <c r="Q23" s="26"/>
      <c r="R23" s="3" t="s">
        <v>134</v>
      </c>
      <c r="S23" s="26" t="n">
        <f>2590535372565</f>
        <v>2.590535372565E12</v>
      </c>
      <c r="T23" s="26" t="n">
        <f>210120971030</f>
        <v>2.1012097103E11</v>
      </c>
      <c r="U23" s="5" t="s">
        <v>135</v>
      </c>
      <c r="V23" s="28" t="n">
        <f>6108169435077</f>
        <v>6.108169435077E12</v>
      </c>
      <c r="W23" s="5" t="s">
        <v>82</v>
      </c>
      <c r="X23" s="28" t="n">
        <f>479515208266</f>
        <v>4.79515208266E11</v>
      </c>
      <c r="Y23" s="28"/>
      <c r="Z23" s="26" t="n">
        <f>27709418</f>
        <v>2.7709418E7</v>
      </c>
      <c r="AA23" s="26" t="n">
        <f>372060</f>
        <v>372060.0</v>
      </c>
      <c r="AB23" s="4" t="s">
        <v>90</v>
      </c>
      <c r="AC23" s="27" t="n">
        <f>1894294</f>
        <v>1894294.0</v>
      </c>
      <c r="AD23" s="5" t="s">
        <v>136</v>
      </c>
      <c r="AE23" s="28" t="n">
        <f>279316</f>
        <v>279316.0</v>
      </c>
    </row>
    <row r="24">
      <c r="A24" s="20" t="s">
        <v>108</v>
      </c>
      <c r="B24" s="21" t="s">
        <v>109</v>
      </c>
      <c r="C24" s="22"/>
      <c r="D24" s="23"/>
      <c r="E24" s="24" t="s">
        <v>92</v>
      </c>
      <c r="F24" s="25" t="n">
        <f>244</f>
        <v>244.0</v>
      </c>
      <c r="G24" s="26" t="n">
        <f>241429661</f>
        <v>2.41429661E8</v>
      </c>
      <c r="H24" s="26"/>
      <c r="I24" s="26" t="n">
        <f>19160447</f>
        <v>1.9160447E7</v>
      </c>
      <c r="J24" s="26" t="n">
        <f>989466</f>
        <v>989466.0</v>
      </c>
      <c r="K24" s="26" t="n">
        <f>78526</f>
        <v>78526.0</v>
      </c>
      <c r="L24" s="4" t="s">
        <v>137</v>
      </c>
      <c r="M24" s="27" t="n">
        <f>2377393</f>
        <v>2377393.0</v>
      </c>
      <c r="N24" s="5" t="s">
        <v>93</v>
      </c>
      <c r="O24" s="28" t="n">
        <f>255013</f>
        <v>255013.0</v>
      </c>
      <c r="P24" s="3" t="s">
        <v>138</v>
      </c>
      <c r="Q24" s="26"/>
      <c r="R24" s="3" t="s">
        <v>139</v>
      </c>
      <c r="S24" s="26" t="n">
        <f>2779929187682</f>
        <v>2.779929187682E12</v>
      </c>
      <c r="T24" s="26" t="n">
        <f>220909018033</f>
        <v>2.20909018033E11</v>
      </c>
      <c r="U24" s="5" t="s">
        <v>137</v>
      </c>
      <c r="V24" s="28" t="n">
        <f>6442792429340</f>
        <v>6.44279242934E12</v>
      </c>
      <c r="W24" s="5" t="s">
        <v>93</v>
      </c>
      <c r="X24" s="28" t="n">
        <f>731117461929</f>
        <v>7.31117461929E11</v>
      </c>
      <c r="Y24" s="28"/>
      <c r="Z24" s="26" t="n">
        <f>33228847</f>
        <v>3.3228847E7</v>
      </c>
      <c r="AA24" s="26" t="n">
        <f>472944</f>
        <v>472944.0</v>
      </c>
      <c r="AB24" s="4" t="s">
        <v>140</v>
      </c>
      <c r="AC24" s="27" t="n">
        <f>844460</f>
        <v>844460.0</v>
      </c>
      <c r="AD24" s="5" t="s">
        <v>141</v>
      </c>
      <c r="AE24" s="28" t="n">
        <f>180754</f>
        <v>180754.0</v>
      </c>
    </row>
    <row r="25">
      <c r="A25" s="20" t="s">
        <v>108</v>
      </c>
      <c r="B25" s="21" t="s">
        <v>109</v>
      </c>
      <c r="C25" s="22"/>
      <c r="D25" s="23"/>
      <c r="E25" s="24" t="s">
        <v>98</v>
      </c>
      <c r="F25" s="25" t="n">
        <f>245</f>
        <v>245.0</v>
      </c>
      <c r="G25" s="26" t="n">
        <f>256184813</f>
        <v>2.56184813E8</v>
      </c>
      <c r="H25" s="26"/>
      <c r="I25" s="26" t="n">
        <f>19867790</f>
        <v>1.986779E7</v>
      </c>
      <c r="J25" s="26" t="n">
        <f>1045652</f>
        <v>1045652.0</v>
      </c>
      <c r="K25" s="26" t="n">
        <f>81093</f>
        <v>81093.0</v>
      </c>
      <c r="L25" s="4" t="s">
        <v>115</v>
      </c>
      <c r="M25" s="27" t="n">
        <f>2191185</f>
        <v>2191185.0</v>
      </c>
      <c r="N25" s="5" t="s">
        <v>93</v>
      </c>
      <c r="O25" s="28" t="n">
        <f>371012</f>
        <v>371012.0</v>
      </c>
      <c r="P25" s="3" t="s">
        <v>142</v>
      </c>
      <c r="Q25" s="26"/>
      <c r="R25" s="3" t="s">
        <v>143</v>
      </c>
      <c r="S25" s="26" t="n">
        <f>2837462295515</f>
        <v>2.837462295515E12</v>
      </c>
      <c r="T25" s="26" t="n">
        <f>220038917241</f>
        <v>2.20038917241E11</v>
      </c>
      <c r="U25" s="5" t="s">
        <v>115</v>
      </c>
      <c r="V25" s="28" t="n">
        <f>5940385950188</f>
        <v>5.940385950188E12</v>
      </c>
      <c r="W25" s="5" t="s">
        <v>93</v>
      </c>
      <c r="X25" s="28" t="n">
        <f>980873999944</f>
        <v>9.80873999944E11</v>
      </c>
      <c r="Y25" s="28"/>
      <c r="Z25" s="26" t="n">
        <f>25466680</f>
        <v>2.546668E7</v>
      </c>
      <c r="AA25" s="26" t="n">
        <f>546206</f>
        <v>546206.0</v>
      </c>
      <c r="AB25" s="4" t="s">
        <v>102</v>
      </c>
      <c r="AC25" s="27" t="n">
        <f>1186941</f>
        <v>1186941.0</v>
      </c>
      <c r="AD25" s="5" t="s">
        <v>54</v>
      </c>
      <c r="AE25" s="28" t="n">
        <f>262918</f>
        <v>262918.0</v>
      </c>
    </row>
    <row r="26">
      <c r="A26" s="20" t="s">
        <v>108</v>
      </c>
      <c r="B26" s="21" t="s">
        <v>109</v>
      </c>
      <c r="C26" s="22"/>
      <c r="D26" s="23"/>
      <c r="E26" s="24" t="s">
        <v>103</v>
      </c>
      <c r="F26" s="25" t="n">
        <f>244</f>
        <v>244.0</v>
      </c>
      <c r="G26" s="26" t="n">
        <f>255276857</f>
        <v>2.55276857E8</v>
      </c>
      <c r="H26" s="26"/>
      <c r="I26" s="26" t="n">
        <f>18255276</f>
        <v>1.8255276E7</v>
      </c>
      <c r="J26" s="26" t="n">
        <f>1046217</f>
        <v>1046217.0</v>
      </c>
      <c r="K26" s="26" t="n">
        <f>74817</f>
        <v>74817.0</v>
      </c>
      <c r="L26" s="4" t="s">
        <v>144</v>
      </c>
      <c r="M26" s="27" t="n">
        <f>2207781</f>
        <v>2207781.0</v>
      </c>
      <c r="N26" s="5" t="s">
        <v>50</v>
      </c>
      <c r="O26" s="28" t="n">
        <f>273643</f>
        <v>273643.0</v>
      </c>
      <c r="P26" s="3" t="s">
        <v>145</v>
      </c>
      <c r="Q26" s="26"/>
      <c r="R26" s="3" t="s">
        <v>146</v>
      </c>
      <c r="S26" s="26" t="n">
        <f>3476174894278</f>
        <v>3.476174894278E12</v>
      </c>
      <c r="T26" s="26" t="n">
        <f>247777293326</f>
        <v>2.47777293326E11</v>
      </c>
      <c r="U26" s="5" t="s">
        <v>147</v>
      </c>
      <c r="V26" s="28" t="n">
        <f>6748756140977</f>
        <v>6.748756140977E12</v>
      </c>
      <c r="W26" s="5" t="s">
        <v>50</v>
      </c>
      <c r="X26" s="28" t="n">
        <f>907805977170</f>
        <v>9.0780597717E11</v>
      </c>
      <c r="Y26" s="28"/>
      <c r="Z26" s="26" t="n">
        <f>25938062</f>
        <v>2.5938062E7</v>
      </c>
      <c r="AA26" s="26" t="n">
        <f>407679</f>
        <v>407679.0</v>
      </c>
      <c r="AB26" s="4" t="s">
        <v>148</v>
      </c>
      <c r="AC26" s="27" t="n">
        <f>856871</f>
        <v>856871.0</v>
      </c>
      <c r="AD26" s="5" t="s">
        <v>149</v>
      </c>
      <c r="AE26" s="28" t="n">
        <f>304431</f>
        <v>304431.0</v>
      </c>
    </row>
    <row r="27">
      <c r="A27" s="20" t="s">
        <v>150</v>
      </c>
      <c r="B27" s="21" t="s">
        <v>151</v>
      </c>
      <c r="C27" s="22"/>
      <c r="D27" s="23"/>
      <c r="E27" s="24" t="s">
        <v>103</v>
      </c>
      <c r="F27" s="25" t="n">
        <f>207</f>
        <v>207.0</v>
      </c>
      <c r="G27" s="26" t="n">
        <f>37808031</f>
        <v>3.7808031E7</v>
      </c>
      <c r="H27" s="26"/>
      <c r="I27" s="26"/>
      <c r="J27" s="26" t="n">
        <f>182647</f>
        <v>182647.0</v>
      </c>
      <c r="K27" s="26"/>
      <c r="L27" s="4" t="s">
        <v>147</v>
      </c>
      <c r="M27" s="27" t="n">
        <f>663809</f>
        <v>663809.0</v>
      </c>
      <c r="N27" s="5" t="s">
        <v>152</v>
      </c>
      <c r="O27" s="28" t="n">
        <f>4757</f>
        <v>4757.0</v>
      </c>
      <c r="P27" s="3" t="s">
        <v>153</v>
      </c>
      <c r="Q27" s="26"/>
      <c r="R27" s="3"/>
      <c r="S27" s="26" t="n">
        <f>63638446361</f>
        <v>6.3638446361E10</v>
      </c>
      <c r="T27" s="26"/>
      <c r="U27" s="5" t="s">
        <v>147</v>
      </c>
      <c r="V27" s="28" t="n">
        <f>266316854000</f>
        <v>2.66316854E11</v>
      </c>
      <c r="W27" s="5" t="s">
        <v>152</v>
      </c>
      <c r="X27" s="28" t="n">
        <f>1491738200</f>
        <v>1.4917382E9</v>
      </c>
      <c r="Y27" s="28"/>
      <c r="Z27" s="26" t="n">
        <f>1787</f>
        <v>1787.0</v>
      </c>
      <c r="AA27" s="26" t="n">
        <f>51593</f>
        <v>51593.0</v>
      </c>
      <c r="AB27" s="4" t="s">
        <v>74</v>
      </c>
      <c r="AC27" s="27" t="n">
        <f>92213</f>
        <v>92213.0</v>
      </c>
      <c r="AD27" s="5" t="s">
        <v>152</v>
      </c>
      <c r="AE27" s="28" t="n">
        <f>1602</f>
        <v>1602.0</v>
      </c>
    </row>
    <row r="28">
      <c r="A28" s="20" t="s">
        <v>154</v>
      </c>
      <c r="B28" s="21" t="s">
        <v>155</v>
      </c>
      <c r="C28" s="22"/>
      <c r="D28" s="23"/>
      <c r="E28" s="24" t="s">
        <v>156</v>
      </c>
      <c r="F28" s="25" t="n">
        <f>148</f>
        <v>148.0</v>
      </c>
      <c r="G28" s="26" t="n">
        <f>2864988</f>
        <v>2864988.0</v>
      </c>
      <c r="H28" s="26"/>
      <c r="I28" s="26" t="str">
        <f>"－"</f>
        <v>－</v>
      </c>
      <c r="J28" s="26" t="n">
        <f>19358</f>
        <v>19358.0</v>
      </c>
      <c r="K28" s="26" t="str">
        <f>"－"</f>
        <v>－</v>
      </c>
      <c r="L28" s="4" t="s">
        <v>157</v>
      </c>
      <c r="M28" s="27" t="n">
        <f>77480</f>
        <v>77480.0</v>
      </c>
      <c r="N28" s="5" t="s">
        <v>158</v>
      </c>
      <c r="O28" s="28" t="n">
        <f>7152</f>
        <v>7152.0</v>
      </c>
      <c r="P28" s="3" t="s">
        <v>159</v>
      </c>
      <c r="Q28" s="26"/>
      <c r="R28" s="3" t="s">
        <v>160</v>
      </c>
      <c r="S28" s="26" t="n">
        <f>448427446824</f>
        <v>4.48427446824E11</v>
      </c>
      <c r="T28" s="26" t="str">
        <f>"－"</f>
        <v>－</v>
      </c>
      <c r="U28" s="5" t="s">
        <v>157</v>
      </c>
      <c r="V28" s="28" t="n">
        <f>1669707120000</f>
        <v>1.66970712E12</v>
      </c>
      <c r="W28" s="5" t="s">
        <v>158</v>
      </c>
      <c r="X28" s="28" t="n">
        <f>153502550000</f>
        <v>1.5350255E11</v>
      </c>
      <c r="Y28" s="28"/>
      <c r="Z28" s="26" t="str">
        <f>"－"</f>
        <v>－</v>
      </c>
      <c r="AA28" s="26" t="n">
        <f>28707</f>
        <v>28707.0</v>
      </c>
      <c r="AB28" s="4" t="s">
        <v>161</v>
      </c>
      <c r="AC28" s="27" t="n">
        <f>30526</f>
        <v>30526.0</v>
      </c>
      <c r="AD28" s="5" t="s">
        <v>162</v>
      </c>
      <c r="AE28" s="28" t="n">
        <f>11565</f>
        <v>11565.0</v>
      </c>
    </row>
    <row r="29">
      <c r="A29" s="20" t="s">
        <v>154</v>
      </c>
      <c r="B29" s="21" t="s">
        <v>155</v>
      </c>
      <c r="C29" s="22"/>
      <c r="D29" s="23"/>
      <c r="E29" s="24" t="s">
        <v>163</v>
      </c>
      <c r="F29" s="25" t="n">
        <f>247</f>
        <v>247.0</v>
      </c>
      <c r="G29" s="26" t="n">
        <f>3849967</f>
        <v>3849967.0</v>
      </c>
      <c r="H29" s="26"/>
      <c r="I29" s="26" t="str">
        <f>"－"</f>
        <v>－</v>
      </c>
      <c r="J29" s="26" t="n">
        <f>15587</f>
        <v>15587.0</v>
      </c>
      <c r="K29" s="26" t="str">
        <f>"－"</f>
        <v>－</v>
      </c>
      <c r="L29" s="4" t="s">
        <v>164</v>
      </c>
      <c r="M29" s="27" t="n">
        <f>32037</f>
        <v>32037.0</v>
      </c>
      <c r="N29" s="5" t="s">
        <v>165</v>
      </c>
      <c r="O29" s="28" t="n">
        <f>5674</f>
        <v>5674.0</v>
      </c>
      <c r="P29" s="3" t="s">
        <v>166</v>
      </c>
      <c r="Q29" s="26"/>
      <c r="R29" s="3" t="s">
        <v>160</v>
      </c>
      <c r="S29" s="26" t="n">
        <f>411957159555</f>
        <v>4.11957159555E11</v>
      </c>
      <c r="T29" s="26" t="str">
        <f>"－"</f>
        <v>－</v>
      </c>
      <c r="U29" s="5" t="s">
        <v>164</v>
      </c>
      <c r="V29" s="28" t="n">
        <f>813202010000</f>
        <v>8.1320201E11</v>
      </c>
      <c r="W29" s="5" t="s">
        <v>165</v>
      </c>
      <c r="X29" s="28" t="n">
        <f>165370890000</f>
        <v>1.6537089E11</v>
      </c>
      <c r="Y29" s="28"/>
      <c r="Z29" s="26" t="str">
        <f>"－"</f>
        <v>－</v>
      </c>
      <c r="AA29" s="26" t="n">
        <f>31406</f>
        <v>31406.0</v>
      </c>
      <c r="AB29" s="4" t="s">
        <v>167</v>
      </c>
      <c r="AC29" s="27" t="n">
        <f>47451</f>
        <v>47451.0</v>
      </c>
      <c r="AD29" s="5" t="s">
        <v>90</v>
      </c>
      <c r="AE29" s="28" t="n">
        <f>19761</f>
        <v>19761.0</v>
      </c>
    </row>
    <row r="30">
      <c r="A30" s="20" t="s">
        <v>154</v>
      </c>
      <c r="B30" s="21" t="s">
        <v>155</v>
      </c>
      <c r="C30" s="22"/>
      <c r="D30" s="23"/>
      <c r="E30" s="24" t="s">
        <v>168</v>
      </c>
      <c r="F30" s="25" t="n">
        <f>245</f>
        <v>245.0</v>
      </c>
      <c r="G30" s="26" t="n">
        <f>2456136</f>
        <v>2456136.0</v>
      </c>
      <c r="H30" s="26"/>
      <c r="I30" s="26" t="str">
        <f>"－"</f>
        <v>－</v>
      </c>
      <c r="J30" s="26" t="n">
        <f>10025</f>
        <v>10025.0</v>
      </c>
      <c r="K30" s="26" t="str">
        <f>"－"</f>
        <v>－</v>
      </c>
      <c r="L30" s="4" t="s">
        <v>169</v>
      </c>
      <c r="M30" s="27" t="n">
        <f>22656</f>
        <v>22656.0</v>
      </c>
      <c r="N30" s="5" t="s">
        <v>170</v>
      </c>
      <c r="O30" s="28" t="n">
        <f>19</f>
        <v>19.0</v>
      </c>
      <c r="P30" s="3" t="s">
        <v>171</v>
      </c>
      <c r="Q30" s="26"/>
      <c r="R30" s="3" t="s">
        <v>160</v>
      </c>
      <c r="S30" s="26" t="n">
        <f>211335582245</f>
        <v>2.11335582245E11</v>
      </c>
      <c r="T30" s="26" t="str">
        <f>"－"</f>
        <v>－</v>
      </c>
      <c r="U30" s="5" t="s">
        <v>169</v>
      </c>
      <c r="V30" s="28" t="n">
        <f>564325660000</f>
        <v>5.6432566E11</v>
      </c>
      <c r="W30" s="5" t="s">
        <v>170</v>
      </c>
      <c r="X30" s="28" t="n">
        <f>306950000</f>
        <v>3.0695E8</v>
      </c>
      <c r="Y30" s="28"/>
      <c r="Z30" s="26" t="str">
        <f>"－"</f>
        <v>－</v>
      </c>
      <c r="AA30" s="26" t="n">
        <f>34759</f>
        <v>34759.0</v>
      </c>
      <c r="AB30" s="4" t="s">
        <v>172</v>
      </c>
      <c r="AC30" s="27" t="n">
        <f>41955</f>
        <v>41955.0</v>
      </c>
      <c r="AD30" s="5" t="s">
        <v>80</v>
      </c>
      <c r="AE30" s="28" t="n">
        <f>20741</f>
        <v>20741.0</v>
      </c>
    </row>
    <row r="31">
      <c r="A31" s="20" t="s">
        <v>154</v>
      </c>
      <c r="B31" s="21" t="s">
        <v>155</v>
      </c>
      <c r="C31" s="22"/>
      <c r="D31" s="23"/>
      <c r="E31" s="24" t="s">
        <v>173</v>
      </c>
      <c r="F31" s="25" t="n">
        <f>247</f>
        <v>247.0</v>
      </c>
      <c r="G31" s="26" t="n">
        <f>1501312</f>
        <v>1501312.0</v>
      </c>
      <c r="H31" s="26"/>
      <c r="I31" s="26" t="str">
        <f>"－"</f>
        <v>－</v>
      </c>
      <c r="J31" s="26" t="n">
        <f>6078</f>
        <v>6078.0</v>
      </c>
      <c r="K31" s="26" t="str">
        <f>"－"</f>
        <v>－</v>
      </c>
      <c r="L31" s="4" t="s">
        <v>174</v>
      </c>
      <c r="M31" s="27" t="n">
        <f>15695</f>
        <v>15695.0</v>
      </c>
      <c r="N31" s="5" t="s">
        <v>175</v>
      </c>
      <c r="O31" s="28" t="n">
        <f>1733</f>
        <v>1733.0</v>
      </c>
      <c r="P31" s="3" t="s">
        <v>176</v>
      </c>
      <c r="Q31" s="26"/>
      <c r="R31" s="3" t="s">
        <v>160</v>
      </c>
      <c r="S31" s="26" t="n">
        <f>110004742146</f>
        <v>1.10004742146E11</v>
      </c>
      <c r="T31" s="26" t="str">
        <f>"－"</f>
        <v>－</v>
      </c>
      <c r="U31" s="5" t="s">
        <v>174</v>
      </c>
      <c r="V31" s="28" t="n">
        <f>309566210000</f>
        <v>3.0956621E11</v>
      </c>
      <c r="W31" s="5" t="s">
        <v>175</v>
      </c>
      <c r="X31" s="28" t="n">
        <f>33127290000</f>
        <v>3.312729E10</v>
      </c>
      <c r="Y31" s="28"/>
      <c r="Z31" s="26" t="str">
        <f>"－"</f>
        <v>－</v>
      </c>
      <c r="AA31" s="26" t="n">
        <f>25583</f>
        <v>25583.0</v>
      </c>
      <c r="AB31" s="4" t="s">
        <v>177</v>
      </c>
      <c r="AC31" s="27" t="n">
        <f>43791</f>
        <v>43791.0</v>
      </c>
      <c r="AD31" s="5" t="s">
        <v>55</v>
      </c>
      <c r="AE31" s="28" t="n">
        <f>22665</f>
        <v>22665.0</v>
      </c>
    </row>
    <row r="32">
      <c r="A32" s="20" t="s">
        <v>154</v>
      </c>
      <c r="B32" s="21" t="s">
        <v>155</v>
      </c>
      <c r="C32" s="22"/>
      <c r="D32" s="23"/>
      <c r="E32" s="24" t="s">
        <v>178</v>
      </c>
      <c r="F32" s="25" t="n">
        <f>249</f>
        <v>249.0</v>
      </c>
      <c r="G32" s="26" t="n">
        <f>1474342</f>
        <v>1474342.0</v>
      </c>
      <c r="H32" s="26"/>
      <c r="I32" s="26" t="str">
        <f>"－"</f>
        <v>－</v>
      </c>
      <c r="J32" s="26" t="n">
        <f>5921</f>
        <v>5921.0</v>
      </c>
      <c r="K32" s="26" t="str">
        <f>"－"</f>
        <v>－</v>
      </c>
      <c r="L32" s="4" t="s">
        <v>74</v>
      </c>
      <c r="M32" s="27" t="n">
        <f>21401</f>
        <v>21401.0</v>
      </c>
      <c r="N32" s="5" t="s">
        <v>179</v>
      </c>
      <c r="O32" s="28" t="n">
        <f>2345</f>
        <v>2345.0</v>
      </c>
      <c r="P32" s="3" t="s">
        <v>180</v>
      </c>
      <c r="Q32" s="26"/>
      <c r="R32" s="3" t="s">
        <v>160</v>
      </c>
      <c r="S32" s="26" t="n">
        <f>77902609237</f>
        <v>7.7902609237E10</v>
      </c>
      <c r="T32" s="26" t="str">
        <f>"－"</f>
        <v>－</v>
      </c>
      <c r="U32" s="5" t="s">
        <v>74</v>
      </c>
      <c r="V32" s="28" t="n">
        <f>281115470000</f>
        <v>2.8111547E11</v>
      </c>
      <c r="W32" s="5" t="s">
        <v>181</v>
      </c>
      <c r="X32" s="28" t="n">
        <f>29228290000</f>
        <v>2.922829E10</v>
      </c>
      <c r="Y32" s="28"/>
      <c r="Z32" s="26" t="str">
        <f>"－"</f>
        <v>－</v>
      </c>
      <c r="AA32" s="26" t="n">
        <f>50809</f>
        <v>50809.0</v>
      </c>
      <c r="AB32" s="4" t="s">
        <v>182</v>
      </c>
      <c r="AC32" s="27" t="n">
        <f>71193</f>
        <v>71193.0</v>
      </c>
      <c r="AD32" s="5" t="s">
        <v>132</v>
      </c>
      <c r="AE32" s="28" t="n">
        <f>15336</f>
        <v>15336.0</v>
      </c>
    </row>
    <row r="33">
      <c r="A33" s="20" t="s">
        <v>154</v>
      </c>
      <c r="B33" s="21" t="s">
        <v>155</v>
      </c>
      <c r="C33" s="22"/>
      <c r="D33" s="23"/>
      <c r="E33" s="24" t="s">
        <v>183</v>
      </c>
      <c r="F33" s="25" t="n">
        <f>246</f>
        <v>246.0</v>
      </c>
      <c r="G33" s="26" t="n">
        <f>2511358</f>
        <v>2511358.0</v>
      </c>
      <c r="H33" s="26"/>
      <c r="I33" s="26" t="str">
        <f>"－"</f>
        <v>－</v>
      </c>
      <c r="J33" s="26" t="n">
        <f>10209</f>
        <v>10209.0</v>
      </c>
      <c r="K33" s="26" t="str">
        <f>"－"</f>
        <v>－</v>
      </c>
      <c r="L33" s="4" t="s">
        <v>184</v>
      </c>
      <c r="M33" s="27" t="n">
        <f>35828</f>
        <v>35828.0</v>
      </c>
      <c r="N33" s="5" t="s">
        <v>185</v>
      </c>
      <c r="O33" s="28" t="str">
        <f>"－"</f>
        <v>－</v>
      </c>
      <c r="P33" s="3" t="s">
        <v>186</v>
      </c>
      <c r="Q33" s="26"/>
      <c r="R33" s="3" t="s">
        <v>160</v>
      </c>
      <c r="S33" s="26" t="n">
        <f>161419300772</f>
        <v>1.61419300772E11</v>
      </c>
      <c r="T33" s="26" t="str">
        <f>"－"</f>
        <v>－</v>
      </c>
      <c r="U33" s="5" t="s">
        <v>184</v>
      </c>
      <c r="V33" s="28" t="n">
        <f>521972610000</f>
        <v>5.2197261E11</v>
      </c>
      <c r="W33" s="5" t="s">
        <v>185</v>
      </c>
      <c r="X33" s="28" t="str">
        <f>"－"</f>
        <v>－</v>
      </c>
      <c r="Y33" s="28"/>
      <c r="Z33" s="26" t="str">
        <f>"－"</f>
        <v>－</v>
      </c>
      <c r="AA33" s="26" t="n">
        <f>72194</f>
        <v>72194.0</v>
      </c>
      <c r="AB33" s="4" t="s">
        <v>149</v>
      </c>
      <c r="AC33" s="27" t="n">
        <f>114991</f>
        <v>114991.0</v>
      </c>
      <c r="AD33" s="5" t="s">
        <v>141</v>
      </c>
      <c r="AE33" s="28" t="n">
        <f>36813</f>
        <v>36813.0</v>
      </c>
    </row>
    <row r="34">
      <c r="A34" s="20" t="s">
        <v>154</v>
      </c>
      <c r="B34" s="21" t="s">
        <v>155</v>
      </c>
      <c r="C34" s="22"/>
      <c r="D34" s="23"/>
      <c r="E34" s="24" t="s">
        <v>187</v>
      </c>
      <c r="F34" s="25" t="n">
        <f>247</f>
        <v>247.0</v>
      </c>
      <c r="G34" s="26" t="n">
        <f>2616818</f>
        <v>2616818.0</v>
      </c>
      <c r="H34" s="26"/>
      <c r="I34" s="26" t="str">
        <f>"－"</f>
        <v>－</v>
      </c>
      <c r="J34" s="26" t="n">
        <f>10594</f>
        <v>10594.0</v>
      </c>
      <c r="K34" s="26" t="str">
        <f>"－"</f>
        <v>－</v>
      </c>
      <c r="L34" s="4" t="s">
        <v>188</v>
      </c>
      <c r="M34" s="27" t="n">
        <f>29572</f>
        <v>29572.0</v>
      </c>
      <c r="N34" s="5" t="s">
        <v>179</v>
      </c>
      <c r="O34" s="28" t="n">
        <f>3106</f>
        <v>3106.0</v>
      </c>
      <c r="P34" s="3" t="s">
        <v>189</v>
      </c>
      <c r="Q34" s="26"/>
      <c r="R34" s="3" t="s">
        <v>160</v>
      </c>
      <c r="S34" s="26" t="n">
        <f>164000484170</f>
        <v>1.6400048417E11</v>
      </c>
      <c r="T34" s="26" t="str">
        <f>"－"</f>
        <v>－</v>
      </c>
      <c r="U34" s="5" t="s">
        <v>188</v>
      </c>
      <c r="V34" s="28" t="n">
        <f>454059210000</f>
        <v>4.5405921E11</v>
      </c>
      <c r="W34" s="5" t="s">
        <v>179</v>
      </c>
      <c r="X34" s="28" t="n">
        <f>48396500000</f>
        <v>4.83965E10</v>
      </c>
      <c r="Y34" s="28"/>
      <c r="Z34" s="26" t="str">
        <f>"－"</f>
        <v>－</v>
      </c>
      <c r="AA34" s="26" t="n">
        <f>59338</f>
        <v>59338.0</v>
      </c>
      <c r="AB34" s="4" t="s">
        <v>68</v>
      </c>
      <c r="AC34" s="27" t="n">
        <f>117709</f>
        <v>117709.0</v>
      </c>
      <c r="AD34" s="5" t="s">
        <v>85</v>
      </c>
      <c r="AE34" s="28" t="n">
        <f>54059</f>
        <v>54059.0</v>
      </c>
    </row>
    <row r="35">
      <c r="A35" s="20" t="s">
        <v>154</v>
      </c>
      <c r="B35" s="21" t="s">
        <v>155</v>
      </c>
      <c r="C35" s="22"/>
      <c r="D35" s="23"/>
      <c r="E35" s="24" t="s">
        <v>190</v>
      </c>
      <c r="F35" s="25" t="n">
        <f>247</f>
        <v>247.0</v>
      </c>
      <c r="G35" s="26" t="n">
        <f>2776751</f>
        <v>2776751.0</v>
      </c>
      <c r="H35" s="26"/>
      <c r="I35" s="26" t="str">
        <f>"－"</f>
        <v>－</v>
      </c>
      <c r="J35" s="26" t="n">
        <f>11242</f>
        <v>11242.0</v>
      </c>
      <c r="K35" s="26" t="str">
        <f>"－"</f>
        <v>－</v>
      </c>
      <c r="L35" s="4" t="s">
        <v>191</v>
      </c>
      <c r="M35" s="27" t="n">
        <f>43232</f>
        <v>43232.0</v>
      </c>
      <c r="N35" s="5" t="s">
        <v>165</v>
      </c>
      <c r="O35" s="28" t="n">
        <f>3506</f>
        <v>3506.0</v>
      </c>
      <c r="P35" s="3" t="s">
        <v>192</v>
      </c>
      <c r="Q35" s="26"/>
      <c r="R35" s="3" t="s">
        <v>160</v>
      </c>
      <c r="S35" s="26" t="n">
        <f>162120167773</f>
        <v>1.62120167773E11</v>
      </c>
      <c r="T35" s="26" t="str">
        <f>"－"</f>
        <v>－</v>
      </c>
      <c r="U35" s="5" t="s">
        <v>191</v>
      </c>
      <c r="V35" s="28" t="n">
        <f>641642230000</f>
        <v>6.4164223E11</v>
      </c>
      <c r="W35" s="5" t="s">
        <v>193</v>
      </c>
      <c r="X35" s="28" t="n">
        <f>43839690000</f>
        <v>4.383969E10</v>
      </c>
      <c r="Y35" s="28"/>
      <c r="Z35" s="26" t="str">
        <f>"－"</f>
        <v>－</v>
      </c>
      <c r="AA35" s="26" t="n">
        <f>142227</f>
        <v>142227.0</v>
      </c>
      <c r="AB35" s="4" t="s">
        <v>74</v>
      </c>
      <c r="AC35" s="27" t="n">
        <f>162535</f>
        <v>162535.0</v>
      </c>
      <c r="AD35" s="5" t="s">
        <v>90</v>
      </c>
      <c r="AE35" s="28" t="n">
        <f>47337</f>
        <v>47337.0</v>
      </c>
    </row>
    <row r="36">
      <c r="A36" s="20" t="s">
        <v>154</v>
      </c>
      <c r="B36" s="21" t="s">
        <v>155</v>
      </c>
      <c r="C36" s="22"/>
      <c r="D36" s="23"/>
      <c r="E36" s="24" t="s">
        <v>194</v>
      </c>
      <c r="F36" s="25" t="n">
        <f>246</f>
        <v>246.0</v>
      </c>
      <c r="G36" s="26" t="n">
        <f>2896403</f>
        <v>2896403.0</v>
      </c>
      <c r="H36" s="26"/>
      <c r="I36" s="26" t="str">
        <f>"－"</f>
        <v>－</v>
      </c>
      <c r="J36" s="26" t="n">
        <f>11774</f>
        <v>11774.0</v>
      </c>
      <c r="K36" s="26" t="str">
        <f>"－"</f>
        <v>－</v>
      </c>
      <c r="L36" s="4" t="s">
        <v>195</v>
      </c>
      <c r="M36" s="27" t="n">
        <f>39029</f>
        <v>39029.0</v>
      </c>
      <c r="N36" s="5" t="s">
        <v>196</v>
      </c>
      <c r="O36" s="28" t="n">
        <f>2674</f>
        <v>2674.0</v>
      </c>
      <c r="P36" s="3" t="s">
        <v>197</v>
      </c>
      <c r="Q36" s="26"/>
      <c r="R36" s="3" t="s">
        <v>160</v>
      </c>
      <c r="S36" s="26" t="n">
        <f>181882925691</f>
        <v>1.81882925691E11</v>
      </c>
      <c r="T36" s="26" t="str">
        <f>"－"</f>
        <v>－</v>
      </c>
      <c r="U36" s="5" t="s">
        <v>195</v>
      </c>
      <c r="V36" s="28" t="n">
        <f>535260880000</f>
        <v>5.3526088E11</v>
      </c>
      <c r="W36" s="5" t="s">
        <v>196</v>
      </c>
      <c r="X36" s="28" t="n">
        <f>39149160000</f>
        <v>3.914916E10</v>
      </c>
      <c r="Y36" s="28"/>
      <c r="Z36" s="26" t="str">
        <f>"－"</f>
        <v>－</v>
      </c>
      <c r="AA36" s="26" t="n">
        <f>111860</f>
        <v>111860.0</v>
      </c>
      <c r="AB36" s="4" t="s">
        <v>141</v>
      </c>
      <c r="AC36" s="27" t="n">
        <f>192135</f>
        <v>192135.0</v>
      </c>
      <c r="AD36" s="5" t="s">
        <v>198</v>
      </c>
      <c r="AE36" s="28" t="n">
        <f>100016</f>
        <v>100016.0</v>
      </c>
    </row>
    <row r="37">
      <c r="A37" s="20" t="s">
        <v>154</v>
      </c>
      <c r="B37" s="21" t="s">
        <v>155</v>
      </c>
      <c r="C37" s="22"/>
      <c r="D37" s="23"/>
      <c r="E37" s="24" t="s">
        <v>199</v>
      </c>
      <c r="F37" s="25" t="n">
        <f>247</f>
        <v>247.0</v>
      </c>
      <c r="G37" s="26" t="n">
        <f>2882617</f>
        <v>2882617.0</v>
      </c>
      <c r="H37" s="26"/>
      <c r="I37" s="26" t="str">
        <f>"－"</f>
        <v>－</v>
      </c>
      <c r="J37" s="26" t="n">
        <f>11671</f>
        <v>11671.0</v>
      </c>
      <c r="K37" s="26" t="str">
        <f>"－"</f>
        <v>－</v>
      </c>
      <c r="L37" s="4" t="s">
        <v>200</v>
      </c>
      <c r="M37" s="27" t="n">
        <f>56672</f>
        <v>56672.0</v>
      </c>
      <c r="N37" s="5" t="s">
        <v>201</v>
      </c>
      <c r="O37" s="28" t="n">
        <f>3400</f>
        <v>3400.0</v>
      </c>
      <c r="P37" s="3" t="s">
        <v>202</v>
      </c>
      <c r="Q37" s="26"/>
      <c r="R37" s="3" t="s">
        <v>160</v>
      </c>
      <c r="S37" s="26" t="n">
        <f>158914628846</f>
        <v>1.58914628846E11</v>
      </c>
      <c r="T37" s="26" t="str">
        <f>"－"</f>
        <v>－</v>
      </c>
      <c r="U37" s="5" t="s">
        <v>200</v>
      </c>
      <c r="V37" s="28" t="n">
        <f>820192580000</f>
        <v>8.2019258E11</v>
      </c>
      <c r="W37" s="5" t="s">
        <v>203</v>
      </c>
      <c r="X37" s="28" t="n">
        <f>44975100000</f>
        <v>4.49751E10</v>
      </c>
      <c r="Y37" s="28"/>
      <c r="Z37" s="26" t="str">
        <f>"－"</f>
        <v>－</v>
      </c>
      <c r="AA37" s="26" t="n">
        <f>122939</f>
        <v>122939.0</v>
      </c>
      <c r="AB37" s="4" t="s">
        <v>54</v>
      </c>
      <c r="AC37" s="27" t="n">
        <f>160693</f>
        <v>160693.0</v>
      </c>
      <c r="AD37" s="5" t="s">
        <v>204</v>
      </c>
      <c r="AE37" s="28" t="n">
        <f>105718</f>
        <v>105718.0</v>
      </c>
    </row>
    <row r="38">
      <c r="A38" s="20" t="s">
        <v>154</v>
      </c>
      <c r="B38" s="21" t="s">
        <v>155</v>
      </c>
      <c r="C38" s="22"/>
      <c r="D38" s="23"/>
      <c r="E38" s="24" t="s">
        <v>205</v>
      </c>
      <c r="F38" s="25" t="n">
        <f>247</f>
        <v>247.0</v>
      </c>
      <c r="G38" s="26" t="n">
        <f>2850667</f>
        <v>2850667.0</v>
      </c>
      <c r="H38" s="26"/>
      <c r="I38" s="26" t="n">
        <f>185255</f>
        <v>185255.0</v>
      </c>
      <c r="J38" s="26" t="n">
        <f>11541</f>
        <v>11541.0</v>
      </c>
      <c r="K38" s="26" t="n">
        <f>750</f>
        <v>750.0</v>
      </c>
      <c r="L38" s="4" t="s">
        <v>61</v>
      </c>
      <c r="M38" s="27" t="n">
        <f>59436</f>
        <v>59436.0</v>
      </c>
      <c r="N38" s="5" t="s">
        <v>206</v>
      </c>
      <c r="O38" s="28" t="n">
        <f>2285</f>
        <v>2285.0</v>
      </c>
      <c r="P38" s="3" t="s">
        <v>207</v>
      </c>
      <c r="Q38" s="26"/>
      <c r="R38" s="3" t="s">
        <v>208</v>
      </c>
      <c r="S38" s="26" t="n">
        <f>132386094312</f>
        <v>1.32386094312E11</v>
      </c>
      <c r="T38" s="26" t="n">
        <f>8477080263</f>
        <v>8.477080263E9</v>
      </c>
      <c r="U38" s="5" t="s">
        <v>61</v>
      </c>
      <c r="V38" s="28" t="n">
        <f>686193740000</f>
        <v>6.8619374E11</v>
      </c>
      <c r="W38" s="5" t="s">
        <v>196</v>
      </c>
      <c r="X38" s="28" t="n">
        <f>26649970000</f>
        <v>2.664997E10</v>
      </c>
      <c r="Y38" s="28"/>
      <c r="Z38" s="26" t="str">
        <f>"－"</f>
        <v>－</v>
      </c>
      <c r="AA38" s="26" t="n">
        <f>95376</f>
        <v>95376.0</v>
      </c>
      <c r="AB38" s="4" t="s">
        <v>75</v>
      </c>
      <c r="AC38" s="27" t="n">
        <f>159133</f>
        <v>159133.0</v>
      </c>
      <c r="AD38" s="5" t="s">
        <v>209</v>
      </c>
      <c r="AE38" s="28" t="n">
        <f>95376</f>
        <v>95376.0</v>
      </c>
    </row>
    <row r="39">
      <c r="A39" s="20" t="s">
        <v>154</v>
      </c>
      <c r="B39" s="21" t="s">
        <v>155</v>
      </c>
      <c r="C39" s="22"/>
      <c r="D39" s="23"/>
      <c r="E39" s="24" t="s">
        <v>210</v>
      </c>
      <c r="F39" s="25" t="n">
        <f>246</f>
        <v>246.0</v>
      </c>
      <c r="G39" s="26" t="n">
        <f>3462709</f>
        <v>3462709.0</v>
      </c>
      <c r="H39" s="26"/>
      <c r="I39" s="26" t="n">
        <f>725759</f>
        <v>725759.0</v>
      </c>
      <c r="J39" s="26" t="n">
        <f>14076</f>
        <v>14076.0</v>
      </c>
      <c r="K39" s="26" t="n">
        <f>2950</f>
        <v>2950.0</v>
      </c>
      <c r="L39" s="4" t="s">
        <v>164</v>
      </c>
      <c r="M39" s="27" t="n">
        <f>79618</f>
        <v>79618.0</v>
      </c>
      <c r="N39" s="5" t="s">
        <v>196</v>
      </c>
      <c r="O39" s="28" t="n">
        <f>2064</f>
        <v>2064.0</v>
      </c>
      <c r="P39" s="3" t="s">
        <v>211</v>
      </c>
      <c r="Q39" s="26"/>
      <c r="R39" s="3" t="s">
        <v>212</v>
      </c>
      <c r="S39" s="26" t="n">
        <f>217108305467</f>
        <v>2.17108305467E11</v>
      </c>
      <c r="T39" s="26" t="n">
        <f>46058378130</f>
        <v>4.605837813E10</v>
      </c>
      <c r="U39" s="5" t="s">
        <v>164</v>
      </c>
      <c r="V39" s="28" t="n">
        <f>1309564095000</f>
        <v>1.309564095E12</v>
      </c>
      <c r="W39" s="5" t="s">
        <v>196</v>
      </c>
      <c r="X39" s="28" t="n">
        <f>35346465000</f>
        <v>3.5346465E10</v>
      </c>
      <c r="Y39" s="28"/>
      <c r="Z39" s="26" t="str">
        <f>"－"</f>
        <v>－</v>
      </c>
      <c r="AA39" s="26" t="n">
        <f>140346</f>
        <v>140346.0</v>
      </c>
      <c r="AB39" s="4" t="s">
        <v>53</v>
      </c>
      <c r="AC39" s="27" t="n">
        <f>167829</f>
        <v>167829.0</v>
      </c>
      <c r="AD39" s="5" t="s">
        <v>213</v>
      </c>
      <c r="AE39" s="28" t="n">
        <f>97444</f>
        <v>97444.0</v>
      </c>
    </row>
    <row r="40">
      <c r="A40" s="20" t="s">
        <v>154</v>
      </c>
      <c r="B40" s="21" t="s">
        <v>155</v>
      </c>
      <c r="C40" s="22"/>
      <c r="D40" s="23"/>
      <c r="E40" s="24" t="s">
        <v>214</v>
      </c>
      <c r="F40" s="25" t="n">
        <f>246</f>
        <v>246.0</v>
      </c>
      <c r="G40" s="26" t="n">
        <f>4122212</f>
        <v>4122212.0</v>
      </c>
      <c r="H40" s="26"/>
      <c r="I40" s="26" t="n">
        <f>1206020</f>
        <v>1206020.0</v>
      </c>
      <c r="J40" s="26" t="n">
        <f>16757</f>
        <v>16757.0</v>
      </c>
      <c r="K40" s="26" t="n">
        <f>4903</f>
        <v>4903.0</v>
      </c>
      <c r="L40" s="4" t="s">
        <v>71</v>
      </c>
      <c r="M40" s="27" t="n">
        <f>143088</f>
        <v>143088.0</v>
      </c>
      <c r="N40" s="5" t="s">
        <v>58</v>
      </c>
      <c r="O40" s="28" t="n">
        <f>3747</f>
        <v>3747.0</v>
      </c>
      <c r="P40" s="3" t="s">
        <v>215</v>
      </c>
      <c r="Q40" s="26"/>
      <c r="R40" s="3" t="s">
        <v>216</v>
      </c>
      <c r="S40" s="26" t="n">
        <f>240509432366</f>
        <v>2.40509432366E11</v>
      </c>
      <c r="T40" s="26" t="n">
        <f>70000206980</f>
        <v>7.000020698E10</v>
      </c>
      <c r="U40" s="5" t="s">
        <v>217</v>
      </c>
      <c r="V40" s="28" t="n">
        <f>1801365978000</f>
        <v>1.801365978E12</v>
      </c>
      <c r="W40" s="5" t="s">
        <v>58</v>
      </c>
      <c r="X40" s="28" t="n">
        <f>48353647000</f>
        <v>4.8353647E10</v>
      </c>
      <c r="Y40" s="28"/>
      <c r="Z40" s="26" t="str">
        <f>"－"</f>
        <v>－</v>
      </c>
      <c r="AA40" s="26" t="n">
        <f>176073</f>
        <v>176073.0</v>
      </c>
      <c r="AB40" s="4" t="s">
        <v>164</v>
      </c>
      <c r="AC40" s="27" t="n">
        <f>211468</f>
        <v>211468.0</v>
      </c>
      <c r="AD40" s="5" t="s">
        <v>218</v>
      </c>
      <c r="AE40" s="28" t="n">
        <f>129230</f>
        <v>129230.0</v>
      </c>
    </row>
    <row r="41">
      <c r="A41" s="20" t="s">
        <v>154</v>
      </c>
      <c r="B41" s="21" t="s">
        <v>155</v>
      </c>
      <c r="C41" s="22"/>
      <c r="D41" s="23"/>
      <c r="E41" s="24" t="s">
        <v>219</v>
      </c>
      <c r="F41" s="25" t="n">
        <f>245</f>
        <v>245.0</v>
      </c>
      <c r="G41" s="26" t="n">
        <f>5745116</f>
        <v>5745116.0</v>
      </c>
      <c r="H41" s="26"/>
      <c r="I41" s="26" t="n">
        <f>1897067</f>
        <v>1897067.0</v>
      </c>
      <c r="J41" s="26" t="n">
        <f>23449</f>
        <v>23449.0</v>
      </c>
      <c r="K41" s="26" t="n">
        <f>7743</f>
        <v>7743.0</v>
      </c>
      <c r="L41" s="4" t="s">
        <v>104</v>
      </c>
      <c r="M41" s="27" t="n">
        <f>250678</f>
        <v>250678.0</v>
      </c>
      <c r="N41" s="5" t="s">
        <v>127</v>
      </c>
      <c r="O41" s="28" t="n">
        <f>5213</f>
        <v>5213.0</v>
      </c>
      <c r="P41" s="3" t="s">
        <v>220</v>
      </c>
      <c r="Q41" s="26"/>
      <c r="R41" s="3" t="s">
        <v>221</v>
      </c>
      <c r="S41" s="26" t="n">
        <f>260725490698</f>
        <v>2.60725490698E11</v>
      </c>
      <c r="T41" s="26" t="n">
        <f>85454664963</f>
        <v>8.5454664963E10</v>
      </c>
      <c r="U41" s="5" t="s">
        <v>104</v>
      </c>
      <c r="V41" s="28" t="n">
        <f>2703305470000</f>
        <v>2.70330547E12</v>
      </c>
      <c r="W41" s="5" t="s">
        <v>127</v>
      </c>
      <c r="X41" s="28" t="n">
        <f>68461155000</f>
        <v>6.8461155E10</v>
      </c>
      <c r="Y41" s="28"/>
      <c r="Z41" s="26" t="str">
        <f>"－"</f>
        <v>－</v>
      </c>
      <c r="AA41" s="26" t="n">
        <f>229631</f>
        <v>229631.0</v>
      </c>
      <c r="AB41" s="4" t="s">
        <v>74</v>
      </c>
      <c r="AC41" s="27" t="n">
        <f>321205</f>
        <v>321205.0</v>
      </c>
      <c r="AD41" s="5" t="s">
        <v>222</v>
      </c>
      <c r="AE41" s="28" t="n">
        <f>165205</f>
        <v>165205.0</v>
      </c>
    </row>
    <row r="42">
      <c r="A42" s="20" t="s">
        <v>154</v>
      </c>
      <c r="B42" s="21" t="s">
        <v>155</v>
      </c>
      <c r="C42" s="22"/>
      <c r="D42" s="23"/>
      <c r="E42" s="24" t="s">
        <v>223</v>
      </c>
      <c r="F42" s="25" t="n">
        <f>246</f>
        <v>246.0</v>
      </c>
      <c r="G42" s="26" t="n">
        <f>7441075</f>
        <v>7441075.0</v>
      </c>
      <c r="H42" s="26"/>
      <c r="I42" s="26" t="n">
        <f>2619917</f>
        <v>2619917.0</v>
      </c>
      <c r="J42" s="26" t="n">
        <f>30248</f>
        <v>30248.0</v>
      </c>
      <c r="K42" s="26" t="n">
        <f>10650</f>
        <v>10650.0</v>
      </c>
      <c r="L42" s="4" t="s">
        <v>149</v>
      </c>
      <c r="M42" s="27" t="n">
        <f>254758</f>
        <v>254758.0</v>
      </c>
      <c r="N42" s="5" t="s">
        <v>172</v>
      </c>
      <c r="O42" s="28" t="n">
        <f>7155</f>
        <v>7155.0</v>
      </c>
      <c r="P42" s="3" t="s">
        <v>224</v>
      </c>
      <c r="Q42" s="26"/>
      <c r="R42" s="3" t="s">
        <v>225</v>
      </c>
      <c r="S42" s="26" t="n">
        <f>278010261646</f>
        <v>2.78010261646E11</v>
      </c>
      <c r="T42" s="26" t="n">
        <f>96449092744</f>
        <v>9.6449092744E10</v>
      </c>
      <c r="U42" s="5" t="s">
        <v>90</v>
      </c>
      <c r="V42" s="28" t="n">
        <f>2374200848000</f>
        <v>2.374200848E12</v>
      </c>
      <c r="W42" s="5" t="s">
        <v>196</v>
      </c>
      <c r="X42" s="28" t="n">
        <f>62838000000</f>
        <v>6.2838E10</v>
      </c>
      <c r="Y42" s="28"/>
      <c r="Z42" s="26" t="str">
        <f>"－"</f>
        <v>－</v>
      </c>
      <c r="AA42" s="26" t="n">
        <f>241344</f>
        <v>241344.0</v>
      </c>
      <c r="AB42" s="4" t="s">
        <v>69</v>
      </c>
      <c r="AC42" s="27" t="n">
        <f>370259</f>
        <v>370259.0</v>
      </c>
      <c r="AD42" s="5" t="s">
        <v>226</v>
      </c>
      <c r="AE42" s="28" t="n">
        <f>203865</f>
        <v>203865.0</v>
      </c>
    </row>
    <row r="43">
      <c r="A43" s="20" t="s">
        <v>154</v>
      </c>
      <c r="B43" s="21" t="s">
        <v>155</v>
      </c>
      <c r="C43" s="22"/>
      <c r="D43" s="23"/>
      <c r="E43" s="24" t="s">
        <v>227</v>
      </c>
      <c r="F43" s="25" t="n">
        <f>248</f>
        <v>248.0</v>
      </c>
      <c r="G43" s="26" t="n">
        <f>9862551</f>
        <v>9862551.0</v>
      </c>
      <c r="H43" s="26"/>
      <c r="I43" s="26" t="n">
        <f>3475924</f>
        <v>3475924.0</v>
      </c>
      <c r="J43" s="26" t="n">
        <f>39768</f>
        <v>39768.0</v>
      </c>
      <c r="K43" s="26" t="n">
        <f>14016</f>
        <v>14016.0</v>
      </c>
      <c r="L43" s="4" t="s">
        <v>53</v>
      </c>
      <c r="M43" s="27" t="n">
        <f>403872</f>
        <v>403872.0</v>
      </c>
      <c r="N43" s="5" t="s">
        <v>82</v>
      </c>
      <c r="O43" s="28" t="n">
        <f>10331</f>
        <v>10331.0</v>
      </c>
      <c r="P43" s="3" t="s">
        <v>228</v>
      </c>
      <c r="Q43" s="26"/>
      <c r="R43" s="3" t="s">
        <v>229</v>
      </c>
      <c r="S43" s="26" t="n">
        <f>394065205992</f>
        <v>3.94065205992E11</v>
      </c>
      <c r="T43" s="26" t="n">
        <f>139119347867</f>
        <v>1.39119347867E11</v>
      </c>
      <c r="U43" s="5" t="s">
        <v>53</v>
      </c>
      <c r="V43" s="28" t="n">
        <f>4553059797000</f>
        <v>4.553059797E12</v>
      </c>
      <c r="W43" s="5" t="s">
        <v>82</v>
      </c>
      <c r="X43" s="28" t="n">
        <f>104526503000</f>
        <v>1.04526503E11</v>
      </c>
      <c r="Y43" s="28"/>
      <c r="Z43" s="26" t="str">
        <f>"－"</f>
        <v>－</v>
      </c>
      <c r="AA43" s="26" t="n">
        <f>344777</f>
        <v>344777.0</v>
      </c>
      <c r="AB43" s="4" t="s">
        <v>53</v>
      </c>
      <c r="AC43" s="27" t="n">
        <f>414056</f>
        <v>414056.0</v>
      </c>
      <c r="AD43" s="5" t="s">
        <v>213</v>
      </c>
      <c r="AE43" s="28" t="n">
        <f>250328</f>
        <v>250328.0</v>
      </c>
    </row>
    <row r="44">
      <c r="A44" s="20" t="s">
        <v>154</v>
      </c>
      <c r="B44" s="21" t="s">
        <v>155</v>
      </c>
      <c r="C44" s="22"/>
      <c r="D44" s="23"/>
      <c r="E44" s="24" t="s">
        <v>230</v>
      </c>
      <c r="F44" s="25" t="n">
        <f>245</f>
        <v>245.0</v>
      </c>
      <c r="G44" s="26" t="n">
        <f>10374213</f>
        <v>1.0374213E7</v>
      </c>
      <c r="H44" s="26"/>
      <c r="I44" s="26" t="n">
        <f>3633398</f>
        <v>3633398.0</v>
      </c>
      <c r="J44" s="26" t="n">
        <f>42344</f>
        <v>42344.0</v>
      </c>
      <c r="K44" s="26" t="n">
        <f>14830</f>
        <v>14830.0</v>
      </c>
      <c r="L44" s="4" t="s">
        <v>231</v>
      </c>
      <c r="M44" s="27" t="n">
        <f>402887</f>
        <v>402887.0</v>
      </c>
      <c r="N44" s="5" t="s">
        <v>67</v>
      </c>
      <c r="O44" s="28" t="n">
        <f>12950</f>
        <v>12950.0</v>
      </c>
      <c r="P44" s="3" t="s">
        <v>232</v>
      </c>
      <c r="Q44" s="26"/>
      <c r="R44" s="3" t="s">
        <v>233</v>
      </c>
      <c r="S44" s="26" t="n">
        <f>484019859086</f>
        <v>4.84019859086E11</v>
      </c>
      <c r="T44" s="26" t="n">
        <f>169947634453</f>
        <v>1.69947634453E11</v>
      </c>
      <c r="U44" s="5" t="s">
        <v>74</v>
      </c>
      <c r="V44" s="28" t="n">
        <f>4796904137000</f>
        <v>4.796904137E12</v>
      </c>
      <c r="W44" s="5" t="s">
        <v>67</v>
      </c>
      <c r="X44" s="28" t="n">
        <f>147229053000</f>
        <v>1.47229053E11</v>
      </c>
      <c r="Y44" s="28"/>
      <c r="Z44" s="26" t="str">
        <f>"－"</f>
        <v>－</v>
      </c>
      <c r="AA44" s="26" t="n">
        <f>351220</f>
        <v>351220.0</v>
      </c>
      <c r="AB44" s="4" t="s">
        <v>234</v>
      </c>
      <c r="AC44" s="27" t="n">
        <f>497075</f>
        <v>497075.0</v>
      </c>
      <c r="AD44" s="5" t="s">
        <v>97</v>
      </c>
      <c r="AE44" s="28" t="n">
        <f>285918</f>
        <v>285918.0</v>
      </c>
    </row>
    <row r="45">
      <c r="A45" s="20" t="s">
        <v>154</v>
      </c>
      <c r="B45" s="21" t="s">
        <v>155</v>
      </c>
      <c r="C45" s="22"/>
      <c r="D45" s="23"/>
      <c r="E45" s="24" t="s">
        <v>235</v>
      </c>
      <c r="F45" s="25" t="n">
        <f>246</f>
        <v>246.0</v>
      </c>
      <c r="G45" s="26" t="n">
        <f>14273075</f>
        <v>1.4273075E7</v>
      </c>
      <c r="H45" s="26"/>
      <c r="I45" s="26" t="n">
        <f>3919641</f>
        <v>3919641.0</v>
      </c>
      <c r="J45" s="26" t="n">
        <f>58021</f>
        <v>58021.0</v>
      </c>
      <c r="K45" s="26" t="n">
        <f>15934</f>
        <v>15934.0</v>
      </c>
      <c r="L45" s="4" t="s">
        <v>64</v>
      </c>
      <c r="M45" s="27" t="n">
        <f>559027</f>
        <v>559027.0</v>
      </c>
      <c r="N45" s="5" t="s">
        <v>141</v>
      </c>
      <c r="O45" s="28" t="n">
        <f>15788</f>
        <v>15788.0</v>
      </c>
      <c r="P45" s="3" t="s">
        <v>236</v>
      </c>
      <c r="Q45" s="26"/>
      <c r="R45" s="3" t="s">
        <v>237</v>
      </c>
      <c r="S45" s="26" t="n">
        <f>829594311102</f>
        <v>8.29594311102E11</v>
      </c>
      <c r="T45" s="26" t="n">
        <f>225239170431</f>
        <v>2.25239170431E11</v>
      </c>
      <c r="U45" s="5" t="s">
        <v>64</v>
      </c>
      <c r="V45" s="28" t="n">
        <f>8932354559000</f>
        <v>8.932354559E12</v>
      </c>
      <c r="W45" s="5" t="s">
        <v>141</v>
      </c>
      <c r="X45" s="28" t="n">
        <f>181611117000</f>
        <v>1.81611117E11</v>
      </c>
      <c r="Y45" s="28"/>
      <c r="Z45" s="26" t="str">
        <f>"－"</f>
        <v>－</v>
      </c>
      <c r="AA45" s="26" t="n">
        <f>397920</f>
        <v>397920.0</v>
      </c>
      <c r="AB45" s="4" t="s">
        <v>238</v>
      </c>
      <c r="AC45" s="27" t="n">
        <f>500760</f>
        <v>500760.0</v>
      </c>
      <c r="AD45" s="5" t="s">
        <v>239</v>
      </c>
      <c r="AE45" s="28" t="n">
        <f>309135</f>
        <v>309135.0</v>
      </c>
    </row>
    <row r="46">
      <c r="A46" s="20" t="s">
        <v>154</v>
      </c>
      <c r="B46" s="21" t="s">
        <v>155</v>
      </c>
      <c r="C46" s="22"/>
      <c r="D46" s="23"/>
      <c r="E46" s="24" t="s">
        <v>240</v>
      </c>
      <c r="F46" s="25" t="n">
        <f>246</f>
        <v>246.0</v>
      </c>
      <c r="G46" s="26" t="n">
        <f>14729852</f>
        <v>1.4729852E7</v>
      </c>
      <c r="H46" s="26"/>
      <c r="I46" s="26" t="n">
        <f>3699775</f>
        <v>3699775.0</v>
      </c>
      <c r="J46" s="26" t="n">
        <f>59877</f>
        <v>59877.0</v>
      </c>
      <c r="K46" s="26" t="n">
        <f>15040</f>
        <v>15040.0</v>
      </c>
      <c r="L46" s="4" t="s">
        <v>164</v>
      </c>
      <c r="M46" s="27" t="n">
        <f>540098</f>
        <v>540098.0</v>
      </c>
      <c r="N46" s="5" t="s">
        <v>82</v>
      </c>
      <c r="O46" s="28" t="n">
        <f>18510</f>
        <v>18510.0</v>
      </c>
      <c r="P46" s="3" t="s">
        <v>241</v>
      </c>
      <c r="Q46" s="26"/>
      <c r="R46" s="3" t="s">
        <v>242</v>
      </c>
      <c r="S46" s="26" t="n">
        <f>981139421451</f>
        <v>9.81139421451E11</v>
      </c>
      <c r="T46" s="26" t="n">
        <f>245326687366</f>
        <v>2.45326687366E11</v>
      </c>
      <c r="U46" s="5" t="s">
        <v>164</v>
      </c>
      <c r="V46" s="28" t="n">
        <f>9170887319000</f>
        <v>9.170887319E12</v>
      </c>
      <c r="W46" s="5" t="s">
        <v>82</v>
      </c>
      <c r="X46" s="28" t="n">
        <f>308400392000</f>
        <v>3.08400392E11</v>
      </c>
      <c r="Y46" s="28"/>
      <c r="Z46" s="26" t="str">
        <f>"－"</f>
        <v>－</v>
      </c>
      <c r="AA46" s="26" t="n">
        <f>380801</f>
        <v>380801.0</v>
      </c>
      <c r="AB46" s="4" t="s">
        <v>61</v>
      </c>
      <c r="AC46" s="27" t="n">
        <f>508998</f>
        <v>508998.0</v>
      </c>
      <c r="AD46" s="5" t="s">
        <v>243</v>
      </c>
      <c r="AE46" s="28" t="n">
        <f>343200</f>
        <v>343200.0</v>
      </c>
    </row>
    <row r="47">
      <c r="A47" s="20" t="s">
        <v>154</v>
      </c>
      <c r="B47" s="21" t="s">
        <v>155</v>
      </c>
      <c r="C47" s="22"/>
      <c r="D47" s="23"/>
      <c r="E47" s="24" t="s">
        <v>244</v>
      </c>
      <c r="F47" s="25" t="n">
        <f>245</f>
        <v>245.0</v>
      </c>
      <c r="G47" s="26" t="n">
        <f>17382219</f>
        <v>1.7382219E7</v>
      </c>
      <c r="H47" s="26"/>
      <c r="I47" s="26" t="n">
        <f>3519358</f>
        <v>3519358.0</v>
      </c>
      <c r="J47" s="26" t="n">
        <f>70948</f>
        <v>70948.0</v>
      </c>
      <c r="K47" s="26" t="n">
        <f>14365</f>
        <v>14365.0</v>
      </c>
      <c r="L47" s="4" t="s">
        <v>75</v>
      </c>
      <c r="M47" s="27" t="n">
        <f>527188</f>
        <v>527188.0</v>
      </c>
      <c r="N47" s="5" t="s">
        <v>50</v>
      </c>
      <c r="O47" s="28" t="n">
        <f>19689</f>
        <v>19689.0</v>
      </c>
      <c r="P47" s="3" t="s">
        <v>245</v>
      </c>
      <c r="Q47" s="26"/>
      <c r="R47" s="3" t="s">
        <v>246</v>
      </c>
      <c r="S47" s="26" t="n">
        <f>1088019085290</f>
        <v>1.08801908529E12</v>
      </c>
      <c r="T47" s="26" t="n">
        <f>224277871527</f>
        <v>2.24277871527E11</v>
      </c>
      <c r="U47" s="5" t="s">
        <v>174</v>
      </c>
      <c r="V47" s="28" t="n">
        <f>8851019789000</f>
        <v>8.851019789E12</v>
      </c>
      <c r="W47" s="5" t="s">
        <v>50</v>
      </c>
      <c r="X47" s="28" t="n">
        <f>296517929000</f>
        <v>2.96517929E11</v>
      </c>
      <c r="Y47" s="28"/>
      <c r="Z47" s="26" t="n">
        <f>201257</f>
        <v>201257.0</v>
      </c>
      <c r="AA47" s="26" t="n">
        <f>376882</f>
        <v>376882.0</v>
      </c>
      <c r="AB47" s="4" t="s">
        <v>115</v>
      </c>
      <c r="AC47" s="27" t="n">
        <f>616685</f>
        <v>616685.0</v>
      </c>
      <c r="AD47" s="5" t="s">
        <v>239</v>
      </c>
      <c r="AE47" s="28" t="n">
        <f>349519</f>
        <v>349519.0</v>
      </c>
    </row>
    <row r="48">
      <c r="A48" s="20" t="s">
        <v>154</v>
      </c>
      <c r="B48" s="21" t="s">
        <v>155</v>
      </c>
      <c r="C48" s="22"/>
      <c r="D48" s="23"/>
      <c r="E48" s="24" t="s">
        <v>247</v>
      </c>
      <c r="F48" s="25" t="n">
        <f>245</f>
        <v>245.0</v>
      </c>
      <c r="G48" s="26" t="n">
        <f>17594862</f>
        <v>1.7594862E7</v>
      </c>
      <c r="H48" s="26"/>
      <c r="I48" s="26" t="n">
        <f>3062092</f>
        <v>3062092.0</v>
      </c>
      <c r="J48" s="26" t="n">
        <f>71816</f>
        <v>71816.0</v>
      </c>
      <c r="K48" s="26" t="n">
        <f>12498</f>
        <v>12498.0</v>
      </c>
      <c r="L48" s="4" t="s">
        <v>53</v>
      </c>
      <c r="M48" s="27" t="n">
        <f>556116</f>
        <v>556116.0</v>
      </c>
      <c r="N48" s="5" t="s">
        <v>82</v>
      </c>
      <c r="O48" s="28" t="n">
        <f>18734</f>
        <v>18734.0</v>
      </c>
      <c r="P48" s="3" t="s">
        <v>248</v>
      </c>
      <c r="Q48" s="26"/>
      <c r="R48" s="3" t="s">
        <v>249</v>
      </c>
      <c r="S48" s="26" t="n">
        <f>753449268269</f>
        <v>7.53449268269E11</v>
      </c>
      <c r="T48" s="26" t="n">
        <f>124788039473</f>
        <v>1.24788039473E11</v>
      </c>
      <c r="U48" s="5" t="s">
        <v>68</v>
      </c>
      <c r="V48" s="28" t="n">
        <f>5844524342000</f>
        <v>5.844524342E12</v>
      </c>
      <c r="W48" s="5" t="s">
        <v>82</v>
      </c>
      <c r="X48" s="28" t="n">
        <f>156212247000</f>
        <v>1.56212247E11</v>
      </c>
      <c r="Y48" s="28"/>
      <c r="Z48" s="26" t="n">
        <f>1434972</f>
        <v>1434972.0</v>
      </c>
      <c r="AA48" s="26" t="n">
        <f>405747</f>
        <v>405747.0</v>
      </c>
      <c r="AB48" s="4" t="s">
        <v>85</v>
      </c>
      <c r="AC48" s="27" t="n">
        <f>507405</f>
        <v>507405.0</v>
      </c>
      <c r="AD48" s="5" t="s">
        <v>250</v>
      </c>
      <c r="AE48" s="28" t="n">
        <f>332094</f>
        <v>332094.0</v>
      </c>
    </row>
    <row r="49">
      <c r="A49" s="20" t="s">
        <v>154</v>
      </c>
      <c r="B49" s="21" t="s">
        <v>155</v>
      </c>
      <c r="C49" s="22"/>
      <c r="D49" s="23"/>
      <c r="E49" s="24" t="s">
        <v>251</v>
      </c>
      <c r="F49" s="25" t="n">
        <f>244</f>
        <v>244.0</v>
      </c>
      <c r="G49" s="26" t="n">
        <f>14902519</f>
        <v>1.4902519E7</v>
      </c>
      <c r="H49" s="26"/>
      <c r="I49" s="26" t="n">
        <f>2521835</f>
        <v>2521835.0</v>
      </c>
      <c r="J49" s="26" t="n">
        <f>61076</f>
        <v>61076.0</v>
      </c>
      <c r="K49" s="26" t="n">
        <f>10335</f>
        <v>10335.0</v>
      </c>
      <c r="L49" s="4" t="s">
        <v>234</v>
      </c>
      <c r="M49" s="27" t="n">
        <f>479714</f>
        <v>479714.0</v>
      </c>
      <c r="N49" s="5" t="s">
        <v>82</v>
      </c>
      <c r="O49" s="28" t="n">
        <f>20343</f>
        <v>20343.0</v>
      </c>
      <c r="P49" s="3" t="s">
        <v>252</v>
      </c>
      <c r="Q49" s="26"/>
      <c r="R49" s="3" t="s">
        <v>253</v>
      </c>
      <c r="S49" s="26" t="n">
        <f>553795984852</f>
        <v>5.53795984852E11</v>
      </c>
      <c r="T49" s="26" t="n">
        <f>94424831832</f>
        <v>9.4424831832E10</v>
      </c>
      <c r="U49" s="5" t="s">
        <v>234</v>
      </c>
      <c r="V49" s="28" t="n">
        <f>4422252038000</f>
        <v>4.422252038E12</v>
      </c>
      <c r="W49" s="5" t="s">
        <v>82</v>
      </c>
      <c r="X49" s="28" t="n">
        <f>185194939000</f>
        <v>1.85194939E11</v>
      </c>
      <c r="Y49" s="28"/>
      <c r="Z49" s="26" t="n">
        <f>1787313</f>
        <v>1787313.0</v>
      </c>
      <c r="AA49" s="26" t="n">
        <f>369819</f>
        <v>369819.0</v>
      </c>
      <c r="AB49" s="4" t="s">
        <v>90</v>
      </c>
      <c r="AC49" s="27" t="n">
        <f>524349</f>
        <v>524349.0</v>
      </c>
      <c r="AD49" s="5" t="s">
        <v>254</v>
      </c>
      <c r="AE49" s="28" t="n">
        <f>319799</f>
        <v>319799.0</v>
      </c>
    </row>
    <row r="50">
      <c r="A50" s="20" t="s">
        <v>154</v>
      </c>
      <c r="B50" s="21" t="s">
        <v>155</v>
      </c>
      <c r="C50" s="22"/>
      <c r="D50" s="23"/>
      <c r="E50" s="24" t="s">
        <v>255</v>
      </c>
      <c r="F50" s="25" t="n">
        <f>245</f>
        <v>245.0</v>
      </c>
      <c r="G50" s="26" t="n">
        <f>14926980</f>
        <v>1.492698E7</v>
      </c>
      <c r="H50" s="26"/>
      <c r="I50" s="26" t="n">
        <f>2587181</f>
        <v>2587181.0</v>
      </c>
      <c r="J50" s="26" t="n">
        <f>60926</f>
        <v>60926.0</v>
      </c>
      <c r="K50" s="26" t="n">
        <f>10560</f>
        <v>10560.0</v>
      </c>
      <c r="L50" s="4" t="s">
        <v>74</v>
      </c>
      <c r="M50" s="27" t="n">
        <f>503904</f>
        <v>503904.0</v>
      </c>
      <c r="N50" s="5" t="s">
        <v>58</v>
      </c>
      <c r="O50" s="28" t="n">
        <f>15576</f>
        <v>15576.0</v>
      </c>
      <c r="P50" s="3" t="s">
        <v>256</v>
      </c>
      <c r="Q50" s="26"/>
      <c r="R50" s="3" t="s">
        <v>257</v>
      </c>
      <c r="S50" s="26" t="n">
        <f>535671989412</f>
        <v>5.35671989412E11</v>
      </c>
      <c r="T50" s="26" t="n">
        <f>93131851029</f>
        <v>9.3131851029E10</v>
      </c>
      <c r="U50" s="5" t="s">
        <v>74</v>
      </c>
      <c r="V50" s="28" t="n">
        <f>4736085091000</f>
        <v>4.736085091E12</v>
      </c>
      <c r="W50" s="5" t="s">
        <v>58</v>
      </c>
      <c r="X50" s="28" t="n">
        <f>140862655000</f>
        <v>1.40862655E11</v>
      </c>
      <c r="Y50" s="28"/>
      <c r="Z50" s="26" t="n">
        <f>2313516</f>
        <v>2313516.0</v>
      </c>
      <c r="AA50" s="26" t="n">
        <f>398930</f>
        <v>398930.0</v>
      </c>
      <c r="AB50" s="4" t="s">
        <v>49</v>
      </c>
      <c r="AC50" s="27" t="n">
        <f>510494</f>
        <v>510494.0</v>
      </c>
      <c r="AD50" s="5" t="s">
        <v>132</v>
      </c>
      <c r="AE50" s="28" t="n">
        <f>334989</f>
        <v>334989.0</v>
      </c>
    </row>
    <row r="51">
      <c r="A51" s="20" t="s">
        <v>154</v>
      </c>
      <c r="B51" s="21" t="s">
        <v>155</v>
      </c>
      <c r="C51" s="22"/>
      <c r="D51" s="23"/>
      <c r="E51" s="24" t="s">
        <v>258</v>
      </c>
      <c r="F51" s="25" t="n">
        <f>246</f>
        <v>246.0</v>
      </c>
      <c r="G51" s="26" t="n">
        <f>14228547</f>
        <v>1.4228547E7</v>
      </c>
      <c r="H51" s="26"/>
      <c r="I51" s="26" t="n">
        <f>2757009</f>
        <v>2757009.0</v>
      </c>
      <c r="J51" s="26" t="n">
        <f>57840</f>
        <v>57840.0</v>
      </c>
      <c r="K51" s="26" t="n">
        <f>11207</f>
        <v>11207.0</v>
      </c>
      <c r="L51" s="4" t="s">
        <v>71</v>
      </c>
      <c r="M51" s="27" t="n">
        <f>615859</f>
        <v>615859.0</v>
      </c>
      <c r="N51" s="5" t="s">
        <v>50</v>
      </c>
      <c r="O51" s="28" t="n">
        <f>12987</f>
        <v>12987.0</v>
      </c>
      <c r="P51" s="3" t="s">
        <v>259</v>
      </c>
      <c r="Q51" s="26"/>
      <c r="R51" s="3" t="s">
        <v>260</v>
      </c>
      <c r="S51" s="26" t="n">
        <f>457197259008</f>
        <v>4.57197259008E11</v>
      </c>
      <c r="T51" s="26" t="n">
        <f>87954841703</f>
        <v>8.7954841703E10</v>
      </c>
      <c r="U51" s="5" t="s">
        <v>71</v>
      </c>
      <c r="V51" s="28" t="n">
        <f>5098170972000</f>
        <v>5.098170972E12</v>
      </c>
      <c r="W51" s="5" t="s">
        <v>50</v>
      </c>
      <c r="X51" s="28" t="n">
        <f>94283954000</f>
        <v>9.4283954E10</v>
      </c>
      <c r="Y51" s="28"/>
      <c r="Z51" s="26" t="n">
        <f>2634592</f>
        <v>2634592.0</v>
      </c>
      <c r="AA51" s="26" t="n">
        <f>441996</f>
        <v>441996.0</v>
      </c>
      <c r="AB51" s="4" t="s">
        <v>61</v>
      </c>
      <c r="AC51" s="27" t="n">
        <f>534950</f>
        <v>534950.0</v>
      </c>
      <c r="AD51" s="5" t="s">
        <v>97</v>
      </c>
      <c r="AE51" s="28" t="n">
        <f>355085</f>
        <v>355085.0</v>
      </c>
    </row>
    <row r="52">
      <c r="A52" s="20" t="s">
        <v>154</v>
      </c>
      <c r="B52" s="21" t="s">
        <v>155</v>
      </c>
      <c r="C52" s="22"/>
      <c r="D52" s="23"/>
      <c r="E52" s="24" t="s">
        <v>261</v>
      </c>
      <c r="F52" s="25" t="n">
        <f>245</f>
        <v>245.0</v>
      </c>
      <c r="G52" s="26" t="n">
        <f>16710007</f>
        <v>1.6710007E7</v>
      </c>
      <c r="H52" s="26"/>
      <c r="I52" s="26" t="n">
        <f>3383521</f>
        <v>3383521.0</v>
      </c>
      <c r="J52" s="26" t="n">
        <f>68204</f>
        <v>68204.0</v>
      </c>
      <c r="K52" s="26" t="n">
        <f>13810</f>
        <v>13810.0</v>
      </c>
      <c r="L52" s="4" t="s">
        <v>104</v>
      </c>
      <c r="M52" s="27" t="n">
        <f>643443</f>
        <v>643443.0</v>
      </c>
      <c r="N52" s="5" t="s">
        <v>262</v>
      </c>
      <c r="O52" s="28" t="n">
        <f>24455</f>
        <v>24455.0</v>
      </c>
      <c r="P52" s="3" t="s">
        <v>263</v>
      </c>
      <c r="Q52" s="26"/>
      <c r="R52" s="3" t="s">
        <v>264</v>
      </c>
      <c r="S52" s="26" t="n">
        <f>560392715298</f>
        <v>5.60392715298E11</v>
      </c>
      <c r="T52" s="26" t="n">
        <f>112446056322</f>
        <v>1.12446056322E11</v>
      </c>
      <c r="U52" s="5" t="s">
        <v>104</v>
      </c>
      <c r="V52" s="28" t="n">
        <f>6384117791000</f>
        <v>6.384117791E12</v>
      </c>
      <c r="W52" s="5" t="s">
        <v>262</v>
      </c>
      <c r="X52" s="28" t="n">
        <f>182529063000</f>
        <v>1.82529063E11</v>
      </c>
      <c r="Y52" s="28"/>
      <c r="Z52" s="26" t="n">
        <f>3282290</f>
        <v>3282290.0</v>
      </c>
      <c r="AA52" s="26" t="n">
        <f>536155</f>
        <v>536155.0</v>
      </c>
      <c r="AB52" s="4" t="s">
        <v>74</v>
      </c>
      <c r="AC52" s="27" t="n">
        <f>669429</f>
        <v>669429.0</v>
      </c>
      <c r="AD52" s="5" t="s">
        <v>226</v>
      </c>
      <c r="AE52" s="28" t="n">
        <f>341835</f>
        <v>341835.0</v>
      </c>
    </row>
    <row r="53">
      <c r="A53" s="20" t="s">
        <v>154</v>
      </c>
      <c r="B53" s="21" t="s">
        <v>155</v>
      </c>
      <c r="C53" s="22"/>
      <c r="D53" s="23"/>
      <c r="E53" s="24" t="s">
        <v>265</v>
      </c>
      <c r="F53" s="25" t="n">
        <f>245</f>
        <v>245.0</v>
      </c>
      <c r="G53" s="26" t="n">
        <f>23102699</f>
        <v>2.3102699E7</v>
      </c>
      <c r="H53" s="26"/>
      <c r="I53" s="26" t="n">
        <f>4133611</f>
        <v>4133611.0</v>
      </c>
      <c r="J53" s="26" t="n">
        <f>94297</f>
        <v>94297.0</v>
      </c>
      <c r="K53" s="26" t="n">
        <f>16872</f>
        <v>16872.0</v>
      </c>
      <c r="L53" s="4" t="s">
        <v>127</v>
      </c>
      <c r="M53" s="27" t="n">
        <f>747937</f>
        <v>747937.0</v>
      </c>
      <c r="N53" s="5" t="s">
        <v>82</v>
      </c>
      <c r="O53" s="28" t="n">
        <f>26978</f>
        <v>26978.0</v>
      </c>
      <c r="P53" s="3" t="s">
        <v>266</v>
      </c>
      <c r="Q53" s="26"/>
      <c r="R53" s="3" t="s">
        <v>267</v>
      </c>
      <c r="S53" s="26" t="n">
        <f>1115036033110</f>
        <v>1.11503603311E12</v>
      </c>
      <c r="T53" s="26" t="n">
        <f>199598382690</f>
        <v>1.9959838269E11</v>
      </c>
      <c r="U53" s="5" t="s">
        <v>49</v>
      </c>
      <c r="V53" s="28" t="n">
        <f>8420999669000</f>
        <v>8.420999669E12</v>
      </c>
      <c r="W53" s="5" t="s">
        <v>268</v>
      </c>
      <c r="X53" s="28" t="n">
        <f>332400938000</f>
        <v>3.32400938E11</v>
      </c>
      <c r="Y53" s="28"/>
      <c r="Z53" s="26" t="n">
        <f>4253978</f>
        <v>4253978.0</v>
      </c>
      <c r="AA53" s="26" t="n">
        <f>500651</f>
        <v>500651.0</v>
      </c>
      <c r="AB53" s="4" t="s">
        <v>97</v>
      </c>
      <c r="AC53" s="27" t="n">
        <f>784656</f>
        <v>784656.0</v>
      </c>
      <c r="AD53" s="5" t="s">
        <v>250</v>
      </c>
      <c r="AE53" s="28" t="n">
        <f>469574</f>
        <v>469574.0</v>
      </c>
    </row>
    <row r="54">
      <c r="A54" s="20" t="s">
        <v>154</v>
      </c>
      <c r="B54" s="21" t="s">
        <v>155</v>
      </c>
      <c r="C54" s="22"/>
      <c r="D54" s="23"/>
      <c r="E54" s="24" t="s">
        <v>48</v>
      </c>
      <c r="F54" s="25" t="n">
        <f>246</f>
        <v>246.0</v>
      </c>
      <c r="G54" s="26" t="n">
        <f>20857097</f>
        <v>2.0857097E7</v>
      </c>
      <c r="H54" s="26"/>
      <c r="I54" s="26" t="n">
        <f>4703529</f>
        <v>4703529.0</v>
      </c>
      <c r="J54" s="26" t="n">
        <f>84785</f>
        <v>84785.0</v>
      </c>
      <c r="K54" s="26" t="n">
        <f>19120</f>
        <v>19120.0</v>
      </c>
      <c r="L54" s="4" t="s">
        <v>53</v>
      </c>
      <c r="M54" s="27" t="n">
        <f>689361</f>
        <v>689361.0</v>
      </c>
      <c r="N54" s="5" t="s">
        <v>82</v>
      </c>
      <c r="O54" s="28" t="n">
        <f>20038</f>
        <v>20038.0</v>
      </c>
      <c r="P54" s="3" t="s">
        <v>269</v>
      </c>
      <c r="Q54" s="26"/>
      <c r="R54" s="3" t="s">
        <v>270</v>
      </c>
      <c r="S54" s="26" t="n">
        <f>1142312826821</f>
        <v>1.142312826821E12</v>
      </c>
      <c r="T54" s="26" t="n">
        <f>261457635752</f>
        <v>2.61457635752E11</v>
      </c>
      <c r="U54" s="5" t="s">
        <v>53</v>
      </c>
      <c r="V54" s="28" t="n">
        <f>10547474563000</f>
        <v>1.0547474563E13</v>
      </c>
      <c r="W54" s="5" t="s">
        <v>82</v>
      </c>
      <c r="X54" s="28" t="n">
        <f>284956609000</f>
        <v>2.84956609E11</v>
      </c>
      <c r="Y54" s="28"/>
      <c r="Z54" s="26" t="n">
        <f>4318208</f>
        <v>4318208.0</v>
      </c>
      <c r="AA54" s="26" t="n">
        <f>649001</f>
        <v>649001.0</v>
      </c>
      <c r="AB54" s="4" t="s">
        <v>85</v>
      </c>
      <c r="AC54" s="27" t="n">
        <f>797826</f>
        <v>797826.0</v>
      </c>
      <c r="AD54" s="5" t="s">
        <v>271</v>
      </c>
      <c r="AE54" s="28" t="n">
        <f>488281</f>
        <v>488281.0</v>
      </c>
    </row>
    <row r="55">
      <c r="A55" s="20" t="s">
        <v>154</v>
      </c>
      <c r="B55" s="21" t="s">
        <v>155</v>
      </c>
      <c r="C55" s="22"/>
      <c r="D55" s="23"/>
      <c r="E55" s="24" t="s">
        <v>56</v>
      </c>
      <c r="F55" s="25" t="n">
        <f>245</f>
        <v>245.0</v>
      </c>
      <c r="G55" s="26" t="n">
        <f>22986847</f>
        <v>2.2986847E7</v>
      </c>
      <c r="H55" s="26"/>
      <c r="I55" s="26" t="n">
        <f>4600941</f>
        <v>4600941.0</v>
      </c>
      <c r="J55" s="26" t="n">
        <f>93824</f>
        <v>93824.0</v>
      </c>
      <c r="K55" s="26" t="n">
        <f>18779</f>
        <v>18779.0</v>
      </c>
      <c r="L55" s="4" t="s">
        <v>234</v>
      </c>
      <c r="M55" s="27" t="n">
        <f>721492</f>
        <v>721492.0</v>
      </c>
      <c r="N55" s="5" t="s">
        <v>82</v>
      </c>
      <c r="O55" s="28" t="n">
        <f>23730</f>
        <v>23730.0</v>
      </c>
      <c r="P55" s="3" t="s">
        <v>272</v>
      </c>
      <c r="Q55" s="26"/>
      <c r="R55" s="3" t="s">
        <v>273</v>
      </c>
      <c r="S55" s="26" t="n">
        <f>1416978127833</f>
        <v>1.416978127833E12</v>
      </c>
      <c r="T55" s="26" t="n">
        <f>284952341086</f>
        <v>2.84952341086E11</v>
      </c>
      <c r="U55" s="5" t="s">
        <v>234</v>
      </c>
      <c r="V55" s="28" t="n">
        <f>11903170241000</f>
        <v>1.1903170241E13</v>
      </c>
      <c r="W55" s="5" t="s">
        <v>82</v>
      </c>
      <c r="X55" s="28" t="n">
        <f>360022590000</f>
        <v>3.6002259E11</v>
      </c>
      <c r="Y55" s="28"/>
      <c r="Z55" s="26" t="n">
        <f>5355152</f>
        <v>5355152.0</v>
      </c>
      <c r="AA55" s="26" t="n">
        <f>527406</f>
        <v>527406.0</v>
      </c>
      <c r="AB55" s="4" t="s">
        <v>68</v>
      </c>
      <c r="AC55" s="27" t="n">
        <f>816960</f>
        <v>816960.0</v>
      </c>
      <c r="AD55" s="5" t="s">
        <v>274</v>
      </c>
      <c r="AE55" s="28" t="n">
        <f>495677</f>
        <v>495677.0</v>
      </c>
    </row>
    <row r="56">
      <c r="A56" s="20" t="s">
        <v>154</v>
      </c>
      <c r="B56" s="21" t="s">
        <v>155</v>
      </c>
      <c r="C56" s="22"/>
      <c r="D56" s="23"/>
      <c r="E56" s="24" t="s">
        <v>63</v>
      </c>
      <c r="F56" s="25" t="n">
        <f>245</f>
        <v>245.0</v>
      </c>
      <c r="G56" s="26" t="n">
        <f>22041552</f>
        <v>2.2041552E7</v>
      </c>
      <c r="H56" s="26"/>
      <c r="I56" s="26" t="n">
        <f>4864433</f>
        <v>4864433.0</v>
      </c>
      <c r="J56" s="26" t="n">
        <f>89966</f>
        <v>89966.0</v>
      </c>
      <c r="K56" s="26" t="n">
        <f>19855</f>
        <v>19855.0</v>
      </c>
      <c r="L56" s="4" t="s">
        <v>64</v>
      </c>
      <c r="M56" s="27" t="n">
        <f>780905</f>
        <v>780905.0</v>
      </c>
      <c r="N56" s="5" t="s">
        <v>67</v>
      </c>
      <c r="O56" s="28" t="n">
        <f>30349</f>
        <v>30349.0</v>
      </c>
      <c r="P56" s="3" t="s">
        <v>275</v>
      </c>
      <c r="Q56" s="26"/>
      <c r="R56" s="3" t="s">
        <v>276</v>
      </c>
      <c r="S56" s="26" t="n">
        <f>1267504096473</f>
        <v>1.267504096473E12</v>
      </c>
      <c r="T56" s="26" t="n">
        <f>282991849979</f>
        <v>2.82991849979E11</v>
      </c>
      <c r="U56" s="5" t="s">
        <v>64</v>
      </c>
      <c r="V56" s="28" t="n">
        <f>11541055510501</f>
        <v>1.1541055510501E13</v>
      </c>
      <c r="W56" s="5" t="s">
        <v>67</v>
      </c>
      <c r="X56" s="28" t="n">
        <f>398347754700</f>
        <v>3.983477547E11</v>
      </c>
      <c r="Y56" s="28"/>
      <c r="Z56" s="26" t="n">
        <f>5147582</f>
        <v>5147582.0</v>
      </c>
      <c r="AA56" s="26" t="n">
        <f>597767</f>
        <v>597767.0</v>
      </c>
      <c r="AB56" s="4" t="s">
        <v>53</v>
      </c>
      <c r="AC56" s="27" t="n">
        <f>707420</f>
        <v>707420.0</v>
      </c>
      <c r="AD56" s="5" t="s">
        <v>277</v>
      </c>
      <c r="AE56" s="28" t="n">
        <f>398566</f>
        <v>398566.0</v>
      </c>
    </row>
    <row r="57">
      <c r="A57" s="20" t="s">
        <v>154</v>
      </c>
      <c r="B57" s="21" t="s">
        <v>155</v>
      </c>
      <c r="C57" s="22"/>
      <c r="D57" s="23"/>
      <c r="E57" s="24" t="s">
        <v>70</v>
      </c>
      <c r="F57" s="25" t="n">
        <f>245</f>
        <v>245.0</v>
      </c>
      <c r="G57" s="26" t="n">
        <f>25795214</f>
        <v>2.5795214E7</v>
      </c>
      <c r="H57" s="26"/>
      <c r="I57" s="26" t="n">
        <f>5581242</f>
        <v>5581242.0</v>
      </c>
      <c r="J57" s="26" t="n">
        <f>105287</f>
        <v>105287.0</v>
      </c>
      <c r="K57" s="26" t="n">
        <f>22781</f>
        <v>22781.0</v>
      </c>
      <c r="L57" s="4" t="s">
        <v>188</v>
      </c>
      <c r="M57" s="27" t="n">
        <f>942810</f>
        <v>942810.0</v>
      </c>
      <c r="N57" s="5" t="s">
        <v>93</v>
      </c>
      <c r="O57" s="28" t="n">
        <f>26573</f>
        <v>26573.0</v>
      </c>
      <c r="P57" s="3" t="s">
        <v>278</v>
      </c>
      <c r="Q57" s="26"/>
      <c r="R57" s="3" t="s">
        <v>279</v>
      </c>
      <c r="S57" s="26" t="n">
        <f>1773299826992</f>
        <v>1.773299826992E12</v>
      </c>
      <c r="T57" s="26" t="n">
        <f>383735337710</f>
        <v>3.8373533771E11</v>
      </c>
      <c r="U57" s="5" t="s">
        <v>188</v>
      </c>
      <c r="V57" s="28" t="n">
        <f>16819997300883</f>
        <v>1.6819997300883E13</v>
      </c>
      <c r="W57" s="5" t="s">
        <v>93</v>
      </c>
      <c r="X57" s="28" t="n">
        <f>486112405900</f>
        <v>4.861124059E11</v>
      </c>
      <c r="Y57" s="28"/>
      <c r="Z57" s="26" t="n">
        <f>5966005</f>
        <v>5966005.0</v>
      </c>
      <c r="AA57" s="26" t="n">
        <f>563163</f>
        <v>563163.0</v>
      </c>
      <c r="AB57" s="4" t="s">
        <v>64</v>
      </c>
      <c r="AC57" s="27" t="n">
        <f>798553</f>
        <v>798553.0</v>
      </c>
      <c r="AD57" s="5" t="s">
        <v>91</v>
      </c>
      <c r="AE57" s="28" t="n">
        <f>508747</f>
        <v>508747.0</v>
      </c>
    </row>
    <row r="58">
      <c r="A58" s="20" t="s">
        <v>154</v>
      </c>
      <c r="B58" s="21" t="s">
        <v>155</v>
      </c>
      <c r="C58" s="22"/>
      <c r="D58" s="23"/>
      <c r="E58" s="24" t="s">
        <v>76</v>
      </c>
      <c r="F58" s="25" t="n">
        <f>244</f>
        <v>244.0</v>
      </c>
      <c r="G58" s="26" t="n">
        <f>25350518</f>
        <v>2.5350518E7</v>
      </c>
      <c r="H58" s="26"/>
      <c r="I58" s="26" t="n">
        <f>5798415</f>
        <v>5798415.0</v>
      </c>
      <c r="J58" s="26" t="n">
        <f>103896</f>
        <v>103896.0</v>
      </c>
      <c r="K58" s="26" t="n">
        <f>23764</f>
        <v>23764.0</v>
      </c>
      <c r="L58" s="4" t="s">
        <v>174</v>
      </c>
      <c r="M58" s="27" t="n">
        <f>919259</f>
        <v>919259.0</v>
      </c>
      <c r="N58" s="5" t="s">
        <v>77</v>
      </c>
      <c r="O58" s="28" t="n">
        <f>36420</f>
        <v>36420.0</v>
      </c>
      <c r="P58" s="3" t="s">
        <v>280</v>
      </c>
      <c r="Q58" s="26"/>
      <c r="R58" s="3" t="s">
        <v>281</v>
      </c>
      <c r="S58" s="26" t="n">
        <f>1734166059330</f>
        <v>1.73416605933E12</v>
      </c>
      <c r="T58" s="26" t="n">
        <f>396873888429</f>
        <v>3.96873888429E11</v>
      </c>
      <c r="U58" s="5" t="s">
        <v>174</v>
      </c>
      <c r="V58" s="28" t="n">
        <f>16310744694244</f>
        <v>1.6310744694244E13</v>
      </c>
      <c r="W58" s="5" t="s">
        <v>77</v>
      </c>
      <c r="X58" s="28" t="n">
        <f>633301182640</f>
        <v>6.3330118264E11</v>
      </c>
      <c r="Y58" s="28"/>
      <c r="Z58" s="26" t="n">
        <f>5616433</f>
        <v>5616433.0</v>
      </c>
      <c r="AA58" s="26" t="n">
        <f>517113</f>
        <v>517113.0</v>
      </c>
      <c r="AB58" s="4" t="s">
        <v>75</v>
      </c>
      <c r="AC58" s="27" t="n">
        <f>739301</f>
        <v>739301.0</v>
      </c>
      <c r="AD58" s="5" t="s">
        <v>80</v>
      </c>
      <c r="AE58" s="28" t="n">
        <f>461228</f>
        <v>461228.0</v>
      </c>
    </row>
    <row r="59">
      <c r="A59" s="20" t="s">
        <v>154</v>
      </c>
      <c r="B59" s="21" t="s">
        <v>155</v>
      </c>
      <c r="C59" s="22"/>
      <c r="D59" s="23"/>
      <c r="E59" s="24" t="s">
        <v>81</v>
      </c>
      <c r="F59" s="25" t="n">
        <f>241</f>
        <v>241.0</v>
      </c>
      <c r="G59" s="26" t="n">
        <f>29169204</f>
        <v>2.9169204E7</v>
      </c>
      <c r="H59" s="26"/>
      <c r="I59" s="26" t="n">
        <f>6345188</f>
        <v>6345188.0</v>
      </c>
      <c r="J59" s="26" t="n">
        <f>121034</f>
        <v>121034.0</v>
      </c>
      <c r="K59" s="26" t="n">
        <f>26329</f>
        <v>26329.0</v>
      </c>
      <c r="L59" s="4" t="s">
        <v>53</v>
      </c>
      <c r="M59" s="27" t="n">
        <f>1146277</f>
        <v>1146277.0</v>
      </c>
      <c r="N59" s="5" t="s">
        <v>82</v>
      </c>
      <c r="O59" s="28" t="n">
        <f>21365</f>
        <v>21365.0</v>
      </c>
      <c r="P59" s="3" t="s">
        <v>282</v>
      </c>
      <c r="Q59" s="26"/>
      <c r="R59" s="3" t="s">
        <v>283</v>
      </c>
      <c r="S59" s="26" t="n">
        <f>1893273015874</f>
        <v>1.893273015874E12</v>
      </c>
      <c r="T59" s="26" t="n">
        <f>411463406949</f>
        <v>4.11463406949E11</v>
      </c>
      <c r="U59" s="5" t="s">
        <v>49</v>
      </c>
      <c r="V59" s="28" t="n">
        <f>16225964746681</f>
        <v>1.6225964746681E13</v>
      </c>
      <c r="W59" s="5" t="s">
        <v>82</v>
      </c>
      <c r="X59" s="28" t="n">
        <f>367544868300</f>
        <v>3.675448683E11</v>
      </c>
      <c r="Y59" s="28"/>
      <c r="Z59" s="26" t="n">
        <f>5837225</f>
        <v>5837225.0</v>
      </c>
      <c r="AA59" s="26" t="n">
        <f>610147</f>
        <v>610147.0</v>
      </c>
      <c r="AB59" s="4" t="s">
        <v>149</v>
      </c>
      <c r="AC59" s="27" t="n">
        <f>872574</f>
        <v>872574.0</v>
      </c>
      <c r="AD59" s="5" t="s">
        <v>226</v>
      </c>
      <c r="AE59" s="28" t="n">
        <f>476469</f>
        <v>476469.0</v>
      </c>
    </row>
    <row r="60">
      <c r="A60" s="20" t="s">
        <v>154</v>
      </c>
      <c r="B60" s="21" t="s">
        <v>155</v>
      </c>
      <c r="C60" s="22"/>
      <c r="D60" s="23"/>
      <c r="E60" s="24" t="s">
        <v>87</v>
      </c>
      <c r="F60" s="25" t="n">
        <f>245</f>
        <v>245.0</v>
      </c>
      <c r="G60" s="26" t="n">
        <f>24969584</f>
        <v>2.4969584E7</v>
      </c>
      <c r="H60" s="26"/>
      <c r="I60" s="26" t="n">
        <f>5790601</f>
        <v>5790601.0</v>
      </c>
      <c r="J60" s="26" t="n">
        <f>101917</f>
        <v>101917.0</v>
      </c>
      <c r="K60" s="26" t="n">
        <f>23635</f>
        <v>23635.0</v>
      </c>
      <c r="L60" s="4" t="s">
        <v>234</v>
      </c>
      <c r="M60" s="27" t="n">
        <f>980657</f>
        <v>980657.0</v>
      </c>
      <c r="N60" s="5" t="s">
        <v>82</v>
      </c>
      <c r="O60" s="28" t="n">
        <f>16321</f>
        <v>16321.0</v>
      </c>
      <c r="P60" s="3" t="s">
        <v>284</v>
      </c>
      <c r="Q60" s="26"/>
      <c r="R60" s="3" t="s">
        <v>285</v>
      </c>
      <c r="S60" s="26" t="n">
        <f>1723178669902</f>
        <v>1.723178669902E12</v>
      </c>
      <c r="T60" s="26" t="n">
        <f>404388116927</f>
        <v>4.04388116927E11</v>
      </c>
      <c r="U60" s="5" t="s">
        <v>61</v>
      </c>
      <c r="V60" s="28" t="n">
        <f>18418036560239</f>
        <v>1.8418036560239E13</v>
      </c>
      <c r="W60" s="5" t="s">
        <v>82</v>
      </c>
      <c r="X60" s="28" t="n">
        <f>289622828692</f>
        <v>2.89622828692E11</v>
      </c>
      <c r="Y60" s="28"/>
      <c r="Z60" s="26" t="n">
        <f>5124090</f>
        <v>5124090.0</v>
      </c>
      <c r="AA60" s="26" t="n">
        <f>537946</f>
        <v>537946.0</v>
      </c>
      <c r="AB60" s="4" t="s">
        <v>234</v>
      </c>
      <c r="AC60" s="27" t="n">
        <f>808602</f>
        <v>808602.0</v>
      </c>
      <c r="AD60" s="5" t="s">
        <v>91</v>
      </c>
      <c r="AE60" s="28" t="n">
        <f>480677</f>
        <v>480677.0</v>
      </c>
    </row>
    <row r="61">
      <c r="A61" s="20" t="s">
        <v>154</v>
      </c>
      <c r="B61" s="21" t="s">
        <v>155</v>
      </c>
      <c r="C61" s="22"/>
      <c r="D61" s="23"/>
      <c r="E61" s="24" t="s">
        <v>92</v>
      </c>
      <c r="F61" s="25" t="n">
        <f>244</f>
        <v>244.0</v>
      </c>
      <c r="G61" s="26" t="n">
        <f>23495471</f>
        <v>2.3495471E7</v>
      </c>
      <c r="H61" s="26"/>
      <c r="I61" s="26" t="n">
        <f>5658561</f>
        <v>5658561.0</v>
      </c>
      <c r="J61" s="26" t="n">
        <f>96293</f>
        <v>96293.0</v>
      </c>
      <c r="K61" s="26" t="n">
        <f>23191</f>
        <v>23191.0</v>
      </c>
      <c r="L61" s="4" t="s">
        <v>286</v>
      </c>
      <c r="M61" s="27" t="n">
        <f>936369</f>
        <v>936369.0</v>
      </c>
      <c r="N61" s="5" t="s">
        <v>93</v>
      </c>
      <c r="O61" s="28" t="n">
        <f>23067</f>
        <v>23067.0</v>
      </c>
      <c r="P61" s="3" t="s">
        <v>287</v>
      </c>
      <c r="Q61" s="26"/>
      <c r="R61" s="3" t="s">
        <v>288</v>
      </c>
      <c r="S61" s="26" t="n">
        <f>1874082453466</f>
        <v>1.874082453466E12</v>
      </c>
      <c r="T61" s="26" t="n">
        <f>450413710990</f>
        <v>4.5041371099E11</v>
      </c>
      <c r="U61" s="5" t="s">
        <v>286</v>
      </c>
      <c r="V61" s="28" t="n">
        <f>18396789640220</f>
        <v>1.839678964022E13</v>
      </c>
      <c r="W61" s="5" t="s">
        <v>93</v>
      </c>
      <c r="X61" s="28" t="n">
        <f>456012868250</f>
        <v>4.5601286825E11</v>
      </c>
      <c r="Y61" s="28"/>
      <c r="Z61" s="26" t="n">
        <f>5423036</f>
        <v>5423036.0</v>
      </c>
      <c r="AA61" s="26" t="n">
        <f>522772</f>
        <v>522772.0</v>
      </c>
      <c r="AB61" s="4" t="s">
        <v>74</v>
      </c>
      <c r="AC61" s="27" t="n">
        <f>719822</f>
        <v>719822.0</v>
      </c>
      <c r="AD61" s="5" t="s">
        <v>289</v>
      </c>
      <c r="AE61" s="28" t="n">
        <f>413896</f>
        <v>413896.0</v>
      </c>
    </row>
    <row r="62">
      <c r="A62" s="20" t="s">
        <v>154</v>
      </c>
      <c r="B62" s="21" t="s">
        <v>155</v>
      </c>
      <c r="C62" s="22"/>
      <c r="D62" s="23"/>
      <c r="E62" s="24" t="s">
        <v>98</v>
      </c>
      <c r="F62" s="25" t="n">
        <f>245</f>
        <v>245.0</v>
      </c>
      <c r="G62" s="26" t="n">
        <f>25581747</f>
        <v>2.5581747E7</v>
      </c>
      <c r="H62" s="26"/>
      <c r="I62" s="26" t="n">
        <f>6679262</f>
        <v>6679262.0</v>
      </c>
      <c r="J62" s="26" t="n">
        <f>104415</f>
        <v>104415.0</v>
      </c>
      <c r="K62" s="26" t="n">
        <f>27262</f>
        <v>27262.0</v>
      </c>
      <c r="L62" s="4" t="s">
        <v>99</v>
      </c>
      <c r="M62" s="27" t="n">
        <f>1003575</f>
        <v>1003575.0</v>
      </c>
      <c r="N62" s="5" t="s">
        <v>93</v>
      </c>
      <c r="O62" s="28" t="n">
        <f>23755</f>
        <v>23755.0</v>
      </c>
      <c r="P62" s="3" t="s">
        <v>290</v>
      </c>
      <c r="Q62" s="26"/>
      <c r="R62" s="3" t="s">
        <v>291</v>
      </c>
      <c r="S62" s="26" t="n">
        <f>2019680581982</f>
        <v>2.019680581982E12</v>
      </c>
      <c r="T62" s="26" t="n">
        <f>530980541594</f>
        <v>5.30980541594E11</v>
      </c>
      <c r="U62" s="5" t="s">
        <v>99</v>
      </c>
      <c r="V62" s="28" t="n">
        <f>19529238665394</f>
        <v>1.9529238665394E13</v>
      </c>
      <c r="W62" s="5" t="s">
        <v>93</v>
      </c>
      <c r="X62" s="28" t="n">
        <f>453149306800</f>
        <v>4.531493068E11</v>
      </c>
      <c r="Y62" s="28"/>
      <c r="Z62" s="26" t="n">
        <f>5808098</f>
        <v>5808098.0</v>
      </c>
      <c r="AA62" s="26" t="n">
        <f>558507</f>
        <v>558507.0</v>
      </c>
      <c r="AB62" s="4" t="s">
        <v>217</v>
      </c>
      <c r="AC62" s="27" t="n">
        <f>693507</f>
        <v>693507.0</v>
      </c>
      <c r="AD62" s="5" t="s">
        <v>93</v>
      </c>
      <c r="AE62" s="28" t="n">
        <f>416364</f>
        <v>416364.0</v>
      </c>
    </row>
    <row r="63">
      <c r="A63" s="20" t="s">
        <v>154</v>
      </c>
      <c r="B63" s="21" t="s">
        <v>155</v>
      </c>
      <c r="C63" s="22"/>
      <c r="D63" s="23"/>
      <c r="E63" s="24" t="s">
        <v>103</v>
      </c>
      <c r="F63" s="25" t="n">
        <f>244</f>
        <v>244.0</v>
      </c>
      <c r="G63" s="26" t="n">
        <f>27096406</f>
        <v>2.7096406E7</v>
      </c>
      <c r="H63" s="26"/>
      <c r="I63" s="26" t="n">
        <f>6977449</f>
        <v>6977449.0</v>
      </c>
      <c r="J63" s="26" t="n">
        <f>111051</f>
        <v>111051.0</v>
      </c>
      <c r="K63" s="26" t="n">
        <f>28596</f>
        <v>28596.0</v>
      </c>
      <c r="L63" s="4" t="s">
        <v>104</v>
      </c>
      <c r="M63" s="27" t="n">
        <f>1133355</f>
        <v>1133355.0</v>
      </c>
      <c r="N63" s="5" t="s">
        <v>82</v>
      </c>
      <c r="O63" s="28" t="n">
        <f>26566</f>
        <v>26566.0</v>
      </c>
      <c r="P63" s="3" t="s">
        <v>292</v>
      </c>
      <c r="Q63" s="26"/>
      <c r="R63" s="3" t="s">
        <v>293</v>
      </c>
      <c r="S63" s="26" t="n">
        <f>2624209295572</f>
        <v>2.624209295572E12</v>
      </c>
      <c r="T63" s="26" t="n">
        <f>683110765604</f>
        <v>6.83110765604E11</v>
      </c>
      <c r="U63" s="5" t="s">
        <v>104</v>
      </c>
      <c r="V63" s="28" t="n">
        <f>30617340975339</f>
        <v>3.0617340975339E13</v>
      </c>
      <c r="W63" s="5" t="s">
        <v>82</v>
      </c>
      <c r="X63" s="28" t="n">
        <f>621876683400</f>
        <v>6.218766834E11</v>
      </c>
      <c r="Y63" s="28"/>
      <c r="Z63" s="26" t="n">
        <f>6198735</f>
        <v>6198735.0</v>
      </c>
      <c r="AA63" s="26" t="n">
        <f>590448</f>
        <v>590448.0</v>
      </c>
      <c r="AB63" s="4" t="s">
        <v>107</v>
      </c>
      <c r="AC63" s="27" t="n">
        <f>861586</f>
        <v>861586.0</v>
      </c>
      <c r="AD63" s="5" t="s">
        <v>294</v>
      </c>
      <c r="AE63" s="28" t="n">
        <f>488653</f>
        <v>488653.0</v>
      </c>
    </row>
    <row r="64">
      <c r="A64" s="20" t="s">
        <v>295</v>
      </c>
      <c r="B64" s="21" t="s">
        <v>296</v>
      </c>
      <c r="C64" s="22"/>
      <c r="D64" s="23"/>
      <c r="E64" s="24" t="s">
        <v>247</v>
      </c>
      <c r="F64" s="25" t="n">
        <f>194</f>
        <v>194.0</v>
      </c>
      <c r="G64" s="26" t="n">
        <f>643362</f>
        <v>643362.0</v>
      </c>
      <c r="H64" s="26"/>
      <c r="I64" s="26" t="n">
        <f>844</f>
        <v>844.0</v>
      </c>
      <c r="J64" s="26" t="n">
        <f>3316</f>
        <v>3316.0</v>
      </c>
      <c r="K64" s="26" t="n">
        <f>4</f>
        <v>4.0</v>
      </c>
      <c r="L64" s="4" t="s">
        <v>297</v>
      </c>
      <c r="M64" s="27" t="n">
        <f>17261</f>
        <v>17261.0</v>
      </c>
      <c r="N64" s="5" t="s">
        <v>243</v>
      </c>
      <c r="O64" s="28" t="n">
        <f>107</f>
        <v>107.0</v>
      </c>
      <c r="P64" s="3" t="s">
        <v>298</v>
      </c>
      <c r="Q64" s="26"/>
      <c r="R64" s="3" t="s">
        <v>299</v>
      </c>
      <c r="S64" s="26" t="n">
        <f>3986714864</f>
        <v>3.986714864E9</v>
      </c>
      <c r="T64" s="26" t="n">
        <f>3824939</f>
        <v>3824939.0</v>
      </c>
      <c r="U64" s="5" t="s">
        <v>297</v>
      </c>
      <c r="V64" s="28" t="n">
        <f>21817333250</f>
        <v>2.181733325E10</v>
      </c>
      <c r="W64" s="5" t="s">
        <v>243</v>
      </c>
      <c r="X64" s="28" t="n">
        <f>89657000</f>
        <v>8.9657E7</v>
      </c>
      <c r="Y64" s="28"/>
      <c r="Z64" s="26" t="n">
        <f>566</f>
        <v>566.0</v>
      </c>
      <c r="AA64" s="26" t="n">
        <f>1028</f>
        <v>1028.0</v>
      </c>
      <c r="AB64" s="4" t="s">
        <v>277</v>
      </c>
      <c r="AC64" s="27" t="n">
        <f>16607</f>
        <v>16607.0</v>
      </c>
      <c r="AD64" s="5" t="s">
        <v>300</v>
      </c>
      <c r="AE64" s="28" t="n">
        <f>330</f>
        <v>330.0</v>
      </c>
    </row>
    <row r="65">
      <c r="A65" s="20" t="s">
        <v>295</v>
      </c>
      <c r="B65" s="21" t="s">
        <v>296</v>
      </c>
      <c r="C65" s="22"/>
      <c r="D65" s="23"/>
      <c r="E65" s="24" t="s">
        <v>251</v>
      </c>
      <c r="F65" s="25" t="n">
        <f>244</f>
        <v>244.0</v>
      </c>
      <c r="G65" s="26" t="n">
        <f>999315</f>
        <v>999315.0</v>
      </c>
      <c r="H65" s="26"/>
      <c r="I65" s="26" t="n">
        <f>3544</f>
        <v>3544.0</v>
      </c>
      <c r="J65" s="26" t="n">
        <f>4096</f>
        <v>4096.0</v>
      </c>
      <c r="K65" s="26" t="n">
        <f>15</f>
        <v>15.0</v>
      </c>
      <c r="L65" s="4" t="s">
        <v>301</v>
      </c>
      <c r="M65" s="27" t="n">
        <f>15398</f>
        <v>15398.0</v>
      </c>
      <c r="N65" s="5" t="s">
        <v>302</v>
      </c>
      <c r="O65" s="28" t="n">
        <f>60</f>
        <v>60.0</v>
      </c>
      <c r="P65" s="3" t="s">
        <v>303</v>
      </c>
      <c r="Q65" s="26"/>
      <c r="R65" s="3" t="s">
        <v>304</v>
      </c>
      <c r="S65" s="26" t="n">
        <f>3729088890</f>
        <v>3.72908889E9</v>
      </c>
      <c r="T65" s="26" t="n">
        <f>13435141</f>
        <v>1.3435141E7</v>
      </c>
      <c r="U65" s="5" t="s">
        <v>301</v>
      </c>
      <c r="V65" s="28" t="n">
        <f>13810814500</f>
        <v>1.38108145E10</v>
      </c>
      <c r="W65" s="5" t="s">
        <v>302</v>
      </c>
      <c r="X65" s="28" t="n">
        <f>49974500</f>
        <v>4.99745E7</v>
      </c>
      <c r="Y65" s="28"/>
      <c r="Z65" s="26" t="n">
        <f>8176</f>
        <v>8176.0</v>
      </c>
      <c r="AA65" s="26" t="n">
        <f>23115</f>
        <v>23115.0</v>
      </c>
      <c r="AB65" s="4" t="s">
        <v>305</v>
      </c>
      <c r="AC65" s="27" t="n">
        <f>28995</f>
        <v>28995.0</v>
      </c>
      <c r="AD65" s="5" t="s">
        <v>213</v>
      </c>
      <c r="AE65" s="28" t="n">
        <f>1001</f>
        <v>1001.0</v>
      </c>
    </row>
    <row r="66">
      <c r="A66" s="20" t="s">
        <v>295</v>
      </c>
      <c r="B66" s="21" t="s">
        <v>296</v>
      </c>
      <c r="C66" s="22"/>
      <c r="D66" s="23"/>
      <c r="E66" s="24" t="s">
        <v>255</v>
      </c>
      <c r="F66" s="25" t="n">
        <f>245</f>
        <v>245.0</v>
      </c>
      <c r="G66" s="26" t="n">
        <f>859382</f>
        <v>859382.0</v>
      </c>
      <c r="H66" s="26"/>
      <c r="I66" s="26" t="n">
        <f>5397</f>
        <v>5397.0</v>
      </c>
      <c r="J66" s="26" t="n">
        <f>3508</f>
        <v>3508.0</v>
      </c>
      <c r="K66" s="26" t="n">
        <f>22</f>
        <v>22.0</v>
      </c>
      <c r="L66" s="4" t="s">
        <v>91</v>
      </c>
      <c r="M66" s="27" t="n">
        <f>16015</f>
        <v>16015.0</v>
      </c>
      <c r="N66" s="5" t="s">
        <v>306</v>
      </c>
      <c r="O66" s="28" t="n">
        <f>612</f>
        <v>612.0</v>
      </c>
      <c r="P66" s="3" t="s">
        <v>307</v>
      </c>
      <c r="Q66" s="26"/>
      <c r="R66" s="3" t="s">
        <v>308</v>
      </c>
      <c r="S66" s="26" t="n">
        <f>3113025727</f>
        <v>3.113025727E9</v>
      </c>
      <c r="T66" s="26" t="n">
        <f>20452974</f>
        <v>2.0452974E7</v>
      </c>
      <c r="U66" s="5" t="s">
        <v>91</v>
      </c>
      <c r="V66" s="28" t="n">
        <f>12444051000</f>
        <v>1.2444051E10</v>
      </c>
      <c r="W66" s="5" t="s">
        <v>306</v>
      </c>
      <c r="X66" s="28" t="n">
        <f>520006500</f>
        <v>5.200065E8</v>
      </c>
      <c r="Y66" s="28"/>
      <c r="Z66" s="26" t="n">
        <f>96912</f>
        <v>96912.0</v>
      </c>
      <c r="AA66" s="26" t="n">
        <f>9381</f>
        <v>9381.0</v>
      </c>
      <c r="AB66" s="4" t="s">
        <v>309</v>
      </c>
      <c r="AC66" s="27" t="n">
        <f>23510</f>
        <v>23510.0</v>
      </c>
      <c r="AD66" s="5" t="s">
        <v>132</v>
      </c>
      <c r="AE66" s="28" t="n">
        <f>2049</f>
        <v>2049.0</v>
      </c>
    </row>
    <row r="67">
      <c r="A67" s="20" t="s">
        <v>295</v>
      </c>
      <c r="B67" s="21" t="s">
        <v>296</v>
      </c>
      <c r="C67" s="22"/>
      <c r="D67" s="23"/>
      <c r="E67" s="24" t="s">
        <v>258</v>
      </c>
      <c r="F67" s="25" t="n">
        <f>246</f>
        <v>246.0</v>
      </c>
      <c r="G67" s="26" t="n">
        <f>958443</f>
        <v>958443.0</v>
      </c>
      <c r="H67" s="26"/>
      <c r="I67" s="26" t="n">
        <f>2259</f>
        <v>2259.0</v>
      </c>
      <c r="J67" s="26" t="n">
        <f>3896</f>
        <v>3896.0</v>
      </c>
      <c r="K67" s="26" t="n">
        <f>9</f>
        <v>9.0</v>
      </c>
      <c r="L67" s="4" t="s">
        <v>310</v>
      </c>
      <c r="M67" s="27" t="n">
        <f>16645</f>
        <v>16645.0</v>
      </c>
      <c r="N67" s="5" t="s">
        <v>69</v>
      </c>
      <c r="O67" s="28" t="n">
        <f>302</f>
        <v>302.0</v>
      </c>
      <c r="P67" s="3" t="s">
        <v>311</v>
      </c>
      <c r="Q67" s="26"/>
      <c r="R67" s="3" t="s">
        <v>312</v>
      </c>
      <c r="S67" s="26" t="n">
        <f>3074077481</f>
        <v>3.074077481E9</v>
      </c>
      <c r="T67" s="26" t="n">
        <f>7181645</f>
        <v>7181645.0</v>
      </c>
      <c r="U67" s="5" t="s">
        <v>161</v>
      </c>
      <c r="V67" s="28" t="n">
        <f>14193591000</f>
        <v>1.4193591E10</v>
      </c>
      <c r="W67" s="5" t="s">
        <v>69</v>
      </c>
      <c r="X67" s="28" t="n">
        <f>223264250</f>
        <v>2.2326425E8</v>
      </c>
      <c r="Y67" s="28"/>
      <c r="Z67" s="26" t="n">
        <f>108329</f>
        <v>108329.0</v>
      </c>
      <c r="AA67" s="26" t="n">
        <f>22164</f>
        <v>22164.0</v>
      </c>
      <c r="AB67" s="4" t="s">
        <v>61</v>
      </c>
      <c r="AC67" s="27" t="n">
        <f>30387</f>
        <v>30387.0</v>
      </c>
      <c r="AD67" s="5" t="s">
        <v>69</v>
      </c>
      <c r="AE67" s="28" t="n">
        <f>1129</f>
        <v>1129.0</v>
      </c>
    </row>
    <row r="68">
      <c r="A68" s="20" t="s">
        <v>295</v>
      </c>
      <c r="B68" s="21" t="s">
        <v>296</v>
      </c>
      <c r="C68" s="22"/>
      <c r="D68" s="23"/>
      <c r="E68" s="24" t="s">
        <v>261</v>
      </c>
      <c r="F68" s="25" t="n">
        <f>245</f>
        <v>245.0</v>
      </c>
      <c r="G68" s="26" t="n">
        <f>2585734</f>
        <v>2585734.0</v>
      </c>
      <c r="H68" s="26"/>
      <c r="I68" s="26" t="n">
        <f>6329</f>
        <v>6329.0</v>
      </c>
      <c r="J68" s="26" t="n">
        <f>10554</f>
        <v>10554.0</v>
      </c>
      <c r="K68" s="26" t="n">
        <f>26</f>
        <v>26.0</v>
      </c>
      <c r="L68" s="4" t="s">
        <v>313</v>
      </c>
      <c r="M68" s="27" t="n">
        <f>36350</f>
        <v>36350.0</v>
      </c>
      <c r="N68" s="5" t="s">
        <v>262</v>
      </c>
      <c r="O68" s="28" t="n">
        <f>1876</f>
        <v>1876.0</v>
      </c>
      <c r="P68" s="3" t="s">
        <v>314</v>
      </c>
      <c r="Q68" s="26"/>
      <c r="R68" s="3" t="s">
        <v>315</v>
      </c>
      <c r="S68" s="26" t="n">
        <f>8804994185</f>
        <v>8.804994185E9</v>
      </c>
      <c r="T68" s="26" t="n">
        <f>22521324</f>
        <v>2.2521324E7</v>
      </c>
      <c r="U68" s="5" t="s">
        <v>316</v>
      </c>
      <c r="V68" s="28" t="n">
        <f>29398496500</f>
        <v>2.93984965E10</v>
      </c>
      <c r="W68" s="5" t="s">
        <v>262</v>
      </c>
      <c r="X68" s="28" t="n">
        <f>1400251250</f>
        <v>1.40025125E9</v>
      </c>
      <c r="Y68" s="28"/>
      <c r="Z68" s="26" t="n">
        <f>208398</f>
        <v>208398.0</v>
      </c>
      <c r="AA68" s="26" t="n">
        <f>20057</f>
        <v>20057.0</v>
      </c>
      <c r="AB68" s="4" t="s">
        <v>74</v>
      </c>
      <c r="AC68" s="27" t="n">
        <f>56942</f>
        <v>56942.0</v>
      </c>
      <c r="AD68" s="5" t="s">
        <v>127</v>
      </c>
      <c r="AE68" s="28" t="n">
        <f>5422</f>
        <v>5422.0</v>
      </c>
    </row>
    <row r="69">
      <c r="A69" s="20" t="s">
        <v>295</v>
      </c>
      <c r="B69" s="21" t="s">
        <v>296</v>
      </c>
      <c r="C69" s="22"/>
      <c r="D69" s="23"/>
      <c r="E69" s="24" t="s">
        <v>265</v>
      </c>
      <c r="F69" s="25" t="n">
        <f>245</f>
        <v>245.0</v>
      </c>
      <c r="G69" s="26" t="n">
        <f>2975358</f>
        <v>2975358.0</v>
      </c>
      <c r="H69" s="26"/>
      <c r="I69" s="26" t="n">
        <f>31653</f>
        <v>31653.0</v>
      </c>
      <c r="J69" s="26" t="n">
        <f>12144</f>
        <v>12144.0</v>
      </c>
      <c r="K69" s="26" t="n">
        <f>129</f>
        <v>129.0</v>
      </c>
      <c r="L69" s="4" t="s">
        <v>317</v>
      </c>
      <c r="M69" s="27" t="n">
        <f>56721</f>
        <v>56721.0</v>
      </c>
      <c r="N69" s="5" t="s">
        <v>318</v>
      </c>
      <c r="O69" s="28" t="n">
        <f>1650</f>
        <v>1650.0</v>
      </c>
      <c r="P69" s="3" t="s">
        <v>319</v>
      </c>
      <c r="Q69" s="26"/>
      <c r="R69" s="3" t="s">
        <v>320</v>
      </c>
      <c r="S69" s="26" t="n">
        <f>14339608275</f>
        <v>1.4339608275E10</v>
      </c>
      <c r="T69" s="26" t="n">
        <f>145117628</f>
        <v>1.45117628E8</v>
      </c>
      <c r="U69" s="5" t="s">
        <v>317</v>
      </c>
      <c r="V69" s="28" t="n">
        <f>67719417250</f>
        <v>6.771941725E10</v>
      </c>
      <c r="W69" s="5" t="s">
        <v>318</v>
      </c>
      <c r="X69" s="28" t="n">
        <f>1976785750</f>
        <v>1.97678575E9</v>
      </c>
      <c r="Y69" s="28"/>
      <c r="Z69" s="26" t="n">
        <f>202982</f>
        <v>202982.0</v>
      </c>
      <c r="AA69" s="26" t="n">
        <f>21071</f>
        <v>21071.0</v>
      </c>
      <c r="AB69" s="4" t="s">
        <v>115</v>
      </c>
      <c r="AC69" s="27" t="n">
        <f>102972</f>
        <v>102972.0</v>
      </c>
      <c r="AD69" s="5" t="s">
        <v>250</v>
      </c>
      <c r="AE69" s="28" t="n">
        <f>9057</f>
        <v>9057.0</v>
      </c>
    </row>
    <row r="70">
      <c r="A70" s="20" t="s">
        <v>295</v>
      </c>
      <c r="B70" s="21" t="s">
        <v>296</v>
      </c>
      <c r="C70" s="22"/>
      <c r="D70" s="23"/>
      <c r="E70" s="24" t="s">
        <v>48</v>
      </c>
      <c r="F70" s="25" t="n">
        <f>246</f>
        <v>246.0</v>
      </c>
      <c r="G70" s="26" t="n">
        <f>5205235</f>
        <v>5205235.0</v>
      </c>
      <c r="H70" s="26"/>
      <c r="I70" s="26" t="n">
        <f>33926</f>
        <v>33926.0</v>
      </c>
      <c r="J70" s="26" t="n">
        <f>21159</f>
        <v>21159.0</v>
      </c>
      <c r="K70" s="26" t="n">
        <f>138</f>
        <v>138.0</v>
      </c>
      <c r="L70" s="4" t="s">
        <v>321</v>
      </c>
      <c r="M70" s="27" t="n">
        <f>71449</f>
        <v>71449.0</v>
      </c>
      <c r="N70" s="5" t="s">
        <v>82</v>
      </c>
      <c r="O70" s="28" t="n">
        <f>5678</f>
        <v>5678.0</v>
      </c>
      <c r="P70" s="3" t="s">
        <v>322</v>
      </c>
      <c r="Q70" s="26"/>
      <c r="R70" s="3" t="s">
        <v>323</v>
      </c>
      <c r="S70" s="26" t="n">
        <f>28075471280</f>
        <v>2.807547128E10</v>
      </c>
      <c r="T70" s="26" t="n">
        <f>191745674</f>
        <v>1.91745674E8</v>
      </c>
      <c r="U70" s="5" t="s">
        <v>321</v>
      </c>
      <c r="V70" s="28" t="n">
        <f>93777892250</f>
        <v>9.377789225E10</v>
      </c>
      <c r="W70" s="5" t="s">
        <v>82</v>
      </c>
      <c r="X70" s="28" t="n">
        <f>8078032750</f>
        <v>8.07803275E9</v>
      </c>
      <c r="Y70" s="28"/>
      <c r="Z70" s="26" t="n">
        <f>72601</f>
        <v>72601.0</v>
      </c>
      <c r="AA70" s="26" t="n">
        <f>41808</f>
        <v>41808.0</v>
      </c>
      <c r="AB70" s="4" t="s">
        <v>85</v>
      </c>
      <c r="AC70" s="27" t="n">
        <f>109517</f>
        <v>109517.0</v>
      </c>
      <c r="AD70" s="5" t="s">
        <v>62</v>
      </c>
      <c r="AE70" s="28" t="n">
        <f>13072</f>
        <v>13072.0</v>
      </c>
    </row>
    <row r="71">
      <c r="A71" s="20" t="s">
        <v>295</v>
      </c>
      <c r="B71" s="21" t="s">
        <v>296</v>
      </c>
      <c r="C71" s="22"/>
      <c r="D71" s="23"/>
      <c r="E71" s="24" t="s">
        <v>56</v>
      </c>
      <c r="F71" s="25" t="n">
        <f>245</f>
        <v>245.0</v>
      </c>
      <c r="G71" s="26" t="n">
        <f>4175863</f>
        <v>4175863.0</v>
      </c>
      <c r="H71" s="26"/>
      <c r="I71" s="26" t="n">
        <f>77672</f>
        <v>77672.0</v>
      </c>
      <c r="J71" s="26" t="n">
        <f>17044</f>
        <v>17044.0</v>
      </c>
      <c r="K71" s="26" t="n">
        <f>317</f>
        <v>317.0</v>
      </c>
      <c r="L71" s="4" t="s">
        <v>57</v>
      </c>
      <c r="M71" s="27" t="n">
        <f>148980</f>
        <v>148980.0</v>
      </c>
      <c r="N71" s="5" t="s">
        <v>324</v>
      </c>
      <c r="O71" s="28" t="n">
        <f>4026</f>
        <v>4026.0</v>
      </c>
      <c r="P71" s="3" t="s">
        <v>325</v>
      </c>
      <c r="Q71" s="26"/>
      <c r="R71" s="3" t="s">
        <v>326</v>
      </c>
      <c r="S71" s="26" t="n">
        <f>25866907667</f>
        <v>2.5866907667E10</v>
      </c>
      <c r="T71" s="26" t="n">
        <f>475687912</f>
        <v>4.75687912E8</v>
      </c>
      <c r="U71" s="5" t="s">
        <v>57</v>
      </c>
      <c r="V71" s="28" t="n">
        <f>217276847100</f>
        <v>2.172768471E11</v>
      </c>
      <c r="W71" s="5" t="s">
        <v>324</v>
      </c>
      <c r="X71" s="28" t="n">
        <f>6455554600</f>
        <v>6.4555546E9</v>
      </c>
      <c r="Y71" s="28"/>
      <c r="Z71" s="26" t="n">
        <f>439788</f>
        <v>439788.0</v>
      </c>
      <c r="AA71" s="26" t="n">
        <f>27055</f>
        <v>27055.0</v>
      </c>
      <c r="AB71" s="4" t="s">
        <v>75</v>
      </c>
      <c r="AC71" s="27" t="n">
        <f>243382</f>
        <v>243382.0</v>
      </c>
      <c r="AD71" s="5" t="s">
        <v>254</v>
      </c>
      <c r="AE71" s="28" t="n">
        <f>12349</f>
        <v>12349.0</v>
      </c>
    </row>
    <row r="72">
      <c r="A72" s="20" t="s">
        <v>295</v>
      </c>
      <c r="B72" s="21" t="s">
        <v>296</v>
      </c>
      <c r="C72" s="22"/>
      <c r="D72" s="23"/>
      <c r="E72" s="24" t="s">
        <v>63</v>
      </c>
      <c r="F72" s="25" t="n">
        <f>245</f>
        <v>245.0</v>
      </c>
      <c r="G72" s="26" t="n">
        <f>2411858</f>
        <v>2411858.0</v>
      </c>
      <c r="H72" s="26"/>
      <c r="I72" s="26" t="n">
        <f>135466</f>
        <v>135466.0</v>
      </c>
      <c r="J72" s="26" t="n">
        <f>9844</f>
        <v>9844.0</v>
      </c>
      <c r="K72" s="26" t="n">
        <f>553</f>
        <v>553.0</v>
      </c>
      <c r="L72" s="4" t="s">
        <v>86</v>
      </c>
      <c r="M72" s="27" t="n">
        <f>31167</f>
        <v>31167.0</v>
      </c>
      <c r="N72" s="5" t="s">
        <v>327</v>
      </c>
      <c r="O72" s="28" t="n">
        <f>4121</f>
        <v>4121.0</v>
      </c>
      <c r="P72" s="3" t="s">
        <v>328</v>
      </c>
      <c r="Q72" s="26"/>
      <c r="R72" s="3" t="s">
        <v>329</v>
      </c>
      <c r="S72" s="26" t="n">
        <f>13729102009</f>
        <v>1.3729102009E10</v>
      </c>
      <c r="T72" s="26" t="n">
        <f>793738529</f>
        <v>7.93738529E8</v>
      </c>
      <c r="U72" s="5" t="s">
        <v>231</v>
      </c>
      <c r="V72" s="28" t="n">
        <f>40600211220</f>
        <v>4.060021122E10</v>
      </c>
      <c r="W72" s="5" t="s">
        <v>327</v>
      </c>
      <c r="X72" s="28" t="n">
        <f>5427675300</f>
        <v>5.4276753E9</v>
      </c>
      <c r="Y72" s="28"/>
      <c r="Z72" s="26" t="n">
        <f>310608</f>
        <v>310608.0</v>
      </c>
      <c r="AA72" s="26" t="n">
        <f>19288</f>
        <v>19288.0</v>
      </c>
      <c r="AB72" s="4" t="s">
        <v>162</v>
      </c>
      <c r="AC72" s="27" t="n">
        <f>79874</f>
        <v>79874.0</v>
      </c>
      <c r="AD72" s="5" t="s">
        <v>69</v>
      </c>
      <c r="AE72" s="28" t="n">
        <f>12220</f>
        <v>12220.0</v>
      </c>
    </row>
    <row r="73">
      <c r="A73" s="20" t="s">
        <v>295</v>
      </c>
      <c r="B73" s="21" t="s">
        <v>296</v>
      </c>
      <c r="C73" s="22"/>
      <c r="D73" s="23"/>
      <c r="E73" s="24" t="s">
        <v>70</v>
      </c>
      <c r="F73" s="25" t="n">
        <f>245</f>
        <v>245.0</v>
      </c>
      <c r="G73" s="26" t="n">
        <f>4290478</f>
        <v>4290478.0</v>
      </c>
      <c r="H73" s="26"/>
      <c r="I73" s="26" t="n">
        <f>104077</f>
        <v>104077.0</v>
      </c>
      <c r="J73" s="26" t="n">
        <f>17512</f>
        <v>17512.0</v>
      </c>
      <c r="K73" s="26" t="n">
        <f>425</f>
        <v>425.0</v>
      </c>
      <c r="L73" s="4" t="s">
        <v>330</v>
      </c>
      <c r="M73" s="27" t="n">
        <f>60174</f>
        <v>60174.0</v>
      </c>
      <c r="N73" s="5" t="s">
        <v>331</v>
      </c>
      <c r="O73" s="28" t="n">
        <f>5368</f>
        <v>5368.0</v>
      </c>
      <c r="P73" s="3" t="s">
        <v>332</v>
      </c>
      <c r="Q73" s="26"/>
      <c r="R73" s="3" t="s">
        <v>333</v>
      </c>
      <c r="S73" s="26" t="n">
        <f>29715299104</f>
        <v>2.9715299104E10</v>
      </c>
      <c r="T73" s="26" t="n">
        <f>703541368</f>
        <v>7.03541368E8</v>
      </c>
      <c r="U73" s="5" t="s">
        <v>330</v>
      </c>
      <c r="V73" s="28" t="n">
        <f>105175024000</f>
        <v>1.05175024E11</v>
      </c>
      <c r="W73" s="5" t="s">
        <v>331</v>
      </c>
      <c r="X73" s="28" t="n">
        <f>8239443000</f>
        <v>8.239443E9</v>
      </c>
      <c r="Y73" s="28"/>
      <c r="Z73" s="26" t="n">
        <f>100323</f>
        <v>100323.0</v>
      </c>
      <c r="AA73" s="26" t="n">
        <f>28900</f>
        <v>28900.0</v>
      </c>
      <c r="AB73" s="4" t="s">
        <v>231</v>
      </c>
      <c r="AC73" s="27" t="n">
        <f>120792</f>
        <v>120792.0</v>
      </c>
      <c r="AD73" s="5" t="s">
        <v>75</v>
      </c>
      <c r="AE73" s="28" t="n">
        <f>15007</f>
        <v>15007.0</v>
      </c>
    </row>
    <row r="74">
      <c r="A74" s="20" t="s">
        <v>295</v>
      </c>
      <c r="B74" s="21" t="s">
        <v>296</v>
      </c>
      <c r="C74" s="22"/>
      <c r="D74" s="23"/>
      <c r="E74" s="24" t="s">
        <v>76</v>
      </c>
      <c r="F74" s="25" t="n">
        <f>244</f>
        <v>244.0</v>
      </c>
      <c r="G74" s="26" t="n">
        <f>4280996</f>
        <v>4280996.0</v>
      </c>
      <c r="H74" s="26"/>
      <c r="I74" s="26" t="n">
        <f>119813</f>
        <v>119813.0</v>
      </c>
      <c r="J74" s="26" t="n">
        <f>17545</f>
        <v>17545.0</v>
      </c>
      <c r="K74" s="26" t="n">
        <f>491</f>
        <v>491.0</v>
      </c>
      <c r="L74" s="4" t="s">
        <v>104</v>
      </c>
      <c r="M74" s="27" t="n">
        <f>39843</f>
        <v>39843.0</v>
      </c>
      <c r="N74" s="5" t="s">
        <v>77</v>
      </c>
      <c r="O74" s="28" t="n">
        <f>8512</f>
        <v>8512.0</v>
      </c>
      <c r="P74" s="3" t="s">
        <v>334</v>
      </c>
      <c r="Q74" s="26"/>
      <c r="R74" s="3" t="s">
        <v>335</v>
      </c>
      <c r="S74" s="26" t="n">
        <f>29351964180</f>
        <v>2.935196418E10</v>
      </c>
      <c r="T74" s="26" t="n">
        <f>811711849</f>
        <v>8.11711849E8</v>
      </c>
      <c r="U74" s="5" t="s">
        <v>123</v>
      </c>
      <c r="V74" s="28" t="n">
        <f>64312643650</f>
        <v>6.431264365E10</v>
      </c>
      <c r="W74" s="5" t="s">
        <v>336</v>
      </c>
      <c r="X74" s="28" t="n">
        <f>14355734600</f>
        <v>1.43557346E10</v>
      </c>
      <c r="Y74" s="28"/>
      <c r="Z74" s="26" t="n">
        <f>84241</f>
        <v>84241.0</v>
      </c>
      <c r="AA74" s="26" t="n">
        <f>39442</f>
        <v>39442.0</v>
      </c>
      <c r="AB74" s="4" t="s">
        <v>107</v>
      </c>
      <c r="AC74" s="27" t="n">
        <f>102927</f>
        <v>102927.0</v>
      </c>
      <c r="AD74" s="5" t="s">
        <v>149</v>
      </c>
      <c r="AE74" s="28" t="n">
        <f>16036</f>
        <v>16036.0</v>
      </c>
    </row>
    <row r="75">
      <c r="A75" s="20" t="s">
        <v>295</v>
      </c>
      <c r="B75" s="21" t="s">
        <v>296</v>
      </c>
      <c r="C75" s="22"/>
      <c r="D75" s="23"/>
      <c r="E75" s="24" t="s">
        <v>81</v>
      </c>
      <c r="F75" s="25" t="n">
        <f>241</f>
        <v>241.0</v>
      </c>
      <c r="G75" s="26" t="n">
        <f>5946600</f>
        <v>5946600.0</v>
      </c>
      <c r="H75" s="26"/>
      <c r="I75" s="26" t="n">
        <f>256508</f>
        <v>256508.0</v>
      </c>
      <c r="J75" s="26" t="n">
        <f>24675</f>
        <v>24675.0</v>
      </c>
      <c r="K75" s="26" t="n">
        <f>1064</f>
        <v>1064.0</v>
      </c>
      <c r="L75" s="4" t="s">
        <v>85</v>
      </c>
      <c r="M75" s="27" t="n">
        <f>124710</f>
        <v>124710.0</v>
      </c>
      <c r="N75" s="5" t="s">
        <v>82</v>
      </c>
      <c r="O75" s="28" t="n">
        <f>7373</f>
        <v>7373.0</v>
      </c>
      <c r="P75" s="3" t="s">
        <v>337</v>
      </c>
      <c r="Q75" s="26"/>
      <c r="R75" s="3" t="s">
        <v>338</v>
      </c>
      <c r="S75" s="26" t="n">
        <f>38577976328</f>
        <v>3.8577976328E10</v>
      </c>
      <c r="T75" s="26" t="n">
        <f>1658284912</f>
        <v>1.658284912E9</v>
      </c>
      <c r="U75" s="5" t="s">
        <v>53</v>
      </c>
      <c r="V75" s="28" t="n">
        <f>161927679470</f>
        <v>1.6192767947E11</v>
      </c>
      <c r="W75" s="5" t="s">
        <v>82</v>
      </c>
      <c r="X75" s="28" t="n">
        <f>12689503850</f>
        <v>1.268950385E10</v>
      </c>
      <c r="Y75" s="28"/>
      <c r="Z75" s="26" t="n">
        <f>211563</f>
        <v>211563.0</v>
      </c>
      <c r="AA75" s="26" t="n">
        <f>39601</f>
        <v>39601.0</v>
      </c>
      <c r="AB75" s="4" t="s">
        <v>85</v>
      </c>
      <c r="AC75" s="27" t="n">
        <f>144791</f>
        <v>144791.0</v>
      </c>
      <c r="AD75" s="5" t="s">
        <v>131</v>
      </c>
      <c r="AE75" s="28" t="n">
        <f>23466</f>
        <v>23466.0</v>
      </c>
    </row>
    <row r="76">
      <c r="A76" s="20" t="s">
        <v>295</v>
      </c>
      <c r="B76" s="21" t="s">
        <v>296</v>
      </c>
      <c r="C76" s="22"/>
      <c r="D76" s="23"/>
      <c r="E76" s="24" t="s">
        <v>87</v>
      </c>
      <c r="F76" s="25" t="n">
        <f>245</f>
        <v>245.0</v>
      </c>
      <c r="G76" s="26" t="n">
        <f>8264406</f>
        <v>8264406.0</v>
      </c>
      <c r="H76" s="26"/>
      <c r="I76" s="26" t="n">
        <f>321323</f>
        <v>321323.0</v>
      </c>
      <c r="J76" s="26" t="n">
        <f>33732</f>
        <v>33732.0</v>
      </c>
      <c r="K76" s="26" t="n">
        <f>1312</f>
        <v>1312.0</v>
      </c>
      <c r="L76" s="4" t="s">
        <v>339</v>
      </c>
      <c r="M76" s="27" t="n">
        <f>86308</f>
        <v>86308.0</v>
      </c>
      <c r="N76" s="5" t="s">
        <v>82</v>
      </c>
      <c r="O76" s="28" t="n">
        <f>8209</f>
        <v>8209.0</v>
      </c>
      <c r="P76" s="3" t="s">
        <v>340</v>
      </c>
      <c r="Q76" s="26"/>
      <c r="R76" s="3" t="s">
        <v>341</v>
      </c>
      <c r="S76" s="26" t="n">
        <f>56952085525</f>
        <v>5.6952085525E10</v>
      </c>
      <c r="T76" s="26" t="n">
        <f>2170947444</f>
        <v>2.170947444E9</v>
      </c>
      <c r="U76" s="5" t="s">
        <v>339</v>
      </c>
      <c r="V76" s="28" t="n">
        <f>139232180210</f>
        <v>1.3923218021E11</v>
      </c>
      <c r="W76" s="5" t="s">
        <v>82</v>
      </c>
      <c r="X76" s="28" t="n">
        <f>14568036500</f>
        <v>1.45680365E10</v>
      </c>
      <c r="Y76" s="28"/>
      <c r="Z76" s="26" t="n">
        <f>499464</f>
        <v>499464.0</v>
      </c>
      <c r="AA76" s="26" t="n">
        <f>64778</f>
        <v>64778.0</v>
      </c>
      <c r="AB76" s="4" t="s">
        <v>90</v>
      </c>
      <c r="AC76" s="27" t="n">
        <f>171383</f>
        <v>171383.0</v>
      </c>
      <c r="AD76" s="5" t="s">
        <v>132</v>
      </c>
      <c r="AE76" s="28" t="n">
        <f>26981</f>
        <v>26981.0</v>
      </c>
    </row>
    <row r="77">
      <c r="A77" s="20" t="s">
        <v>295</v>
      </c>
      <c r="B77" s="21" t="s">
        <v>296</v>
      </c>
      <c r="C77" s="22"/>
      <c r="D77" s="23"/>
      <c r="E77" s="24" t="s">
        <v>92</v>
      </c>
      <c r="F77" s="25" t="n">
        <f>244</f>
        <v>244.0</v>
      </c>
      <c r="G77" s="26" t="n">
        <f>9064320</f>
        <v>9064320.0</v>
      </c>
      <c r="H77" s="26"/>
      <c r="I77" s="26" t="n">
        <f>286400</f>
        <v>286400.0</v>
      </c>
      <c r="J77" s="26" t="n">
        <f>37149</f>
        <v>37149.0</v>
      </c>
      <c r="K77" s="26" t="n">
        <f>1174</f>
        <v>1174.0</v>
      </c>
      <c r="L77" s="4" t="s">
        <v>74</v>
      </c>
      <c r="M77" s="27" t="n">
        <f>88427</f>
        <v>88427.0</v>
      </c>
      <c r="N77" s="5" t="s">
        <v>93</v>
      </c>
      <c r="O77" s="28" t="n">
        <f>12102</f>
        <v>12102.0</v>
      </c>
      <c r="P77" s="3" t="s">
        <v>342</v>
      </c>
      <c r="Q77" s="26"/>
      <c r="R77" s="3" t="s">
        <v>343</v>
      </c>
      <c r="S77" s="26" t="n">
        <f>72343246018</f>
        <v>7.2343246018E10</v>
      </c>
      <c r="T77" s="26" t="n">
        <f>2280768735</f>
        <v>2.280768735E9</v>
      </c>
      <c r="U77" s="5" t="s">
        <v>96</v>
      </c>
      <c r="V77" s="28" t="n">
        <f>157018449761</f>
        <v>1.57018449761E11</v>
      </c>
      <c r="W77" s="5" t="s">
        <v>93</v>
      </c>
      <c r="X77" s="28" t="n">
        <f>23936727750</f>
        <v>2.393672775E10</v>
      </c>
      <c r="Y77" s="28"/>
      <c r="Z77" s="26" t="n">
        <f>1128470</f>
        <v>1128470.0</v>
      </c>
      <c r="AA77" s="26" t="n">
        <f>51618</f>
        <v>51618.0</v>
      </c>
      <c r="AB77" s="4" t="s">
        <v>234</v>
      </c>
      <c r="AC77" s="27" t="n">
        <f>78913</f>
        <v>78913.0</v>
      </c>
      <c r="AD77" s="5" t="s">
        <v>97</v>
      </c>
      <c r="AE77" s="28" t="n">
        <f>23221</f>
        <v>23221.0</v>
      </c>
    </row>
    <row r="78">
      <c r="A78" s="20" t="s">
        <v>295</v>
      </c>
      <c r="B78" s="21" t="s">
        <v>296</v>
      </c>
      <c r="C78" s="22"/>
      <c r="D78" s="23"/>
      <c r="E78" s="24" t="s">
        <v>98</v>
      </c>
      <c r="F78" s="25" t="n">
        <f>245</f>
        <v>245.0</v>
      </c>
      <c r="G78" s="26" t="n">
        <f>6424136</f>
        <v>6424136.0</v>
      </c>
      <c r="H78" s="26"/>
      <c r="I78" s="26" t="n">
        <f>302777</f>
        <v>302777.0</v>
      </c>
      <c r="J78" s="26" t="n">
        <f>26221</f>
        <v>26221.0</v>
      </c>
      <c r="K78" s="26" t="n">
        <f>1236</f>
        <v>1236.0</v>
      </c>
      <c r="L78" s="4" t="s">
        <v>99</v>
      </c>
      <c r="M78" s="27" t="n">
        <f>81133</f>
        <v>81133.0</v>
      </c>
      <c r="N78" s="5" t="s">
        <v>93</v>
      </c>
      <c r="O78" s="28" t="n">
        <f>10613</f>
        <v>10613.0</v>
      </c>
      <c r="P78" s="3" t="s">
        <v>344</v>
      </c>
      <c r="Q78" s="26"/>
      <c r="R78" s="3" t="s">
        <v>345</v>
      </c>
      <c r="S78" s="26" t="n">
        <f>50420787158</f>
        <v>5.0420787158E10</v>
      </c>
      <c r="T78" s="26" t="n">
        <f>2394512380</f>
        <v>2.39451238E9</v>
      </c>
      <c r="U78" s="5" t="s">
        <v>99</v>
      </c>
      <c r="V78" s="28" t="n">
        <f>158025263987</f>
        <v>1.58025263987E11</v>
      </c>
      <c r="W78" s="5" t="s">
        <v>93</v>
      </c>
      <c r="X78" s="28" t="n">
        <f>20245551450</f>
        <v>2.024555145E10</v>
      </c>
      <c r="Y78" s="28"/>
      <c r="Z78" s="26" t="n">
        <f>400399</f>
        <v>400399.0</v>
      </c>
      <c r="AA78" s="26" t="n">
        <f>42482</f>
        <v>42482.0</v>
      </c>
      <c r="AB78" s="4" t="s">
        <v>68</v>
      </c>
      <c r="AC78" s="27" t="n">
        <f>85497</f>
        <v>85497.0</v>
      </c>
      <c r="AD78" s="5" t="s">
        <v>69</v>
      </c>
      <c r="AE78" s="28" t="n">
        <f>27807</f>
        <v>27807.0</v>
      </c>
    </row>
    <row r="79">
      <c r="A79" s="20" t="s">
        <v>295</v>
      </c>
      <c r="B79" s="21" t="s">
        <v>296</v>
      </c>
      <c r="C79" s="22"/>
      <c r="D79" s="23"/>
      <c r="E79" s="24" t="s">
        <v>103</v>
      </c>
      <c r="F79" s="25" t="n">
        <f>244</f>
        <v>244.0</v>
      </c>
      <c r="G79" s="26" t="n">
        <f>6979050</f>
        <v>6979050.0</v>
      </c>
      <c r="H79" s="26"/>
      <c r="I79" s="26" t="n">
        <f>263442</f>
        <v>263442.0</v>
      </c>
      <c r="J79" s="26" t="n">
        <f>28603</f>
        <v>28603.0</v>
      </c>
      <c r="K79" s="26" t="n">
        <f>1080</f>
        <v>1080.0</v>
      </c>
      <c r="L79" s="4" t="s">
        <v>99</v>
      </c>
      <c r="M79" s="27" t="n">
        <f>68329</f>
        <v>68329.0</v>
      </c>
      <c r="N79" s="5" t="s">
        <v>50</v>
      </c>
      <c r="O79" s="28" t="n">
        <f>11371</f>
        <v>11371.0</v>
      </c>
      <c r="P79" s="3" t="s">
        <v>346</v>
      </c>
      <c r="Q79" s="26"/>
      <c r="R79" s="3" t="s">
        <v>347</v>
      </c>
      <c r="S79" s="26" t="n">
        <f>67069997912</f>
        <v>6.7069997912E10</v>
      </c>
      <c r="T79" s="26" t="n">
        <f>2556828841</f>
        <v>2.556828841E9</v>
      </c>
      <c r="U79" s="5" t="s">
        <v>147</v>
      </c>
      <c r="V79" s="28" t="n">
        <f>154451989840</f>
        <v>1.5445198984E11</v>
      </c>
      <c r="W79" s="5" t="s">
        <v>50</v>
      </c>
      <c r="X79" s="28" t="n">
        <f>26529796375</f>
        <v>2.6529796375E10</v>
      </c>
      <c r="Y79" s="28"/>
      <c r="Z79" s="26" t="n">
        <f>314776</f>
        <v>314776.0</v>
      </c>
      <c r="AA79" s="26" t="n">
        <f>53470</f>
        <v>53470.0</v>
      </c>
      <c r="AB79" s="4" t="s">
        <v>107</v>
      </c>
      <c r="AC79" s="27" t="n">
        <f>84035</f>
        <v>84035.0</v>
      </c>
      <c r="AD79" s="5" t="s">
        <v>69</v>
      </c>
      <c r="AE79" s="28" t="n">
        <f>26456</f>
        <v>26456.0</v>
      </c>
    </row>
    <row r="80">
      <c r="A80" s="20" t="s">
        <v>348</v>
      </c>
      <c r="B80" s="21" t="s">
        <v>349</v>
      </c>
      <c r="C80" s="22"/>
      <c r="D80" s="23"/>
      <c r="E80" s="24" t="s">
        <v>103</v>
      </c>
      <c r="F80" s="25" t="n">
        <f>9</f>
        <v>9.0</v>
      </c>
      <c r="G80" s="26" t="n">
        <f>25</f>
        <v>25.0</v>
      </c>
      <c r="H80" s="26"/>
      <c r="I80" s="26" t="n">
        <f>22</f>
        <v>22.0</v>
      </c>
      <c r="J80" s="26" t="n">
        <f>3</f>
        <v>3.0</v>
      </c>
      <c r="K80" s="26" t="n">
        <f>2</f>
        <v>2.0</v>
      </c>
      <c r="L80" s="4" t="s">
        <v>350</v>
      </c>
      <c r="M80" s="27" t="n">
        <f>22</f>
        <v>22.0</v>
      </c>
      <c r="N80" s="5" t="s">
        <v>351</v>
      </c>
      <c r="O80" s="28" t="str">
        <f>"－"</f>
        <v>－</v>
      </c>
      <c r="P80" s="3" t="s">
        <v>352</v>
      </c>
      <c r="Q80" s="26"/>
      <c r="R80" s="3" t="s">
        <v>353</v>
      </c>
      <c r="S80" s="26" t="n">
        <f>3334664</f>
        <v>3334664.0</v>
      </c>
      <c r="T80" s="26" t="n">
        <f>2941498</f>
        <v>2941498.0</v>
      </c>
      <c r="U80" s="5" t="s">
        <v>350</v>
      </c>
      <c r="V80" s="28" t="n">
        <f>26473480</f>
        <v>2.647348E7</v>
      </c>
      <c r="W80" s="5" t="s">
        <v>351</v>
      </c>
      <c r="X80" s="28" t="str">
        <f>"－"</f>
        <v>－</v>
      </c>
      <c r="Y80" s="28"/>
      <c r="Z80" s="26" t="n">
        <f>6</f>
        <v>6.0</v>
      </c>
      <c r="AA80" s="26" t="n">
        <f>23</f>
        <v>23.0</v>
      </c>
      <c r="AB80" s="4" t="s">
        <v>350</v>
      </c>
      <c r="AC80" s="27" t="n">
        <f>23</f>
        <v>23.0</v>
      </c>
      <c r="AD80" s="5" t="s">
        <v>351</v>
      </c>
      <c r="AE80" s="28" t="n">
        <f>1</f>
        <v>1.0</v>
      </c>
    </row>
    <row r="81">
      <c r="A81" s="20" t="s">
        <v>354</v>
      </c>
      <c r="B81" s="21" t="s">
        <v>355</v>
      </c>
      <c r="C81" s="22"/>
      <c r="D81" s="23"/>
      <c r="E81" s="24" t="s">
        <v>48</v>
      </c>
      <c r="F81" s="25" t="n">
        <f>85</f>
        <v>85.0</v>
      </c>
      <c r="G81" s="26" t="n">
        <f>4133300</f>
        <v>4133300.0</v>
      </c>
      <c r="H81" s="26"/>
      <c r="I81" s="26" t="n">
        <f>976172</f>
        <v>976172.0</v>
      </c>
      <c r="J81" s="26" t="n">
        <f>48627</f>
        <v>48627.0</v>
      </c>
      <c r="K81" s="26" t="n">
        <f>11484</f>
        <v>11484.0</v>
      </c>
      <c r="L81" s="4" t="s">
        <v>53</v>
      </c>
      <c r="M81" s="27" t="n">
        <f>320880</f>
        <v>320880.0</v>
      </c>
      <c r="N81" s="5" t="s">
        <v>82</v>
      </c>
      <c r="O81" s="28" t="n">
        <f>6724</f>
        <v>6724.0</v>
      </c>
      <c r="P81" s="3" t="s">
        <v>356</v>
      </c>
      <c r="Q81" s="26"/>
      <c r="R81" s="3" t="s">
        <v>357</v>
      </c>
      <c r="S81" s="26" t="n">
        <f>64366845751</f>
        <v>6.4366845751E10</v>
      </c>
      <c r="T81" s="26" t="n">
        <f>15432500371</f>
        <v>1.5432500371E10</v>
      </c>
      <c r="U81" s="5" t="s">
        <v>53</v>
      </c>
      <c r="V81" s="28" t="n">
        <f>446159225200</f>
        <v>4.461592252E11</v>
      </c>
      <c r="W81" s="5" t="s">
        <v>82</v>
      </c>
      <c r="X81" s="28" t="n">
        <f>8688686500</f>
        <v>8.6886865E9</v>
      </c>
      <c r="Y81" s="28"/>
      <c r="Z81" s="26" t="n">
        <f>668875</f>
        <v>668875.0</v>
      </c>
      <c r="AA81" s="26" t="n">
        <f>288288</f>
        <v>288288.0</v>
      </c>
      <c r="AB81" s="4" t="s">
        <v>85</v>
      </c>
      <c r="AC81" s="27" t="n">
        <f>478225</f>
        <v>478225.0</v>
      </c>
      <c r="AD81" s="5" t="s">
        <v>358</v>
      </c>
      <c r="AE81" s="28" t="n">
        <f>58661</f>
        <v>58661.0</v>
      </c>
    </row>
    <row r="82">
      <c r="A82" s="20" t="s">
        <v>354</v>
      </c>
      <c r="B82" s="21" t="s">
        <v>355</v>
      </c>
      <c r="C82" s="22"/>
      <c r="D82" s="23"/>
      <c r="E82" s="24" t="s">
        <v>56</v>
      </c>
      <c r="F82" s="25" t="n">
        <f>245</f>
        <v>245.0</v>
      </c>
      <c r="G82" s="26" t="n">
        <f>9918503</f>
        <v>9918503.0</v>
      </c>
      <c r="H82" s="26"/>
      <c r="I82" s="26" t="n">
        <f>2106325</f>
        <v>2106325.0</v>
      </c>
      <c r="J82" s="26" t="n">
        <f>40484</f>
        <v>40484.0</v>
      </c>
      <c r="K82" s="26" t="n">
        <f>8597</f>
        <v>8597.0</v>
      </c>
      <c r="L82" s="4" t="s">
        <v>234</v>
      </c>
      <c r="M82" s="27" t="n">
        <f>298863</f>
        <v>298863.0</v>
      </c>
      <c r="N82" s="5" t="s">
        <v>82</v>
      </c>
      <c r="O82" s="28" t="n">
        <f>7474</f>
        <v>7474.0</v>
      </c>
      <c r="P82" s="3" t="s">
        <v>359</v>
      </c>
      <c r="Q82" s="26"/>
      <c r="R82" s="3" t="s">
        <v>360</v>
      </c>
      <c r="S82" s="26" t="n">
        <f>55691258042</f>
        <v>5.5691258042E10</v>
      </c>
      <c r="T82" s="26" t="n">
        <f>11832449610</f>
        <v>1.183244961E10</v>
      </c>
      <c r="U82" s="5" t="s">
        <v>234</v>
      </c>
      <c r="V82" s="28" t="n">
        <f>445036783500</f>
        <v>4.450367835E11</v>
      </c>
      <c r="W82" s="5" t="s">
        <v>82</v>
      </c>
      <c r="X82" s="28" t="n">
        <f>10235678900</f>
        <v>1.02356789E10</v>
      </c>
      <c r="Y82" s="28"/>
      <c r="Z82" s="26" t="n">
        <f>773374</f>
        <v>773374.0</v>
      </c>
      <c r="AA82" s="26" t="n">
        <f>202450</f>
        <v>202450.0</v>
      </c>
      <c r="AB82" s="4" t="s">
        <v>90</v>
      </c>
      <c r="AC82" s="27" t="n">
        <f>385534</f>
        <v>385534.0</v>
      </c>
      <c r="AD82" s="5" t="s">
        <v>115</v>
      </c>
      <c r="AE82" s="28" t="n">
        <f>164875</f>
        <v>164875.0</v>
      </c>
    </row>
    <row r="83">
      <c r="A83" s="20" t="s">
        <v>354</v>
      </c>
      <c r="B83" s="21" t="s">
        <v>355</v>
      </c>
      <c r="C83" s="22"/>
      <c r="D83" s="23"/>
      <c r="E83" s="24" t="s">
        <v>63</v>
      </c>
      <c r="F83" s="25" t="n">
        <f>245</f>
        <v>245.0</v>
      </c>
      <c r="G83" s="26" t="n">
        <f>7021088</f>
        <v>7021088.0</v>
      </c>
      <c r="H83" s="26"/>
      <c r="I83" s="26" t="n">
        <f>1787227</f>
        <v>1787227.0</v>
      </c>
      <c r="J83" s="26" t="n">
        <f>28658</f>
        <v>28658.0</v>
      </c>
      <c r="K83" s="26" t="n">
        <f>7295</f>
        <v>7295.0</v>
      </c>
      <c r="L83" s="4" t="s">
        <v>286</v>
      </c>
      <c r="M83" s="27" t="n">
        <f>245268</f>
        <v>245268.0</v>
      </c>
      <c r="N83" s="5" t="s">
        <v>361</v>
      </c>
      <c r="O83" s="28" t="n">
        <f>8102</f>
        <v>8102.0</v>
      </c>
      <c r="P83" s="3" t="s">
        <v>362</v>
      </c>
      <c r="Q83" s="26"/>
      <c r="R83" s="3" t="s">
        <v>363</v>
      </c>
      <c r="S83" s="26" t="n">
        <f>36022736277</f>
        <v>3.6022736277E10</v>
      </c>
      <c r="T83" s="26" t="n">
        <f>9198951554</f>
        <v>9.198951554E9</v>
      </c>
      <c r="U83" s="5" t="s">
        <v>286</v>
      </c>
      <c r="V83" s="28" t="n">
        <f>296546348000</f>
        <v>2.96546348E11</v>
      </c>
      <c r="W83" s="5" t="s">
        <v>361</v>
      </c>
      <c r="X83" s="28" t="n">
        <f>9810286800</f>
        <v>9.8102868E9</v>
      </c>
      <c r="Y83" s="28"/>
      <c r="Z83" s="26" t="n">
        <f>456741</f>
        <v>456741.0</v>
      </c>
      <c r="AA83" s="26" t="n">
        <f>168407</f>
        <v>168407.0</v>
      </c>
      <c r="AB83" s="4" t="s">
        <v>68</v>
      </c>
      <c r="AC83" s="27" t="n">
        <f>323304</f>
        <v>323304.0</v>
      </c>
      <c r="AD83" s="5" t="s">
        <v>277</v>
      </c>
      <c r="AE83" s="28" t="n">
        <f>134641</f>
        <v>134641.0</v>
      </c>
    </row>
    <row r="84">
      <c r="A84" s="20" t="s">
        <v>354</v>
      </c>
      <c r="B84" s="21" t="s">
        <v>355</v>
      </c>
      <c r="C84" s="22"/>
      <c r="D84" s="23"/>
      <c r="E84" s="24" t="s">
        <v>70</v>
      </c>
      <c r="F84" s="25" t="n">
        <f>245</f>
        <v>245.0</v>
      </c>
      <c r="G84" s="26" t="n">
        <f>8549109</f>
        <v>8549109.0</v>
      </c>
      <c r="H84" s="26"/>
      <c r="I84" s="26" t="n">
        <f>1445897</f>
        <v>1445897.0</v>
      </c>
      <c r="J84" s="26" t="n">
        <f>34894</f>
        <v>34894.0</v>
      </c>
      <c r="K84" s="26" t="n">
        <f>5902</f>
        <v>5902.0</v>
      </c>
      <c r="L84" s="4" t="s">
        <v>364</v>
      </c>
      <c r="M84" s="27" t="n">
        <f>215653</f>
        <v>215653.0</v>
      </c>
      <c r="N84" s="5" t="s">
        <v>152</v>
      </c>
      <c r="O84" s="28" t="n">
        <f>7066</f>
        <v>7066.0</v>
      </c>
      <c r="P84" s="3" t="s">
        <v>365</v>
      </c>
      <c r="Q84" s="26"/>
      <c r="R84" s="3" t="s">
        <v>366</v>
      </c>
      <c r="S84" s="26" t="n">
        <f>52398242311</f>
        <v>5.2398242311E10</v>
      </c>
      <c r="T84" s="26" t="n">
        <f>8723413485</f>
        <v>8.723413485E9</v>
      </c>
      <c r="U84" s="5" t="s">
        <v>364</v>
      </c>
      <c r="V84" s="28" t="n">
        <f>303940321238</f>
        <v>3.03940321238E11</v>
      </c>
      <c r="W84" s="5" t="s">
        <v>152</v>
      </c>
      <c r="X84" s="28" t="n">
        <f>9894501936</f>
        <v>9.894501936E9</v>
      </c>
      <c r="Y84" s="28"/>
      <c r="Z84" s="26" t="n">
        <f>556688</f>
        <v>556688.0</v>
      </c>
      <c r="AA84" s="26" t="n">
        <f>125759</f>
        <v>125759.0</v>
      </c>
      <c r="AB84" s="4" t="s">
        <v>234</v>
      </c>
      <c r="AC84" s="27" t="n">
        <f>247389</f>
        <v>247389.0</v>
      </c>
      <c r="AD84" s="5" t="s">
        <v>351</v>
      </c>
      <c r="AE84" s="28" t="n">
        <f>102882</f>
        <v>102882.0</v>
      </c>
    </row>
    <row r="85">
      <c r="A85" s="20" t="s">
        <v>354</v>
      </c>
      <c r="B85" s="21" t="s">
        <v>355</v>
      </c>
      <c r="C85" s="22"/>
      <c r="D85" s="23"/>
      <c r="E85" s="24" t="s">
        <v>76</v>
      </c>
      <c r="F85" s="25" t="n">
        <f>244</f>
        <v>244.0</v>
      </c>
      <c r="G85" s="26" t="n">
        <f>7372269</f>
        <v>7372269.0</v>
      </c>
      <c r="H85" s="26"/>
      <c r="I85" s="26" t="n">
        <f>1381370</f>
        <v>1381370.0</v>
      </c>
      <c r="J85" s="26" t="n">
        <f>30214</f>
        <v>30214.0</v>
      </c>
      <c r="K85" s="26" t="n">
        <f>5661</f>
        <v>5661.0</v>
      </c>
      <c r="L85" s="4" t="s">
        <v>71</v>
      </c>
      <c r="M85" s="27" t="n">
        <f>187154</f>
        <v>187154.0</v>
      </c>
      <c r="N85" s="5" t="s">
        <v>77</v>
      </c>
      <c r="O85" s="28" t="n">
        <f>11192</f>
        <v>11192.0</v>
      </c>
      <c r="P85" s="3" t="s">
        <v>367</v>
      </c>
      <c r="Q85" s="26"/>
      <c r="R85" s="3" t="s">
        <v>368</v>
      </c>
      <c r="S85" s="26" t="n">
        <f>44747504330</f>
        <v>4.474750433E10</v>
      </c>
      <c r="T85" s="26" t="n">
        <f>8338142087</f>
        <v>8.338142087E9</v>
      </c>
      <c r="U85" s="5" t="s">
        <v>71</v>
      </c>
      <c r="V85" s="28" t="n">
        <f>267403295524</f>
        <v>2.67403295524E11</v>
      </c>
      <c r="W85" s="5" t="s">
        <v>369</v>
      </c>
      <c r="X85" s="28" t="n">
        <f>16916364500</f>
        <v>1.69163645E10</v>
      </c>
      <c r="Y85" s="28"/>
      <c r="Z85" s="26" t="n">
        <f>529185</f>
        <v>529185.0</v>
      </c>
      <c r="AA85" s="26" t="n">
        <f>182179</f>
        <v>182179.0</v>
      </c>
      <c r="AB85" s="4" t="s">
        <v>277</v>
      </c>
      <c r="AC85" s="27" t="n">
        <f>248312</f>
        <v>248312.0</v>
      </c>
      <c r="AD85" s="5" t="s">
        <v>127</v>
      </c>
      <c r="AE85" s="28" t="n">
        <f>123265</f>
        <v>123265.0</v>
      </c>
    </row>
    <row r="86">
      <c r="A86" s="20" t="s">
        <v>354</v>
      </c>
      <c r="B86" s="21" t="s">
        <v>355</v>
      </c>
      <c r="C86" s="22"/>
      <c r="D86" s="23"/>
      <c r="E86" s="24" t="s">
        <v>81</v>
      </c>
      <c r="F86" s="25" t="n">
        <f>241</f>
        <v>241.0</v>
      </c>
      <c r="G86" s="26" t="n">
        <f>6953433</f>
        <v>6953433.0</v>
      </c>
      <c r="H86" s="26"/>
      <c r="I86" s="26" t="n">
        <f>1661195</f>
        <v>1661195.0</v>
      </c>
      <c r="J86" s="26" t="n">
        <f>28852</f>
        <v>28852.0</v>
      </c>
      <c r="K86" s="26" t="n">
        <f>6893</f>
        <v>6893.0</v>
      </c>
      <c r="L86" s="4" t="s">
        <v>127</v>
      </c>
      <c r="M86" s="27" t="n">
        <f>171910</f>
        <v>171910.0</v>
      </c>
      <c r="N86" s="5" t="s">
        <v>82</v>
      </c>
      <c r="O86" s="28" t="n">
        <f>5375</f>
        <v>5375.0</v>
      </c>
      <c r="P86" s="3" t="s">
        <v>370</v>
      </c>
      <c r="Q86" s="26"/>
      <c r="R86" s="3" t="s">
        <v>371</v>
      </c>
      <c r="S86" s="26" t="n">
        <f>40336790678</f>
        <v>4.0336790678E10</v>
      </c>
      <c r="T86" s="26" t="n">
        <f>9659113879</f>
        <v>9.659113879E9</v>
      </c>
      <c r="U86" s="5" t="s">
        <v>127</v>
      </c>
      <c r="V86" s="28" t="n">
        <f>238119665688</f>
        <v>2.38119665688E11</v>
      </c>
      <c r="W86" s="5" t="s">
        <v>82</v>
      </c>
      <c r="X86" s="28" t="n">
        <f>8272131000</f>
        <v>8.272131E9</v>
      </c>
      <c r="Y86" s="28"/>
      <c r="Z86" s="26" t="n">
        <f>513926</f>
        <v>513926.0</v>
      </c>
      <c r="AA86" s="26" t="n">
        <f>134398</f>
        <v>134398.0</v>
      </c>
      <c r="AB86" s="4" t="s">
        <v>127</v>
      </c>
      <c r="AC86" s="27" t="n">
        <f>273874</f>
        <v>273874.0</v>
      </c>
      <c r="AD86" s="5" t="s">
        <v>250</v>
      </c>
      <c r="AE86" s="28" t="n">
        <f>100918</f>
        <v>100918.0</v>
      </c>
    </row>
    <row r="87">
      <c r="A87" s="20" t="s">
        <v>354</v>
      </c>
      <c r="B87" s="21" t="s">
        <v>355</v>
      </c>
      <c r="C87" s="22"/>
      <c r="D87" s="23"/>
      <c r="E87" s="24" t="s">
        <v>87</v>
      </c>
      <c r="F87" s="25" t="n">
        <f>245</f>
        <v>245.0</v>
      </c>
      <c r="G87" s="26" t="n">
        <f>5279709</f>
        <v>5279709.0</v>
      </c>
      <c r="H87" s="26"/>
      <c r="I87" s="26" t="n">
        <f>885795</f>
        <v>885795.0</v>
      </c>
      <c r="J87" s="26" t="n">
        <f>21550</f>
        <v>21550.0</v>
      </c>
      <c r="K87" s="26" t="n">
        <f>3615</f>
        <v>3615.0</v>
      </c>
      <c r="L87" s="4" t="s">
        <v>234</v>
      </c>
      <c r="M87" s="27" t="n">
        <f>151966</f>
        <v>151966.0</v>
      </c>
      <c r="N87" s="5" t="s">
        <v>82</v>
      </c>
      <c r="O87" s="28" t="n">
        <f>4657</f>
        <v>4657.0</v>
      </c>
      <c r="P87" s="3" t="s">
        <v>372</v>
      </c>
      <c r="Q87" s="26"/>
      <c r="R87" s="3" t="s">
        <v>373</v>
      </c>
      <c r="S87" s="26" t="n">
        <f>32863819701</f>
        <v>3.2863819701E10</v>
      </c>
      <c r="T87" s="26" t="n">
        <f>5469661721</f>
        <v>5.469661721E9</v>
      </c>
      <c r="U87" s="5" t="s">
        <v>234</v>
      </c>
      <c r="V87" s="28" t="n">
        <f>222331074392</f>
        <v>2.22331074392E11</v>
      </c>
      <c r="W87" s="5" t="s">
        <v>82</v>
      </c>
      <c r="X87" s="28" t="n">
        <f>7475115000</f>
        <v>7.475115E9</v>
      </c>
      <c r="Y87" s="28"/>
      <c r="Z87" s="26" t="n">
        <f>311776</f>
        <v>311776.0</v>
      </c>
      <c r="AA87" s="26" t="n">
        <f>101553</f>
        <v>101553.0</v>
      </c>
      <c r="AB87" s="4" t="s">
        <v>234</v>
      </c>
      <c r="AC87" s="27" t="n">
        <f>203880</f>
        <v>203880.0</v>
      </c>
      <c r="AD87" s="5" t="s">
        <v>254</v>
      </c>
      <c r="AE87" s="28" t="n">
        <f>66152</f>
        <v>66152.0</v>
      </c>
    </row>
    <row r="88">
      <c r="A88" s="20" t="s">
        <v>354</v>
      </c>
      <c r="B88" s="21" t="s">
        <v>355</v>
      </c>
      <c r="C88" s="22"/>
      <c r="D88" s="23"/>
      <c r="E88" s="24" t="s">
        <v>92</v>
      </c>
      <c r="F88" s="25" t="n">
        <f>244</f>
        <v>244.0</v>
      </c>
      <c r="G88" s="26" t="n">
        <f>3762898</f>
        <v>3762898.0</v>
      </c>
      <c r="H88" s="26"/>
      <c r="I88" s="26" t="n">
        <f>535622</f>
        <v>535622.0</v>
      </c>
      <c r="J88" s="26" t="n">
        <f>15422</f>
        <v>15422.0</v>
      </c>
      <c r="K88" s="26" t="n">
        <f>2195</f>
        <v>2195.0</v>
      </c>
      <c r="L88" s="4" t="s">
        <v>238</v>
      </c>
      <c r="M88" s="27" t="n">
        <f>137493</f>
        <v>137493.0</v>
      </c>
      <c r="N88" s="5" t="s">
        <v>93</v>
      </c>
      <c r="O88" s="28" t="n">
        <f>3914</f>
        <v>3914.0</v>
      </c>
      <c r="P88" s="3" t="s">
        <v>374</v>
      </c>
      <c r="Q88" s="26"/>
      <c r="R88" s="3" t="s">
        <v>375</v>
      </c>
      <c r="S88" s="26" t="n">
        <f>27062720885</f>
        <v>2.7062720885E10</v>
      </c>
      <c r="T88" s="26" t="n">
        <f>3860714451</f>
        <v>3.860714451E9</v>
      </c>
      <c r="U88" s="5" t="s">
        <v>238</v>
      </c>
      <c r="V88" s="28" t="n">
        <f>244390317272</f>
        <v>2.44390317272E11</v>
      </c>
      <c r="W88" s="5" t="s">
        <v>93</v>
      </c>
      <c r="X88" s="28" t="n">
        <f>6995585600</f>
        <v>6.9955856E9</v>
      </c>
      <c r="Y88" s="28"/>
      <c r="Z88" s="26" t="n">
        <f>195953</f>
        <v>195953.0</v>
      </c>
      <c r="AA88" s="26" t="n">
        <f>62512</f>
        <v>62512.0</v>
      </c>
      <c r="AB88" s="4" t="s">
        <v>234</v>
      </c>
      <c r="AC88" s="27" t="n">
        <f>113571</f>
        <v>113571.0</v>
      </c>
      <c r="AD88" s="5" t="s">
        <v>69</v>
      </c>
      <c r="AE88" s="28" t="n">
        <f>40920</f>
        <v>40920.0</v>
      </c>
    </row>
    <row r="89">
      <c r="A89" s="20" t="s">
        <v>354</v>
      </c>
      <c r="B89" s="21" t="s">
        <v>355</v>
      </c>
      <c r="C89" s="22"/>
      <c r="D89" s="23"/>
      <c r="E89" s="24" t="s">
        <v>98</v>
      </c>
      <c r="F89" s="25" t="n">
        <f>245</f>
        <v>245.0</v>
      </c>
      <c r="G89" s="26" t="n">
        <f>2708396</f>
        <v>2708396.0</v>
      </c>
      <c r="H89" s="26"/>
      <c r="I89" s="26" t="n">
        <f>474792</f>
        <v>474792.0</v>
      </c>
      <c r="J89" s="26" t="n">
        <f>11055</f>
        <v>11055.0</v>
      </c>
      <c r="K89" s="26" t="n">
        <f>1938</f>
        <v>1938.0</v>
      </c>
      <c r="L89" s="4" t="s">
        <v>238</v>
      </c>
      <c r="M89" s="27" t="n">
        <f>80101</f>
        <v>80101.0</v>
      </c>
      <c r="N89" s="5" t="s">
        <v>50</v>
      </c>
      <c r="O89" s="28" t="n">
        <f>3547</f>
        <v>3547.0</v>
      </c>
      <c r="P89" s="3" t="s">
        <v>376</v>
      </c>
      <c r="Q89" s="26"/>
      <c r="R89" s="3" t="s">
        <v>377</v>
      </c>
      <c r="S89" s="26" t="n">
        <f>19223732073</f>
        <v>1.9223732073E10</v>
      </c>
      <c r="T89" s="26" t="n">
        <f>3407636341</f>
        <v>3.407636341E9</v>
      </c>
      <c r="U89" s="5" t="s">
        <v>74</v>
      </c>
      <c r="V89" s="28" t="n">
        <f>141394019586</f>
        <v>1.41394019586E11</v>
      </c>
      <c r="W89" s="5" t="s">
        <v>50</v>
      </c>
      <c r="X89" s="28" t="n">
        <f>6069986500</f>
        <v>6.0699865E9</v>
      </c>
      <c r="Y89" s="28"/>
      <c r="Z89" s="26" t="n">
        <f>150543</f>
        <v>150543.0</v>
      </c>
      <c r="AA89" s="26" t="n">
        <f>71389</f>
        <v>71389.0</v>
      </c>
      <c r="AB89" s="4" t="s">
        <v>238</v>
      </c>
      <c r="AC89" s="27" t="n">
        <f>82179</f>
        <v>82179.0</v>
      </c>
      <c r="AD89" s="5" t="s">
        <v>140</v>
      </c>
      <c r="AE89" s="28" t="n">
        <f>49906</f>
        <v>49906.0</v>
      </c>
    </row>
    <row r="90">
      <c r="A90" s="20" t="s">
        <v>354</v>
      </c>
      <c r="B90" s="21" t="s">
        <v>355</v>
      </c>
      <c r="C90" s="22"/>
      <c r="D90" s="23"/>
      <c r="E90" s="24" t="s">
        <v>103</v>
      </c>
      <c r="F90" s="25" t="n">
        <f>244</f>
        <v>244.0</v>
      </c>
      <c r="G90" s="26" t="n">
        <f>3178308</f>
        <v>3178308.0</v>
      </c>
      <c r="H90" s="26"/>
      <c r="I90" s="26" t="n">
        <f>566618</f>
        <v>566618.0</v>
      </c>
      <c r="J90" s="26" t="n">
        <f>13026</f>
        <v>13026.0</v>
      </c>
      <c r="K90" s="26" t="n">
        <f>2322</f>
        <v>2322.0</v>
      </c>
      <c r="L90" s="4" t="s">
        <v>99</v>
      </c>
      <c r="M90" s="27" t="n">
        <f>116362</f>
        <v>116362.0</v>
      </c>
      <c r="N90" s="5" t="s">
        <v>50</v>
      </c>
      <c r="O90" s="28" t="n">
        <f>2216</f>
        <v>2216.0</v>
      </c>
      <c r="P90" s="3" t="s">
        <v>378</v>
      </c>
      <c r="Q90" s="26"/>
      <c r="R90" s="3" t="s">
        <v>379</v>
      </c>
      <c r="S90" s="26" t="n">
        <f>27586508321</f>
        <v>2.7586508321E10</v>
      </c>
      <c r="T90" s="26" t="n">
        <f>5013285719</f>
        <v>5.013285719E9</v>
      </c>
      <c r="U90" s="5" t="s">
        <v>99</v>
      </c>
      <c r="V90" s="28" t="n">
        <f>236591637036</f>
        <v>2.36591637036E11</v>
      </c>
      <c r="W90" s="5" t="s">
        <v>50</v>
      </c>
      <c r="X90" s="28" t="n">
        <f>4673138000</f>
        <v>4.673138E9</v>
      </c>
      <c r="Y90" s="28"/>
      <c r="Z90" s="26" t="n">
        <f>187189</f>
        <v>187189.0</v>
      </c>
      <c r="AA90" s="26" t="n">
        <f>58251</f>
        <v>58251.0</v>
      </c>
      <c r="AB90" s="4" t="s">
        <v>217</v>
      </c>
      <c r="AC90" s="27" t="n">
        <f>97113</f>
        <v>97113.0</v>
      </c>
      <c r="AD90" s="5" t="s">
        <v>380</v>
      </c>
      <c r="AE90" s="28" t="n">
        <f>45211</f>
        <v>45211.0</v>
      </c>
    </row>
    <row r="91">
      <c r="A91" s="20" t="s">
        <v>381</v>
      </c>
      <c r="B91" s="21" t="s">
        <v>382</v>
      </c>
      <c r="C91" s="22"/>
      <c r="D91" s="23"/>
      <c r="E91" s="24" t="s">
        <v>247</v>
      </c>
      <c r="F91" s="25" t="n">
        <f>194</f>
        <v>194.0</v>
      </c>
      <c r="G91" s="26" t="n">
        <f>344362</f>
        <v>344362.0</v>
      </c>
      <c r="H91" s="26"/>
      <c r="I91" s="26" t="n">
        <f>297649</f>
        <v>297649.0</v>
      </c>
      <c r="J91" s="26" t="n">
        <f>1775</f>
        <v>1775.0</v>
      </c>
      <c r="K91" s="26" t="n">
        <f>1534</f>
        <v>1534.0</v>
      </c>
      <c r="L91" s="4" t="s">
        <v>53</v>
      </c>
      <c r="M91" s="27" t="n">
        <f>120950</f>
        <v>120950.0</v>
      </c>
      <c r="N91" s="5" t="s">
        <v>201</v>
      </c>
      <c r="O91" s="28" t="str">
        <f>"－"</f>
        <v>－</v>
      </c>
      <c r="P91" s="3" t="s">
        <v>383</v>
      </c>
      <c r="Q91" s="26"/>
      <c r="R91" s="3" t="s">
        <v>384</v>
      </c>
      <c r="S91" s="26" t="n">
        <f>937317998</f>
        <v>9.37317998E8</v>
      </c>
      <c r="T91" s="26" t="n">
        <f>787099584</f>
        <v>7.87099584E8</v>
      </c>
      <c r="U91" s="5" t="s">
        <v>53</v>
      </c>
      <c r="V91" s="28" t="n">
        <f>48332216000</f>
        <v>4.8332216E10</v>
      </c>
      <c r="W91" s="5" t="s">
        <v>201</v>
      </c>
      <c r="X91" s="28" t="str">
        <f>"－"</f>
        <v>－</v>
      </c>
      <c r="Y91" s="28"/>
      <c r="Z91" s="26" t="str">
        <f>"－"</f>
        <v>－</v>
      </c>
      <c r="AA91" s="26" t="n">
        <f>40400</f>
        <v>40400.0</v>
      </c>
      <c r="AB91" s="4" t="s">
        <v>149</v>
      </c>
      <c r="AC91" s="27" t="n">
        <f>86647</f>
        <v>86647.0</v>
      </c>
      <c r="AD91" s="5" t="s">
        <v>62</v>
      </c>
      <c r="AE91" s="28" t="n">
        <f>461</f>
        <v>461.0</v>
      </c>
    </row>
    <row r="92">
      <c r="A92" s="20" t="s">
        <v>381</v>
      </c>
      <c r="B92" s="21" t="s">
        <v>382</v>
      </c>
      <c r="C92" s="22"/>
      <c r="D92" s="23"/>
      <c r="E92" s="24" t="s">
        <v>251</v>
      </c>
      <c r="F92" s="25" t="n">
        <f>244</f>
        <v>244.0</v>
      </c>
      <c r="G92" s="26" t="n">
        <f>282632</f>
        <v>282632.0</v>
      </c>
      <c r="H92" s="26"/>
      <c r="I92" s="26" t="n">
        <f>272016</f>
        <v>272016.0</v>
      </c>
      <c r="J92" s="26" t="n">
        <f>1158</f>
        <v>1158.0</v>
      </c>
      <c r="K92" s="26" t="n">
        <f>1115</f>
        <v>1115.0</v>
      </c>
      <c r="L92" s="4" t="s">
        <v>74</v>
      </c>
      <c r="M92" s="27" t="n">
        <f>60020</f>
        <v>60020.0</v>
      </c>
      <c r="N92" s="5" t="s">
        <v>309</v>
      </c>
      <c r="O92" s="28" t="str">
        <f>"－"</f>
        <v>－</v>
      </c>
      <c r="P92" s="3" t="s">
        <v>385</v>
      </c>
      <c r="Q92" s="26"/>
      <c r="R92" s="3" t="s">
        <v>386</v>
      </c>
      <c r="S92" s="26" t="n">
        <f>605874535</f>
        <v>6.05874535E8</v>
      </c>
      <c r="T92" s="26" t="n">
        <f>583346980</f>
        <v>5.8334698E8</v>
      </c>
      <c r="U92" s="5" t="s">
        <v>74</v>
      </c>
      <c r="V92" s="28" t="n">
        <f>31296000000</f>
        <v>3.1296E10</v>
      </c>
      <c r="W92" s="5" t="s">
        <v>309</v>
      </c>
      <c r="X92" s="28" t="str">
        <f>"－"</f>
        <v>－</v>
      </c>
      <c r="Y92" s="28"/>
      <c r="Z92" s="26" t="str">
        <f>"－"</f>
        <v>－</v>
      </c>
      <c r="AA92" s="26" t="n">
        <f>30477</f>
        <v>30477.0</v>
      </c>
      <c r="AB92" s="4" t="s">
        <v>387</v>
      </c>
      <c r="AC92" s="27" t="n">
        <f>64703</f>
        <v>64703.0</v>
      </c>
      <c r="AD92" s="5" t="s">
        <v>132</v>
      </c>
      <c r="AE92" s="28" t="n">
        <f>20301</f>
        <v>20301.0</v>
      </c>
    </row>
    <row r="93">
      <c r="A93" s="20" t="s">
        <v>381</v>
      </c>
      <c r="B93" s="21" t="s">
        <v>382</v>
      </c>
      <c r="C93" s="22"/>
      <c r="D93" s="23"/>
      <c r="E93" s="24" t="s">
        <v>255</v>
      </c>
      <c r="F93" s="25" t="n">
        <f>245</f>
        <v>245.0</v>
      </c>
      <c r="G93" s="26" t="n">
        <f>210191</f>
        <v>210191.0</v>
      </c>
      <c r="H93" s="26"/>
      <c r="I93" s="26" t="n">
        <f>210000</f>
        <v>210000.0</v>
      </c>
      <c r="J93" s="26" t="n">
        <f>858</f>
        <v>858.0</v>
      </c>
      <c r="K93" s="26" t="n">
        <f>857</f>
        <v>857.0</v>
      </c>
      <c r="L93" s="4" t="s">
        <v>388</v>
      </c>
      <c r="M93" s="27" t="n">
        <f>60000</f>
        <v>60000.0</v>
      </c>
      <c r="N93" s="5" t="s">
        <v>389</v>
      </c>
      <c r="O93" s="28" t="str">
        <f>"－"</f>
        <v>－</v>
      </c>
      <c r="P93" s="3" t="s">
        <v>390</v>
      </c>
      <c r="Q93" s="26"/>
      <c r="R93" s="3" t="s">
        <v>391</v>
      </c>
      <c r="S93" s="26" t="n">
        <f>429706886</f>
        <v>4.29706886E8</v>
      </c>
      <c r="T93" s="26" t="n">
        <f>429275510</f>
        <v>4.2927551E8</v>
      </c>
      <c r="U93" s="5" t="s">
        <v>388</v>
      </c>
      <c r="V93" s="28" t="n">
        <f>33465000000</f>
        <v>3.3465E10</v>
      </c>
      <c r="W93" s="5" t="s">
        <v>389</v>
      </c>
      <c r="X93" s="28" t="str">
        <f>"－"</f>
        <v>－</v>
      </c>
      <c r="Y93" s="28"/>
      <c r="Z93" s="26" t="str">
        <f>"－"</f>
        <v>－</v>
      </c>
      <c r="AA93" s="26" t="n">
        <f>15000</f>
        <v>15000.0</v>
      </c>
      <c r="AB93" s="4" t="s">
        <v>213</v>
      </c>
      <c r="AC93" s="27" t="n">
        <f>30654</f>
        <v>30654.0</v>
      </c>
      <c r="AD93" s="5" t="s">
        <v>115</v>
      </c>
      <c r="AE93" s="28" t="n">
        <f>15000</f>
        <v>15000.0</v>
      </c>
    </row>
    <row r="94">
      <c r="A94" s="20" t="s">
        <v>381</v>
      </c>
      <c r="B94" s="21" t="s">
        <v>382</v>
      </c>
      <c r="C94" s="22"/>
      <c r="D94" s="23"/>
      <c r="E94" s="24" t="s">
        <v>258</v>
      </c>
      <c r="F94" s="25" t="n">
        <f>246</f>
        <v>246.0</v>
      </c>
      <c r="G94" s="26" t="n">
        <f>63576</f>
        <v>63576.0</v>
      </c>
      <c r="H94" s="26"/>
      <c r="I94" s="26" t="n">
        <f>63570</f>
        <v>63570.0</v>
      </c>
      <c r="J94" s="26" t="n">
        <f>258</f>
        <v>258.0</v>
      </c>
      <c r="K94" s="26" t="n">
        <f>258</f>
        <v>258.0</v>
      </c>
      <c r="L94" s="4" t="s">
        <v>238</v>
      </c>
      <c r="M94" s="27" t="n">
        <f>21000</f>
        <v>21000.0</v>
      </c>
      <c r="N94" s="5" t="s">
        <v>213</v>
      </c>
      <c r="O94" s="28" t="str">
        <f>"－"</f>
        <v>－</v>
      </c>
      <c r="P94" s="3" t="s">
        <v>392</v>
      </c>
      <c r="Q94" s="26"/>
      <c r="R94" s="3" t="s">
        <v>393</v>
      </c>
      <c r="S94" s="26" t="n">
        <f>102449467</f>
        <v>1.02449467E8</v>
      </c>
      <c r="T94" s="26" t="n">
        <f>102439896</f>
        <v>1.02439896E8</v>
      </c>
      <c r="U94" s="5" t="s">
        <v>234</v>
      </c>
      <c r="V94" s="28" t="n">
        <f>8573000000</f>
        <v>8.573E9</v>
      </c>
      <c r="W94" s="5" t="s">
        <v>213</v>
      </c>
      <c r="X94" s="28" t="str">
        <f>"－"</f>
        <v>－</v>
      </c>
      <c r="Y94" s="28"/>
      <c r="Z94" s="26" t="str">
        <f>"－"</f>
        <v>－</v>
      </c>
      <c r="AA94" s="26" t="n">
        <f>1170</f>
        <v>1170.0</v>
      </c>
      <c r="AB94" s="4" t="s">
        <v>213</v>
      </c>
      <c r="AC94" s="27" t="n">
        <f>15000</f>
        <v>15000.0</v>
      </c>
      <c r="AD94" s="5" t="s">
        <v>182</v>
      </c>
      <c r="AE94" s="28" t="n">
        <f>700</f>
        <v>700.0</v>
      </c>
    </row>
    <row r="95">
      <c r="A95" s="20" t="s">
        <v>381</v>
      </c>
      <c r="B95" s="21" t="s">
        <v>382</v>
      </c>
      <c r="C95" s="22"/>
      <c r="D95" s="23"/>
      <c r="E95" s="24" t="s">
        <v>261</v>
      </c>
      <c r="F95" s="25" t="n">
        <f>245</f>
        <v>245.0</v>
      </c>
      <c r="G95" s="26" t="n">
        <f>9510</f>
        <v>9510.0</v>
      </c>
      <c r="H95" s="26"/>
      <c r="I95" s="26" t="n">
        <f>9510</f>
        <v>9510.0</v>
      </c>
      <c r="J95" s="26" t="n">
        <f>39</f>
        <v>39.0</v>
      </c>
      <c r="K95" s="26" t="n">
        <f>39</f>
        <v>39.0</v>
      </c>
      <c r="L95" s="4" t="s">
        <v>177</v>
      </c>
      <c r="M95" s="27" t="n">
        <f>2340</f>
        <v>2340.0</v>
      </c>
      <c r="N95" s="5" t="s">
        <v>389</v>
      </c>
      <c r="O95" s="28" t="str">
        <f>"－"</f>
        <v>－</v>
      </c>
      <c r="P95" s="3" t="s">
        <v>394</v>
      </c>
      <c r="Q95" s="26"/>
      <c r="R95" s="3" t="s">
        <v>394</v>
      </c>
      <c r="S95" s="26" t="n">
        <f>15677793</f>
        <v>1.5677793E7</v>
      </c>
      <c r="T95" s="26" t="n">
        <f>15677793</f>
        <v>1.5677793E7</v>
      </c>
      <c r="U95" s="5" t="s">
        <v>177</v>
      </c>
      <c r="V95" s="28" t="n">
        <f>847665000</f>
        <v>8.47665E8</v>
      </c>
      <c r="W95" s="5" t="s">
        <v>389</v>
      </c>
      <c r="X95" s="28" t="str">
        <f>"－"</f>
        <v>－</v>
      </c>
      <c r="Y95" s="28"/>
      <c r="Z95" s="26" t="str">
        <f>"－"</f>
        <v>－</v>
      </c>
      <c r="AA95" s="26" t="n">
        <f>615</f>
        <v>615.0</v>
      </c>
      <c r="AB95" s="4" t="s">
        <v>243</v>
      </c>
      <c r="AC95" s="27" t="n">
        <f>2080</f>
        <v>2080.0</v>
      </c>
      <c r="AD95" s="5" t="s">
        <v>80</v>
      </c>
      <c r="AE95" s="28" t="n">
        <f>615</f>
        <v>615.0</v>
      </c>
    </row>
    <row r="96">
      <c r="A96" s="20" t="s">
        <v>381</v>
      </c>
      <c r="B96" s="21" t="s">
        <v>382</v>
      </c>
      <c r="C96" s="22"/>
      <c r="D96" s="23"/>
      <c r="E96" s="24" t="s">
        <v>265</v>
      </c>
      <c r="F96" s="25" t="n">
        <f>245</f>
        <v>245.0</v>
      </c>
      <c r="G96" s="26" t="n">
        <f>7869</f>
        <v>7869.0</v>
      </c>
      <c r="H96" s="26"/>
      <c r="I96" s="26" t="n">
        <f>7869</f>
        <v>7869.0</v>
      </c>
      <c r="J96" s="26" t="n">
        <f>32</f>
        <v>32.0</v>
      </c>
      <c r="K96" s="26" t="n">
        <f>32</f>
        <v>32.0</v>
      </c>
      <c r="L96" s="4" t="s">
        <v>395</v>
      </c>
      <c r="M96" s="27" t="n">
        <f>4272</f>
        <v>4272.0</v>
      </c>
      <c r="N96" s="5" t="s">
        <v>213</v>
      </c>
      <c r="O96" s="28" t="str">
        <f>"－"</f>
        <v>－</v>
      </c>
      <c r="P96" s="3" t="s">
        <v>396</v>
      </c>
      <c r="Q96" s="26"/>
      <c r="R96" s="3" t="s">
        <v>396</v>
      </c>
      <c r="S96" s="26" t="n">
        <f>19689066</f>
        <v>1.9689066E7</v>
      </c>
      <c r="T96" s="26" t="n">
        <f>19689066</f>
        <v>1.9689066E7</v>
      </c>
      <c r="U96" s="5" t="s">
        <v>395</v>
      </c>
      <c r="V96" s="28" t="n">
        <f>2556792000</f>
        <v>2.556792E9</v>
      </c>
      <c r="W96" s="5" t="s">
        <v>213</v>
      </c>
      <c r="X96" s="28" t="str">
        <f>"－"</f>
        <v>－</v>
      </c>
      <c r="Y96" s="28"/>
      <c r="Z96" s="26" t="str">
        <f>"－"</f>
        <v>－</v>
      </c>
      <c r="AA96" s="26" t="n">
        <f>457</f>
        <v>457.0</v>
      </c>
      <c r="AB96" s="4" t="s">
        <v>127</v>
      </c>
      <c r="AC96" s="27" t="n">
        <f>5502</f>
        <v>5502.0</v>
      </c>
      <c r="AD96" s="5" t="s">
        <v>250</v>
      </c>
      <c r="AE96" s="28" t="n">
        <f>259</f>
        <v>259.0</v>
      </c>
    </row>
    <row r="97">
      <c r="A97" s="20" t="s">
        <v>381</v>
      </c>
      <c r="B97" s="21" t="s">
        <v>382</v>
      </c>
      <c r="C97" s="22"/>
      <c r="D97" s="23"/>
      <c r="E97" s="24" t="s">
        <v>48</v>
      </c>
      <c r="F97" s="25" t="n">
        <f>246</f>
        <v>246.0</v>
      </c>
      <c r="G97" s="26" t="n">
        <f>4005</f>
        <v>4005.0</v>
      </c>
      <c r="H97" s="26"/>
      <c r="I97" s="26" t="n">
        <f>2968</f>
        <v>2968.0</v>
      </c>
      <c r="J97" s="26" t="n">
        <f>16</f>
        <v>16.0</v>
      </c>
      <c r="K97" s="26" t="n">
        <f>12</f>
        <v>12.0</v>
      </c>
      <c r="L97" s="4" t="s">
        <v>234</v>
      </c>
      <c r="M97" s="27" t="n">
        <f>914</f>
        <v>914.0</v>
      </c>
      <c r="N97" s="5" t="s">
        <v>213</v>
      </c>
      <c r="O97" s="28" t="str">
        <f>"－"</f>
        <v>－</v>
      </c>
      <c r="P97" s="3" t="s">
        <v>397</v>
      </c>
      <c r="Q97" s="26"/>
      <c r="R97" s="3" t="s">
        <v>398</v>
      </c>
      <c r="S97" s="26" t="n">
        <f>11265902</f>
        <v>1.1265902E7</v>
      </c>
      <c r="T97" s="26" t="n">
        <f>8394941</f>
        <v>8394941.0</v>
      </c>
      <c r="U97" s="5" t="s">
        <v>234</v>
      </c>
      <c r="V97" s="28" t="n">
        <f>585874000</f>
        <v>5.85874E8</v>
      </c>
      <c r="W97" s="5" t="s">
        <v>213</v>
      </c>
      <c r="X97" s="28" t="str">
        <f>"－"</f>
        <v>－</v>
      </c>
      <c r="Y97" s="28"/>
      <c r="Z97" s="26" t="str">
        <f>"－"</f>
        <v>－</v>
      </c>
      <c r="AA97" s="26" t="n">
        <f>353</f>
        <v>353.0</v>
      </c>
      <c r="AB97" s="4" t="s">
        <v>277</v>
      </c>
      <c r="AC97" s="27" t="n">
        <f>846</f>
        <v>846.0</v>
      </c>
      <c r="AD97" s="5" t="s">
        <v>204</v>
      </c>
      <c r="AE97" s="28" t="n">
        <f>275</f>
        <v>275.0</v>
      </c>
    </row>
    <row r="98">
      <c r="A98" s="20" t="s">
        <v>381</v>
      </c>
      <c r="B98" s="21" t="s">
        <v>382</v>
      </c>
      <c r="C98" s="22"/>
      <c r="D98" s="23"/>
      <c r="E98" s="24" t="s">
        <v>56</v>
      </c>
      <c r="F98" s="25" t="n">
        <f>245</f>
        <v>245.0</v>
      </c>
      <c r="G98" s="26" t="n">
        <f>5749</f>
        <v>5749.0</v>
      </c>
      <c r="H98" s="26"/>
      <c r="I98" s="26" t="n">
        <f>3249</f>
        <v>3249.0</v>
      </c>
      <c r="J98" s="26" t="n">
        <f>23</f>
        <v>23.0</v>
      </c>
      <c r="K98" s="26" t="n">
        <f>13</f>
        <v>13.0</v>
      </c>
      <c r="L98" s="4" t="s">
        <v>61</v>
      </c>
      <c r="M98" s="27" t="n">
        <f>683</f>
        <v>683.0</v>
      </c>
      <c r="N98" s="5" t="s">
        <v>399</v>
      </c>
      <c r="O98" s="28" t="str">
        <f>"－"</f>
        <v>－</v>
      </c>
      <c r="P98" s="3" t="s">
        <v>400</v>
      </c>
      <c r="Q98" s="26"/>
      <c r="R98" s="3" t="s">
        <v>401</v>
      </c>
      <c r="S98" s="26" t="n">
        <f>17257111</f>
        <v>1.7257111E7</v>
      </c>
      <c r="T98" s="26" t="n">
        <f>9886968</f>
        <v>9886968.0</v>
      </c>
      <c r="U98" s="5" t="s">
        <v>234</v>
      </c>
      <c r="V98" s="28" t="n">
        <f>547891200</f>
        <v>5.478912E8</v>
      </c>
      <c r="W98" s="5" t="s">
        <v>399</v>
      </c>
      <c r="X98" s="28" t="str">
        <f>"－"</f>
        <v>－</v>
      </c>
      <c r="Y98" s="28"/>
      <c r="Z98" s="26" t="str">
        <f>"－"</f>
        <v>－</v>
      </c>
      <c r="AA98" s="26" t="n">
        <f>474</f>
        <v>474.0</v>
      </c>
      <c r="AB98" s="4" t="s">
        <v>162</v>
      </c>
      <c r="AC98" s="27" t="n">
        <f>876</f>
        <v>876.0</v>
      </c>
      <c r="AD98" s="5" t="s">
        <v>254</v>
      </c>
      <c r="AE98" s="28" t="n">
        <f>181</f>
        <v>181.0</v>
      </c>
    </row>
    <row r="99">
      <c r="A99" s="20" t="s">
        <v>381</v>
      </c>
      <c r="B99" s="21" t="s">
        <v>382</v>
      </c>
      <c r="C99" s="22"/>
      <c r="D99" s="23"/>
      <c r="E99" s="24" t="s">
        <v>63</v>
      </c>
      <c r="F99" s="25" t="n">
        <f>245</f>
        <v>245.0</v>
      </c>
      <c r="G99" s="26" t="n">
        <f>4629</f>
        <v>4629.0</v>
      </c>
      <c r="H99" s="26"/>
      <c r="I99" s="26" t="n">
        <f>3609</f>
        <v>3609.0</v>
      </c>
      <c r="J99" s="26" t="n">
        <f>19</f>
        <v>19.0</v>
      </c>
      <c r="K99" s="26" t="n">
        <f>15</f>
        <v>15.0</v>
      </c>
      <c r="L99" s="4" t="s">
        <v>402</v>
      </c>
      <c r="M99" s="27" t="n">
        <f>1003</f>
        <v>1003.0</v>
      </c>
      <c r="N99" s="5" t="s">
        <v>403</v>
      </c>
      <c r="O99" s="28" t="str">
        <f>"－"</f>
        <v>－</v>
      </c>
      <c r="P99" s="3" t="s">
        <v>404</v>
      </c>
      <c r="Q99" s="26"/>
      <c r="R99" s="3" t="s">
        <v>405</v>
      </c>
      <c r="S99" s="26" t="n">
        <f>12588796</f>
        <v>1.2588796E7</v>
      </c>
      <c r="T99" s="26" t="n">
        <f>9764074</f>
        <v>9764074.0</v>
      </c>
      <c r="U99" s="5" t="s">
        <v>402</v>
      </c>
      <c r="V99" s="28" t="n">
        <f>657913000</f>
        <v>6.57913E8</v>
      </c>
      <c r="W99" s="5" t="s">
        <v>403</v>
      </c>
      <c r="X99" s="28" t="str">
        <f>"－"</f>
        <v>－</v>
      </c>
      <c r="Y99" s="28"/>
      <c r="Z99" s="26" t="str">
        <f>"－"</f>
        <v>－</v>
      </c>
      <c r="AA99" s="26" t="n">
        <f>306</f>
        <v>306.0</v>
      </c>
      <c r="AB99" s="4" t="s">
        <v>162</v>
      </c>
      <c r="AC99" s="27" t="n">
        <f>1295</f>
        <v>1295.0</v>
      </c>
      <c r="AD99" s="5" t="s">
        <v>277</v>
      </c>
      <c r="AE99" s="28" t="n">
        <f>165</f>
        <v>165.0</v>
      </c>
    </row>
    <row r="100">
      <c r="A100" s="20" t="s">
        <v>381</v>
      </c>
      <c r="B100" s="21" t="s">
        <v>382</v>
      </c>
      <c r="C100" s="22"/>
      <c r="D100" s="23"/>
      <c r="E100" s="24" t="s">
        <v>70</v>
      </c>
      <c r="F100" s="25" t="n">
        <f>245</f>
        <v>245.0</v>
      </c>
      <c r="G100" s="26" t="n">
        <f>2661</f>
        <v>2661.0</v>
      </c>
      <c r="H100" s="26"/>
      <c r="I100" s="26" t="n">
        <f>2125</f>
        <v>2125.0</v>
      </c>
      <c r="J100" s="26" t="n">
        <f>11</f>
        <v>11.0</v>
      </c>
      <c r="K100" s="26" t="n">
        <f>9</f>
        <v>9.0</v>
      </c>
      <c r="L100" s="4" t="s">
        <v>107</v>
      </c>
      <c r="M100" s="27" t="n">
        <f>448</f>
        <v>448.0</v>
      </c>
      <c r="N100" s="5" t="s">
        <v>399</v>
      </c>
      <c r="O100" s="28" t="str">
        <f>"－"</f>
        <v>－</v>
      </c>
      <c r="P100" s="3" t="s">
        <v>406</v>
      </c>
      <c r="Q100" s="26"/>
      <c r="R100" s="3" t="s">
        <v>407</v>
      </c>
      <c r="S100" s="26" t="n">
        <f>8295319</f>
        <v>8295319.0</v>
      </c>
      <c r="T100" s="26" t="n">
        <f>6609408</f>
        <v>6609408.0</v>
      </c>
      <c r="U100" s="5" t="s">
        <v>107</v>
      </c>
      <c r="V100" s="28" t="n">
        <f>330134000</f>
        <v>3.30134E8</v>
      </c>
      <c r="W100" s="5" t="s">
        <v>399</v>
      </c>
      <c r="X100" s="28" t="str">
        <f>"－"</f>
        <v>－</v>
      </c>
      <c r="Y100" s="28"/>
      <c r="Z100" s="26" t="str">
        <f>"－"</f>
        <v>－</v>
      </c>
      <c r="AA100" s="26" t="n">
        <f>378</f>
        <v>378.0</v>
      </c>
      <c r="AB100" s="4" t="s">
        <v>350</v>
      </c>
      <c r="AC100" s="27" t="n">
        <f>413</f>
        <v>413.0</v>
      </c>
      <c r="AD100" s="5" t="s">
        <v>369</v>
      </c>
      <c r="AE100" s="28" t="n">
        <f>88</f>
        <v>88.0</v>
      </c>
    </row>
    <row r="101">
      <c r="A101" s="20" t="s">
        <v>381</v>
      </c>
      <c r="B101" s="21" t="s">
        <v>382</v>
      </c>
      <c r="C101" s="22"/>
      <c r="D101" s="23"/>
      <c r="E101" s="24" t="s">
        <v>76</v>
      </c>
      <c r="F101" s="25" t="n">
        <f>244</f>
        <v>244.0</v>
      </c>
      <c r="G101" s="26" t="n">
        <f>3181</f>
        <v>3181.0</v>
      </c>
      <c r="H101" s="26"/>
      <c r="I101" s="26" t="n">
        <f>2342</f>
        <v>2342.0</v>
      </c>
      <c r="J101" s="26" t="n">
        <f>13</f>
        <v>13.0</v>
      </c>
      <c r="K101" s="26" t="n">
        <f>10</f>
        <v>10.0</v>
      </c>
      <c r="L101" s="4" t="s">
        <v>174</v>
      </c>
      <c r="M101" s="27" t="n">
        <f>348</f>
        <v>348.0</v>
      </c>
      <c r="N101" s="5" t="s">
        <v>399</v>
      </c>
      <c r="O101" s="28" t="str">
        <f>"－"</f>
        <v>－</v>
      </c>
      <c r="P101" s="3" t="s">
        <v>408</v>
      </c>
      <c r="Q101" s="26"/>
      <c r="R101" s="3" t="s">
        <v>409</v>
      </c>
      <c r="S101" s="26" t="n">
        <f>9766461</f>
        <v>9766461.0</v>
      </c>
      <c r="T101" s="26" t="n">
        <f>7195588</f>
        <v>7195588.0</v>
      </c>
      <c r="U101" s="5" t="s">
        <v>174</v>
      </c>
      <c r="V101" s="28" t="n">
        <f>271701000</f>
        <v>2.71701E8</v>
      </c>
      <c r="W101" s="5" t="s">
        <v>399</v>
      </c>
      <c r="X101" s="28" t="str">
        <f>"－"</f>
        <v>－</v>
      </c>
      <c r="Y101" s="28"/>
      <c r="Z101" s="26" t="str">
        <f>"－"</f>
        <v>－</v>
      </c>
      <c r="AA101" s="26" t="n">
        <f>286</f>
        <v>286.0</v>
      </c>
      <c r="AB101" s="4" t="s">
        <v>104</v>
      </c>
      <c r="AC101" s="27" t="n">
        <f>583</f>
        <v>583.0</v>
      </c>
      <c r="AD101" s="5" t="s">
        <v>410</v>
      </c>
      <c r="AE101" s="28" t="n">
        <f>124</f>
        <v>124.0</v>
      </c>
    </row>
    <row r="102">
      <c r="A102" s="20" t="s">
        <v>381</v>
      </c>
      <c r="B102" s="21" t="s">
        <v>382</v>
      </c>
      <c r="C102" s="22"/>
      <c r="D102" s="23"/>
      <c r="E102" s="24" t="s">
        <v>81</v>
      </c>
      <c r="F102" s="25" t="n">
        <f>241</f>
        <v>241.0</v>
      </c>
      <c r="G102" s="26" t="n">
        <f>1742</f>
        <v>1742.0</v>
      </c>
      <c r="H102" s="26"/>
      <c r="I102" s="26" t="n">
        <f>1405</f>
        <v>1405.0</v>
      </c>
      <c r="J102" s="26" t="n">
        <f>7</f>
        <v>7.0</v>
      </c>
      <c r="K102" s="26" t="n">
        <f>6</f>
        <v>6.0</v>
      </c>
      <c r="L102" s="4" t="s">
        <v>127</v>
      </c>
      <c r="M102" s="27" t="n">
        <f>457</f>
        <v>457.0</v>
      </c>
      <c r="N102" s="5" t="s">
        <v>213</v>
      </c>
      <c r="O102" s="28" t="str">
        <f>"－"</f>
        <v>－</v>
      </c>
      <c r="P102" s="3" t="s">
        <v>411</v>
      </c>
      <c r="Q102" s="26"/>
      <c r="R102" s="3" t="s">
        <v>412</v>
      </c>
      <c r="S102" s="26" t="n">
        <f>5185289</f>
        <v>5185289.0</v>
      </c>
      <c r="T102" s="26" t="n">
        <f>4165826</f>
        <v>4165826.0</v>
      </c>
      <c r="U102" s="5" t="s">
        <v>127</v>
      </c>
      <c r="V102" s="28" t="n">
        <f>324577900</f>
        <v>3.245779E8</v>
      </c>
      <c r="W102" s="5" t="s">
        <v>213</v>
      </c>
      <c r="X102" s="28" t="str">
        <f>"－"</f>
        <v>－</v>
      </c>
      <c r="Y102" s="28"/>
      <c r="Z102" s="26" t="str">
        <f>"－"</f>
        <v>－</v>
      </c>
      <c r="AA102" s="26" t="n">
        <f>179</f>
        <v>179.0</v>
      </c>
      <c r="AB102" s="4" t="s">
        <v>239</v>
      </c>
      <c r="AC102" s="27" t="n">
        <f>307</f>
        <v>307.0</v>
      </c>
      <c r="AD102" s="5" t="s">
        <v>250</v>
      </c>
      <c r="AE102" s="28" t="n">
        <f>78</f>
        <v>78.0</v>
      </c>
    </row>
    <row r="103">
      <c r="A103" s="20" t="s">
        <v>381</v>
      </c>
      <c r="B103" s="21" t="s">
        <v>382</v>
      </c>
      <c r="C103" s="22"/>
      <c r="D103" s="23"/>
      <c r="E103" s="24" t="s">
        <v>87</v>
      </c>
      <c r="F103" s="25" t="n">
        <f>245</f>
        <v>245.0</v>
      </c>
      <c r="G103" s="26" t="n">
        <f>865</f>
        <v>865.0</v>
      </c>
      <c r="H103" s="26"/>
      <c r="I103" s="26" t="n">
        <f>816</f>
        <v>816.0</v>
      </c>
      <c r="J103" s="26" t="n">
        <f>4</f>
        <v>4.0</v>
      </c>
      <c r="K103" s="26" t="n">
        <f>3</f>
        <v>3.0</v>
      </c>
      <c r="L103" s="4" t="s">
        <v>234</v>
      </c>
      <c r="M103" s="27" t="n">
        <f>323</f>
        <v>323.0</v>
      </c>
      <c r="N103" s="5" t="s">
        <v>213</v>
      </c>
      <c r="O103" s="28" t="str">
        <f>"－"</f>
        <v>－</v>
      </c>
      <c r="P103" s="3" t="s">
        <v>413</v>
      </c>
      <c r="Q103" s="26"/>
      <c r="R103" s="3" t="s">
        <v>414</v>
      </c>
      <c r="S103" s="26" t="n">
        <f>2744075</f>
        <v>2744075.0</v>
      </c>
      <c r="T103" s="26" t="n">
        <f>2589318</f>
        <v>2589318.0</v>
      </c>
      <c r="U103" s="5" t="s">
        <v>234</v>
      </c>
      <c r="V103" s="28" t="n">
        <f>244142300</f>
        <v>2.441423E8</v>
      </c>
      <c r="W103" s="5" t="s">
        <v>213</v>
      </c>
      <c r="X103" s="28" t="str">
        <f>"－"</f>
        <v>－</v>
      </c>
      <c r="Y103" s="28"/>
      <c r="Z103" s="26" t="n">
        <f>2</f>
        <v>2.0</v>
      </c>
      <c r="AA103" s="26" t="n">
        <f>63</f>
        <v>63.0</v>
      </c>
      <c r="AB103" s="4" t="s">
        <v>234</v>
      </c>
      <c r="AC103" s="27" t="n">
        <f>323</f>
        <v>323.0</v>
      </c>
      <c r="AD103" s="5" t="s">
        <v>254</v>
      </c>
      <c r="AE103" s="28" t="n">
        <f>50</f>
        <v>50.0</v>
      </c>
    </row>
    <row r="104">
      <c r="A104" s="20" t="s">
        <v>381</v>
      </c>
      <c r="B104" s="21" t="s">
        <v>382</v>
      </c>
      <c r="C104" s="22"/>
      <c r="D104" s="23"/>
      <c r="E104" s="24" t="s">
        <v>92</v>
      </c>
      <c r="F104" s="25" t="n">
        <f>244</f>
        <v>244.0</v>
      </c>
      <c r="G104" s="26" t="n">
        <f>537</f>
        <v>537.0</v>
      </c>
      <c r="H104" s="26"/>
      <c r="I104" s="26" t="n">
        <f>522</f>
        <v>522.0</v>
      </c>
      <c r="J104" s="26" t="n">
        <f>2</f>
        <v>2.0</v>
      </c>
      <c r="K104" s="26" t="n">
        <f>2</f>
        <v>2.0</v>
      </c>
      <c r="L104" s="4" t="s">
        <v>286</v>
      </c>
      <c r="M104" s="27" t="n">
        <f>128</f>
        <v>128.0</v>
      </c>
      <c r="N104" s="5" t="s">
        <v>213</v>
      </c>
      <c r="O104" s="28" t="str">
        <f>"－"</f>
        <v>－</v>
      </c>
      <c r="P104" s="3" t="s">
        <v>415</v>
      </c>
      <c r="Q104" s="26"/>
      <c r="R104" s="3" t="s">
        <v>416</v>
      </c>
      <c r="S104" s="26" t="n">
        <f>2066636</f>
        <v>2066636.0</v>
      </c>
      <c r="T104" s="26" t="n">
        <f>2008515</f>
        <v>2008515.0</v>
      </c>
      <c r="U104" s="5" t="s">
        <v>286</v>
      </c>
      <c r="V104" s="28" t="n">
        <f>119260000</f>
        <v>1.1926E8</v>
      </c>
      <c r="W104" s="5" t="s">
        <v>213</v>
      </c>
      <c r="X104" s="28" t="str">
        <f>"－"</f>
        <v>－</v>
      </c>
      <c r="Y104" s="28"/>
      <c r="Z104" s="26" t="n">
        <f>3</f>
        <v>3.0</v>
      </c>
      <c r="AA104" s="26" t="n">
        <f>106</f>
        <v>106.0</v>
      </c>
      <c r="AB104" s="4" t="s">
        <v>417</v>
      </c>
      <c r="AC104" s="27" t="n">
        <f>106</f>
        <v>106.0</v>
      </c>
      <c r="AD104" s="5" t="s">
        <v>418</v>
      </c>
      <c r="AE104" s="28" t="n">
        <f>36</f>
        <v>36.0</v>
      </c>
    </row>
    <row r="105">
      <c r="A105" s="20" t="s">
        <v>381</v>
      </c>
      <c r="B105" s="21" t="s">
        <v>382</v>
      </c>
      <c r="C105" s="22"/>
      <c r="D105" s="23"/>
      <c r="E105" s="24" t="s">
        <v>98</v>
      </c>
      <c r="F105" s="25" t="n">
        <f>245</f>
        <v>245.0</v>
      </c>
      <c r="G105" s="26" t="n">
        <f>834</f>
        <v>834.0</v>
      </c>
      <c r="H105" s="26"/>
      <c r="I105" s="26" t="n">
        <f>734</f>
        <v>734.0</v>
      </c>
      <c r="J105" s="26" t="n">
        <f>3</f>
        <v>3.0</v>
      </c>
      <c r="K105" s="26" t="n">
        <f>3</f>
        <v>3.0</v>
      </c>
      <c r="L105" s="4" t="s">
        <v>99</v>
      </c>
      <c r="M105" s="27" t="n">
        <f>210</f>
        <v>210.0</v>
      </c>
      <c r="N105" s="5" t="s">
        <v>213</v>
      </c>
      <c r="O105" s="28" t="str">
        <f>"－"</f>
        <v>－</v>
      </c>
      <c r="P105" s="3" t="s">
        <v>419</v>
      </c>
      <c r="Q105" s="26"/>
      <c r="R105" s="3" t="s">
        <v>420</v>
      </c>
      <c r="S105" s="26" t="n">
        <f>3255696</f>
        <v>3255696.0</v>
      </c>
      <c r="T105" s="26" t="n">
        <f>2868427</f>
        <v>2868427.0</v>
      </c>
      <c r="U105" s="5" t="s">
        <v>99</v>
      </c>
      <c r="V105" s="28" t="n">
        <f>201768000</f>
        <v>2.01768E8</v>
      </c>
      <c r="W105" s="5" t="s">
        <v>213</v>
      </c>
      <c r="X105" s="28" t="str">
        <f>"－"</f>
        <v>－</v>
      </c>
      <c r="Y105" s="28"/>
      <c r="Z105" s="26" t="n">
        <f>11</f>
        <v>11.0</v>
      </c>
      <c r="AA105" s="26" t="n">
        <f>140</f>
        <v>140.0</v>
      </c>
      <c r="AB105" s="4" t="s">
        <v>99</v>
      </c>
      <c r="AC105" s="27" t="n">
        <f>166</f>
        <v>166.0</v>
      </c>
      <c r="AD105" s="5" t="s">
        <v>277</v>
      </c>
      <c r="AE105" s="28" t="n">
        <f>43</f>
        <v>43.0</v>
      </c>
    </row>
    <row r="106">
      <c r="A106" s="20" t="s">
        <v>381</v>
      </c>
      <c r="B106" s="21" t="s">
        <v>382</v>
      </c>
      <c r="C106" s="22"/>
      <c r="D106" s="23"/>
      <c r="E106" s="24" t="s">
        <v>103</v>
      </c>
      <c r="F106" s="25" t="n">
        <f>244</f>
        <v>244.0</v>
      </c>
      <c r="G106" s="26" t="n">
        <f>961</f>
        <v>961.0</v>
      </c>
      <c r="H106" s="26"/>
      <c r="I106" s="26" t="n">
        <f>892</f>
        <v>892.0</v>
      </c>
      <c r="J106" s="26" t="n">
        <f>4</f>
        <v>4.0</v>
      </c>
      <c r="K106" s="26" t="n">
        <f>4</f>
        <v>4.0</v>
      </c>
      <c r="L106" s="4" t="s">
        <v>107</v>
      </c>
      <c r="M106" s="27" t="n">
        <f>221</f>
        <v>221.0</v>
      </c>
      <c r="N106" s="5" t="s">
        <v>399</v>
      </c>
      <c r="O106" s="28" t="str">
        <f>"－"</f>
        <v>－</v>
      </c>
      <c r="P106" s="3" t="s">
        <v>421</v>
      </c>
      <c r="Q106" s="26"/>
      <c r="R106" s="3" t="s">
        <v>422</v>
      </c>
      <c r="S106" s="26" t="n">
        <f>4844329</f>
        <v>4844329.0</v>
      </c>
      <c r="T106" s="26" t="n">
        <f>4497868</f>
        <v>4497868.0</v>
      </c>
      <c r="U106" s="5" t="s">
        <v>104</v>
      </c>
      <c r="V106" s="28" t="n">
        <f>284650000</f>
        <v>2.8465E8</v>
      </c>
      <c r="W106" s="5" t="s">
        <v>399</v>
      </c>
      <c r="X106" s="28" t="str">
        <f>"－"</f>
        <v>－</v>
      </c>
      <c r="Y106" s="28"/>
      <c r="Z106" s="26" t="str">
        <f>"－"</f>
        <v>－</v>
      </c>
      <c r="AA106" s="26" t="n">
        <f>156</f>
        <v>156.0</v>
      </c>
      <c r="AB106" s="4" t="s">
        <v>107</v>
      </c>
      <c r="AC106" s="27" t="n">
        <f>249</f>
        <v>249.0</v>
      </c>
      <c r="AD106" s="5" t="s">
        <v>217</v>
      </c>
      <c r="AE106" s="28" t="n">
        <f>58</f>
        <v>58.0</v>
      </c>
    </row>
    <row r="107">
      <c r="A107" s="20" t="s">
        <v>423</v>
      </c>
      <c r="B107" s="21" t="s">
        <v>424</v>
      </c>
      <c r="C107" s="22"/>
      <c r="D107" s="23"/>
      <c r="E107" s="24" t="s">
        <v>205</v>
      </c>
      <c r="F107" s="25" t="n">
        <f>240</f>
        <v>240.0</v>
      </c>
      <c r="G107" s="26" t="n">
        <f>3695</f>
        <v>3695.0</v>
      </c>
      <c r="H107" s="26"/>
      <c r="I107" s="26" t="str">
        <f>"－"</f>
        <v>－</v>
      </c>
      <c r="J107" s="26" t="n">
        <f>15</f>
        <v>15.0</v>
      </c>
      <c r="K107" s="26" t="str">
        <f>"－"</f>
        <v>－</v>
      </c>
      <c r="L107" s="4" t="s">
        <v>306</v>
      </c>
      <c r="M107" s="27" t="n">
        <f>1253</f>
        <v>1253.0</v>
      </c>
      <c r="N107" s="5" t="s">
        <v>425</v>
      </c>
      <c r="O107" s="28" t="str">
        <f>"－"</f>
        <v>－</v>
      </c>
      <c r="P107" s="3" t="s">
        <v>426</v>
      </c>
      <c r="Q107" s="26"/>
      <c r="R107" s="3" t="s">
        <v>160</v>
      </c>
      <c r="S107" s="26" t="n">
        <f>63632596</f>
        <v>6.3632596E7</v>
      </c>
      <c r="T107" s="26" t="str">
        <f>"－"</f>
        <v>－</v>
      </c>
      <c r="U107" s="5" t="s">
        <v>306</v>
      </c>
      <c r="V107" s="28" t="n">
        <f>5232560000</f>
        <v>5.23256E9</v>
      </c>
      <c r="W107" s="5" t="s">
        <v>425</v>
      </c>
      <c r="X107" s="28" t="str">
        <f>"－"</f>
        <v>－</v>
      </c>
      <c r="Y107" s="28"/>
      <c r="Z107" s="26" t="str">
        <f>"－"</f>
        <v>－</v>
      </c>
      <c r="AA107" s="26" t="n">
        <f>2416</f>
        <v>2416.0</v>
      </c>
      <c r="AB107" s="4" t="s">
        <v>209</v>
      </c>
      <c r="AC107" s="27" t="n">
        <f>2416</f>
        <v>2416.0</v>
      </c>
      <c r="AD107" s="5" t="s">
        <v>196</v>
      </c>
      <c r="AE107" s="28" t="str">
        <f>"－"</f>
        <v>－</v>
      </c>
    </row>
    <row r="108">
      <c r="A108" s="20" t="s">
        <v>423</v>
      </c>
      <c r="B108" s="21" t="s">
        <v>424</v>
      </c>
      <c r="C108" s="22"/>
      <c r="D108" s="23"/>
      <c r="E108" s="24" t="s">
        <v>210</v>
      </c>
      <c r="F108" s="25" t="n">
        <f>246</f>
        <v>246.0</v>
      </c>
      <c r="G108" s="26" t="n">
        <f>37484</f>
        <v>37484.0</v>
      </c>
      <c r="H108" s="26"/>
      <c r="I108" s="26" t="str">
        <f>"－"</f>
        <v>－</v>
      </c>
      <c r="J108" s="26" t="n">
        <f>152</f>
        <v>152.0</v>
      </c>
      <c r="K108" s="26" t="str">
        <f>"－"</f>
        <v>－</v>
      </c>
      <c r="L108" s="4" t="s">
        <v>387</v>
      </c>
      <c r="M108" s="27" t="n">
        <f>8787</f>
        <v>8787.0</v>
      </c>
      <c r="N108" s="5" t="s">
        <v>427</v>
      </c>
      <c r="O108" s="28" t="str">
        <f>"－"</f>
        <v>－</v>
      </c>
      <c r="P108" s="3" t="s">
        <v>428</v>
      </c>
      <c r="Q108" s="26"/>
      <c r="R108" s="3" t="s">
        <v>160</v>
      </c>
      <c r="S108" s="26" t="n">
        <f>665928301</f>
        <v>6.65928301E8</v>
      </c>
      <c r="T108" s="26" t="str">
        <f>"－"</f>
        <v>－</v>
      </c>
      <c r="U108" s="5" t="s">
        <v>387</v>
      </c>
      <c r="V108" s="28" t="n">
        <f>43356176000</f>
        <v>4.3356176E10</v>
      </c>
      <c r="W108" s="5" t="s">
        <v>427</v>
      </c>
      <c r="X108" s="28" t="str">
        <f>"－"</f>
        <v>－</v>
      </c>
      <c r="Y108" s="28"/>
      <c r="Z108" s="26" t="str">
        <f>"－"</f>
        <v>－</v>
      </c>
      <c r="AA108" s="26" t="n">
        <f>7924</f>
        <v>7924.0</v>
      </c>
      <c r="AB108" s="4" t="s">
        <v>429</v>
      </c>
      <c r="AC108" s="27" t="n">
        <f>14979</f>
        <v>14979.0</v>
      </c>
      <c r="AD108" s="5" t="s">
        <v>213</v>
      </c>
      <c r="AE108" s="28" t="n">
        <f>2416</f>
        <v>2416.0</v>
      </c>
    </row>
    <row r="109">
      <c r="A109" s="20" t="s">
        <v>423</v>
      </c>
      <c r="B109" s="21" t="s">
        <v>424</v>
      </c>
      <c r="C109" s="22"/>
      <c r="D109" s="23"/>
      <c r="E109" s="24" t="s">
        <v>214</v>
      </c>
      <c r="F109" s="25" t="n">
        <f>246</f>
        <v>246.0</v>
      </c>
      <c r="G109" s="26" t="n">
        <f>40842</f>
        <v>40842.0</v>
      </c>
      <c r="H109" s="26"/>
      <c r="I109" s="26" t="str">
        <f>"－"</f>
        <v>－</v>
      </c>
      <c r="J109" s="26" t="n">
        <f>166</f>
        <v>166.0</v>
      </c>
      <c r="K109" s="26" t="str">
        <f>"－"</f>
        <v>－</v>
      </c>
      <c r="L109" s="4" t="s">
        <v>430</v>
      </c>
      <c r="M109" s="27" t="n">
        <f>9943</f>
        <v>9943.0</v>
      </c>
      <c r="N109" s="5" t="s">
        <v>431</v>
      </c>
      <c r="O109" s="28" t="str">
        <f>"－"</f>
        <v>－</v>
      </c>
      <c r="P109" s="3" t="s">
        <v>432</v>
      </c>
      <c r="Q109" s="26"/>
      <c r="R109" s="3" t="s">
        <v>160</v>
      </c>
      <c r="S109" s="26" t="n">
        <f>615327122</f>
        <v>6.15327122E8</v>
      </c>
      <c r="T109" s="26" t="str">
        <f>"－"</f>
        <v>－</v>
      </c>
      <c r="U109" s="5" t="s">
        <v>430</v>
      </c>
      <c r="V109" s="28" t="n">
        <f>35397080000</f>
        <v>3.539708E10</v>
      </c>
      <c r="W109" s="5" t="s">
        <v>431</v>
      </c>
      <c r="X109" s="28" t="str">
        <f>"－"</f>
        <v>－</v>
      </c>
      <c r="Y109" s="28"/>
      <c r="Z109" s="26" t="str">
        <f>"－"</f>
        <v>－</v>
      </c>
      <c r="AA109" s="26" t="n">
        <f>1910</f>
        <v>1910.0</v>
      </c>
      <c r="AB109" s="4" t="s">
        <v>433</v>
      </c>
      <c r="AC109" s="27" t="n">
        <f>11348</f>
        <v>11348.0</v>
      </c>
      <c r="AD109" s="5" t="s">
        <v>90</v>
      </c>
      <c r="AE109" s="28" t="n">
        <f>1401</f>
        <v>1401.0</v>
      </c>
    </row>
    <row r="110">
      <c r="A110" s="20" t="s">
        <v>423</v>
      </c>
      <c r="B110" s="21" t="s">
        <v>424</v>
      </c>
      <c r="C110" s="22"/>
      <c r="D110" s="23"/>
      <c r="E110" s="24" t="s">
        <v>219</v>
      </c>
      <c r="F110" s="25" t="n">
        <f>245</f>
        <v>245.0</v>
      </c>
      <c r="G110" s="26" t="n">
        <f>18381</f>
        <v>18381.0</v>
      </c>
      <c r="H110" s="26"/>
      <c r="I110" s="26" t="n">
        <f>9569</f>
        <v>9569.0</v>
      </c>
      <c r="J110" s="26" t="n">
        <f>75</f>
        <v>75.0</v>
      </c>
      <c r="K110" s="26" t="n">
        <f>39</f>
        <v>39.0</v>
      </c>
      <c r="L110" s="4" t="s">
        <v>434</v>
      </c>
      <c r="M110" s="27" t="n">
        <f>2802</f>
        <v>2802.0</v>
      </c>
      <c r="N110" s="5" t="s">
        <v>389</v>
      </c>
      <c r="O110" s="28" t="str">
        <f>"－"</f>
        <v>－</v>
      </c>
      <c r="P110" s="3" t="s">
        <v>435</v>
      </c>
      <c r="Q110" s="26"/>
      <c r="R110" s="3" t="s">
        <v>436</v>
      </c>
      <c r="S110" s="26" t="n">
        <f>175771861</f>
        <v>1.75771861E8</v>
      </c>
      <c r="T110" s="26" t="n">
        <f>77575653</f>
        <v>7.7575653E7</v>
      </c>
      <c r="U110" s="5" t="s">
        <v>75</v>
      </c>
      <c r="V110" s="28" t="n">
        <f>7819000000</f>
        <v>7.819E9</v>
      </c>
      <c r="W110" s="5" t="s">
        <v>389</v>
      </c>
      <c r="X110" s="28" t="str">
        <f>"－"</f>
        <v>－</v>
      </c>
      <c r="Y110" s="28"/>
      <c r="Z110" s="26" t="str">
        <f>"－"</f>
        <v>－</v>
      </c>
      <c r="AA110" s="26" t="n">
        <f>7469</f>
        <v>7469.0</v>
      </c>
      <c r="AB110" s="4" t="s">
        <v>350</v>
      </c>
      <c r="AC110" s="27" t="n">
        <f>7469</f>
        <v>7469.0</v>
      </c>
      <c r="AD110" s="5" t="s">
        <v>90</v>
      </c>
      <c r="AE110" s="28" t="n">
        <f>1400</f>
        <v>1400.0</v>
      </c>
    </row>
    <row r="111">
      <c r="A111" s="20" t="s">
        <v>423</v>
      </c>
      <c r="B111" s="21" t="s">
        <v>424</v>
      </c>
      <c r="C111" s="22"/>
      <c r="D111" s="23"/>
      <c r="E111" s="24" t="s">
        <v>223</v>
      </c>
      <c r="F111" s="25" t="n">
        <f>246</f>
        <v>246.0</v>
      </c>
      <c r="G111" s="26" t="n">
        <f>195792</f>
        <v>195792.0</v>
      </c>
      <c r="H111" s="26"/>
      <c r="I111" s="26" t="n">
        <f>195676</f>
        <v>195676.0</v>
      </c>
      <c r="J111" s="26" t="n">
        <f>796</f>
        <v>796.0</v>
      </c>
      <c r="K111" s="26" t="n">
        <f>795</f>
        <v>795.0</v>
      </c>
      <c r="L111" s="4" t="s">
        <v>164</v>
      </c>
      <c r="M111" s="27" t="n">
        <f>49787</f>
        <v>49787.0</v>
      </c>
      <c r="N111" s="5" t="s">
        <v>213</v>
      </c>
      <c r="O111" s="28" t="str">
        <f>"－"</f>
        <v>－</v>
      </c>
      <c r="P111" s="3" t="s">
        <v>437</v>
      </c>
      <c r="Q111" s="26"/>
      <c r="R111" s="3" t="s">
        <v>438</v>
      </c>
      <c r="S111" s="26" t="n">
        <f>1333853911</f>
        <v>1.333853911E9</v>
      </c>
      <c r="T111" s="26" t="n">
        <f>1332976065</f>
        <v>1.332976065E9</v>
      </c>
      <c r="U111" s="5" t="s">
        <v>164</v>
      </c>
      <c r="V111" s="28" t="n">
        <f>70145122000</f>
        <v>7.0145122E10</v>
      </c>
      <c r="W111" s="5" t="s">
        <v>213</v>
      </c>
      <c r="X111" s="28" t="str">
        <f>"－"</f>
        <v>－</v>
      </c>
      <c r="Y111" s="28"/>
      <c r="Z111" s="26" t="str">
        <f>"－"</f>
        <v>－</v>
      </c>
      <c r="AA111" s="26" t="n">
        <f>24351</f>
        <v>24351.0</v>
      </c>
      <c r="AB111" s="4" t="s">
        <v>75</v>
      </c>
      <c r="AC111" s="27" t="n">
        <f>32521</f>
        <v>32521.0</v>
      </c>
      <c r="AD111" s="5" t="s">
        <v>213</v>
      </c>
      <c r="AE111" s="28" t="n">
        <f>7469</f>
        <v>7469.0</v>
      </c>
    </row>
    <row r="112">
      <c r="A112" s="20" t="s">
        <v>423</v>
      </c>
      <c r="B112" s="21" t="s">
        <v>424</v>
      </c>
      <c r="C112" s="22"/>
      <c r="D112" s="23"/>
      <c r="E112" s="24" t="s">
        <v>227</v>
      </c>
      <c r="F112" s="25" t="n">
        <f>248</f>
        <v>248.0</v>
      </c>
      <c r="G112" s="26" t="n">
        <f>76978</f>
        <v>76978.0</v>
      </c>
      <c r="H112" s="26"/>
      <c r="I112" s="26" t="n">
        <f>76944</f>
        <v>76944.0</v>
      </c>
      <c r="J112" s="26" t="n">
        <f>310</f>
        <v>310.0</v>
      </c>
      <c r="K112" s="26" t="n">
        <f>310</f>
        <v>310.0</v>
      </c>
      <c r="L112" s="4" t="s">
        <v>68</v>
      </c>
      <c r="M112" s="27" t="n">
        <f>43101</f>
        <v>43101.0</v>
      </c>
      <c r="N112" s="5" t="s">
        <v>213</v>
      </c>
      <c r="O112" s="28" t="str">
        <f>"－"</f>
        <v>－</v>
      </c>
      <c r="P112" s="3" t="s">
        <v>439</v>
      </c>
      <c r="Q112" s="26"/>
      <c r="R112" s="3" t="s">
        <v>440</v>
      </c>
      <c r="S112" s="26" t="n">
        <f>466656101</f>
        <v>4.66656101E8</v>
      </c>
      <c r="T112" s="26" t="n">
        <f>466415718</f>
        <v>4.66415718E8</v>
      </c>
      <c r="U112" s="5" t="s">
        <v>68</v>
      </c>
      <c r="V112" s="28" t="n">
        <f>62137790000</f>
        <v>6.213779E10</v>
      </c>
      <c r="W112" s="5" t="s">
        <v>213</v>
      </c>
      <c r="X112" s="28" t="str">
        <f>"－"</f>
        <v>－</v>
      </c>
      <c r="Y112" s="28"/>
      <c r="Z112" s="26" t="str">
        <f>"－"</f>
        <v>－</v>
      </c>
      <c r="AA112" s="26" t="n">
        <f>201</f>
        <v>201.0</v>
      </c>
      <c r="AB112" s="4" t="s">
        <v>68</v>
      </c>
      <c r="AC112" s="27" t="n">
        <f>26009</f>
        <v>26009.0</v>
      </c>
      <c r="AD112" s="5" t="s">
        <v>441</v>
      </c>
      <c r="AE112" s="28" t="n">
        <f>201</f>
        <v>201.0</v>
      </c>
    </row>
    <row r="113">
      <c r="A113" s="20" t="s">
        <v>423</v>
      </c>
      <c r="B113" s="21" t="s">
        <v>424</v>
      </c>
      <c r="C113" s="22"/>
      <c r="D113" s="23"/>
      <c r="E113" s="24" t="s">
        <v>230</v>
      </c>
      <c r="F113" s="25" t="n">
        <f>245</f>
        <v>245.0</v>
      </c>
      <c r="G113" s="26" t="n">
        <f>200</f>
        <v>200.0</v>
      </c>
      <c r="H113" s="26"/>
      <c r="I113" s="26" t="n">
        <f>200</f>
        <v>200.0</v>
      </c>
      <c r="J113" s="26" t="n">
        <f>1</f>
        <v>1.0</v>
      </c>
      <c r="K113" s="26" t="n">
        <f>1</f>
        <v>1.0</v>
      </c>
      <c r="L113" s="4" t="s">
        <v>442</v>
      </c>
      <c r="M113" s="27" t="n">
        <f>200</f>
        <v>200.0</v>
      </c>
      <c r="N113" s="5" t="s">
        <v>213</v>
      </c>
      <c r="O113" s="28" t="str">
        <f>"－"</f>
        <v>－</v>
      </c>
      <c r="P113" s="3" t="s">
        <v>443</v>
      </c>
      <c r="Q113" s="26"/>
      <c r="R113" s="3" t="s">
        <v>443</v>
      </c>
      <c r="S113" s="26" t="n">
        <f>2032653</f>
        <v>2032653.0</v>
      </c>
      <c r="T113" s="26" t="n">
        <f>2032653</f>
        <v>2032653.0</v>
      </c>
      <c r="U113" s="5" t="s">
        <v>442</v>
      </c>
      <c r="V113" s="28" t="n">
        <f>498000000</f>
        <v>4.98E8</v>
      </c>
      <c r="W113" s="5" t="s">
        <v>213</v>
      </c>
      <c r="X113" s="28" t="str">
        <f>"－"</f>
        <v>－</v>
      </c>
      <c r="Y113" s="28"/>
      <c r="Z113" s="26" t="str">
        <f>"－"</f>
        <v>－</v>
      </c>
      <c r="AA113" s="26" t="str">
        <f>"－"</f>
        <v>－</v>
      </c>
      <c r="AB113" s="4" t="s">
        <v>213</v>
      </c>
      <c r="AC113" s="27" t="n">
        <f>201</f>
        <v>201.0</v>
      </c>
      <c r="AD113" s="5" t="s">
        <v>69</v>
      </c>
      <c r="AE113" s="28" t="str">
        <f>"－"</f>
        <v>－</v>
      </c>
    </row>
    <row r="114">
      <c r="A114" s="20" t="s">
        <v>423</v>
      </c>
      <c r="B114" s="21" t="s">
        <v>424</v>
      </c>
      <c r="C114" s="22"/>
      <c r="D114" s="23"/>
      <c r="E114" s="24" t="s">
        <v>235</v>
      </c>
      <c r="F114" s="25" t="n">
        <f>246</f>
        <v>246.0</v>
      </c>
      <c r="G114" s="26" t="str">
        <f>"－"</f>
        <v>－</v>
      </c>
      <c r="H114" s="26"/>
      <c r="I114" s="26" t="str">
        <f>"－"</f>
        <v>－</v>
      </c>
      <c r="J114" s="26" t="str">
        <f>"－"</f>
        <v>－</v>
      </c>
      <c r="K114" s="26" t="str">
        <f>"－"</f>
        <v>－</v>
      </c>
      <c r="L114" s="4" t="s">
        <v>213</v>
      </c>
      <c r="M114" s="27" t="str">
        <f>"－"</f>
        <v>－</v>
      </c>
      <c r="N114" s="5" t="s">
        <v>213</v>
      </c>
      <c r="O114" s="28" t="str">
        <f>"－"</f>
        <v>－</v>
      </c>
      <c r="P114" s="3" t="s">
        <v>160</v>
      </c>
      <c r="Q114" s="26"/>
      <c r="R114" s="3" t="s">
        <v>160</v>
      </c>
      <c r="S114" s="26" t="str">
        <f>"－"</f>
        <v>－</v>
      </c>
      <c r="T114" s="26" t="str">
        <f>"－"</f>
        <v>－</v>
      </c>
      <c r="U114" s="5" t="s">
        <v>213</v>
      </c>
      <c r="V114" s="28" t="str">
        <f>"－"</f>
        <v>－</v>
      </c>
      <c r="W114" s="5" t="s">
        <v>213</v>
      </c>
      <c r="X114" s="28" t="str">
        <f>"－"</f>
        <v>－</v>
      </c>
      <c r="Y114" s="28"/>
      <c r="Z114" s="26" t="str">
        <f>"－"</f>
        <v>－</v>
      </c>
      <c r="AA114" s="26" t="str">
        <f>"－"</f>
        <v>－</v>
      </c>
      <c r="AB114" s="4" t="s">
        <v>213</v>
      </c>
      <c r="AC114" s="27" t="str">
        <f>"－"</f>
        <v>－</v>
      </c>
      <c r="AD114" s="5" t="s">
        <v>213</v>
      </c>
      <c r="AE114" s="28" t="str">
        <f>"－"</f>
        <v>－</v>
      </c>
    </row>
    <row r="115">
      <c r="A115" s="20" t="s">
        <v>423</v>
      </c>
      <c r="B115" s="21" t="s">
        <v>424</v>
      </c>
      <c r="C115" s="22"/>
      <c r="D115" s="23"/>
      <c r="E115" s="24" t="s">
        <v>240</v>
      </c>
      <c r="F115" s="25" t="n">
        <f>246</f>
        <v>246.0</v>
      </c>
      <c r="G115" s="26" t="str">
        <f>"－"</f>
        <v>－</v>
      </c>
      <c r="H115" s="26"/>
      <c r="I115" s="26" t="str">
        <f>"－"</f>
        <v>－</v>
      </c>
      <c r="J115" s="26" t="str">
        <f>"－"</f>
        <v>－</v>
      </c>
      <c r="K115" s="26" t="str">
        <f>"－"</f>
        <v>－</v>
      </c>
      <c r="L115" s="4" t="s">
        <v>399</v>
      </c>
      <c r="M115" s="27" t="str">
        <f>"－"</f>
        <v>－</v>
      </c>
      <c r="N115" s="5" t="s">
        <v>399</v>
      </c>
      <c r="O115" s="28" t="str">
        <f>"－"</f>
        <v>－</v>
      </c>
      <c r="P115" s="3" t="s">
        <v>160</v>
      </c>
      <c r="Q115" s="26"/>
      <c r="R115" s="3" t="s">
        <v>160</v>
      </c>
      <c r="S115" s="26" t="str">
        <f>"－"</f>
        <v>－</v>
      </c>
      <c r="T115" s="26" t="str">
        <f>"－"</f>
        <v>－</v>
      </c>
      <c r="U115" s="5" t="s">
        <v>399</v>
      </c>
      <c r="V115" s="28" t="str">
        <f>"－"</f>
        <v>－</v>
      </c>
      <c r="W115" s="5" t="s">
        <v>399</v>
      </c>
      <c r="X115" s="28" t="str">
        <f>"－"</f>
        <v>－</v>
      </c>
      <c r="Y115" s="28"/>
      <c r="Z115" s="26" t="str">
        <f>"－"</f>
        <v>－</v>
      </c>
      <c r="AA115" s="26" t="str">
        <f>"－"</f>
        <v>－</v>
      </c>
      <c r="AB115" s="4" t="s">
        <v>399</v>
      </c>
      <c r="AC115" s="27" t="str">
        <f>"－"</f>
        <v>－</v>
      </c>
      <c r="AD115" s="5" t="s">
        <v>399</v>
      </c>
      <c r="AE115" s="28" t="str">
        <f>"－"</f>
        <v>－</v>
      </c>
    </row>
    <row r="116">
      <c r="A116" s="20" t="s">
        <v>423</v>
      </c>
      <c r="B116" s="21" t="s">
        <v>424</v>
      </c>
      <c r="C116" s="22"/>
      <c r="D116" s="23"/>
      <c r="E116" s="24" t="s">
        <v>244</v>
      </c>
      <c r="F116" s="25" t="n">
        <f>245</f>
        <v>245.0</v>
      </c>
      <c r="G116" s="26" t="str">
        <f>"－"</f>
        <v>－</v>
      </c>
      <c r="H116" s="26"/>
      <c r="I116" s="26" t="str">
        <f>"－"</f>
        <v>－</v>
      </c>
      <c r="J116" s="26" t="str">
        <f>"－"</f>
        <v>－</v>
      </c>
      <c r="K116" s="26" t="str">
        <f>"－"</f>
        <v>－</v>
      </c>
      <c r="L116" s="4" t="s">
        <v>389</v>
      </c>
      <c r="M116" s="27" t="str">
        <f>"－"</f>
        <v>－</v>
      </c>
      <c r="N116" s="5" t="s">
        <v>389</v>
      </c>
      <c r="O116" s="28" t="str">
        <f>"－"</f>
        <v>－</v>
      </c>
      <c r="P116" s="3" t="s">
        <v>160</v>
      </c>
      <c r="Q116" s="26"/>
      <c r="R116" s="3" t="s">
        <v>160</v>
      </c>
      <c r="S116" s="26" t="str">
        <f>"－"</f>
        <v>－</v>
      </c>
      <c r="T116" s="26" t="str">
        <f>"－"</f>
        <v>－</v>
      </c>
      <c r="U116" s="5" t="s">
        <v>389</v>
      </c>
      <c r="V116" s="28" t="str">
        <f>"－"</f>
        <v>－</v>
      </c>
      <c r="W116" s="5" t="s">
        <v>389</v>
      </c>
      <c r="X116" s="28" t="str">
        <f>"－"</f>
        <v>－</v>
      </c>
      <c r="Y116" s="28"/>
      <c r="Z116" s="26" t="str">
        <f>"－"</f>
        <v>－</v>
      </c>
      <c r="AA116" s="26" t="str">
        <f>"－"</f>
        <v>－</v>
      </c>
      <c r="AB116" s="4" t="s">
        <v>389</v>
      </c>
      <c r="AC116" s="27" t="str">
        <f>"－"</f>
        <v>－</v>
      </c>
      <c r="AD116" s="5" t="s">
        <v>389</v>
      </c>
      <c r="AE116" s="28" t="str">
        <f>"－"</f>
        <v>－</v>
      </c>
    </row>
    <row r="117">
      <c r="A117" s="20" t="s">
        <v>423</v>
      </c>
      <c r="B117" s="21" t="s">
        <v>424</v>
      </c>
      <c r="C117" s="22"/>
      <c r="D117" s="23"/>
      <c r="E117" s="24" t="s">
        <v>247</v>
      </c>
      <c r="F117" s="25" t="n">
        <f>245</f>
        <v>245.0</v>
      </c>
      <c r="G117" s="26" t="n">
        <f>1218</f>
        <v>1218.0</v>
      </c>
      <c r="H117" s="26"/>
      <c r="I117" s="26" t="n">
        <f>1218</f>
        <v>1218.0</v>
      </c>
      <c r="J117" s="26" t="n">
        <f>5</f>
        <v>5.0</v>
      </c>
      <c r="K117" s="26" t="n">
        <f>5</f>
        <v>5.0</v>
      </c>
      <c r="L117" s="4" t="s">
        <v>250</v>
      </c>
      <c r="M117" s="27" t="n">
        <f>609</f>
        <v>609.0</v>
      </c>
      <c r="N117" s="5" t="s">
        <v>213</v>
      </c>
      <c r="O117" s="28" t="str">
        <f>"－"</f>
        <v>－</v>
      </c>
      <c r="P117" s="3" t="s">
        <v>444</v>
      </c>
      <c r="Q117" s="26"/>
      <c r="R117" s="3" t="s">
        <v>444</v>
      </c>
      <c r="S117" s="26" t="n">
        <f>10996286</f>
        <v>1.0996286E7</v>
      </c>
      <c r="T117" s="26" t="n">
        <f>10996286</f>
        <v>1.0996286E7</v>
      </c>
      <c r="U117" s="5" t="s">
        <v>250</v>
      </c>
      <c r="V117" s="28" t="n">
        <f>1385520000</f>
        <v>1.38552E9</v>
      </c>
      <c r="W117" s="5" t="s">
        <v>213</v>
      </c>
      <c r="X117" s="28" t="str">
        <f>"－"</f>
        <v>－</v>
      </c>
      <c r="Y117" s="28"/>
      <c r="Z117" s="26" t="str">
        <f>"－"</f>
        <v>－</v>
      </c>
      <c r="AA117" s="26" t="str">
        <f>"－"</f>
        <v>－</v>
      </c>
      <c r="AB117" s="4" t="s">
        <v>213</v>
      </c>
      <c r="AC117" s="27" t="str">
        <f>"－"</f>
        <v>－</v>
      </c>
      <c r="AD117" s="5" t="s">
        <v>213</v>
      </c>
      <c r="AE117" s="28" t="str">
        <f>"－"</f>
        <v>－</v>
      </c>
    </row>
    <row r="118">
      <c r="A118" s="20" t="s">
        <v>423</v>
      </c>
      <c r="B118" s="21" t="s">
        <v>424</v>
      </c>
      <c r="C118" s="22"/>
      <c r="D118" s="23"/>
      <c r="E118" s="24" t="s">
        <v>251</v>
      </c>
      <c r="F118" s="25" t="n">
        <f>244</f>
        <v>244.0</v>
      </c>
      <c r="G118" s="26" t="n">
        <f>2904</f>
        <v>2904.0</v>
      </c>
      <c r="H118" s="26"/>
      <c r="I118" s="26" t="n">
        <f>2904</f>
        <v>2904.0</v>
      </c>
      <c r="J118" s="26" t="n">
        <f>12</f>
        <v>12.0</v>
      </c>
      <c r="K118" s="26" t="n">
        <f>12</f>
        <v>12.0</v>
      </c>
      <c r="L118" s="4" t="s">
        <v>306</v>
      </c>
      <c r="M118" s="27" t="n">
        <f>2904</f>
        <v>2904.0</v>
      </c>
      <c r="N118" s="5" t="s">
        <v>213</v>
      </c>
      <c r="O118" s="28" t="str">
        <f>"－"</f>
        <v>－</v>
      </c>
      <c r="P118" s="3" t="s">
        <v>445</v>
      </c>
      <c r="Q118" s="26"/>
      <c r="R118" s="3" t="s">
        <v>445</v>
      </c>
      <c r="S118" s="26" t="n">
        <f>16594455</f>
        <v>1.6594455E7</v>
      </c>
      <c r="T118" s="26" t="n">
        <f>16594455</f>
        <v>1.6594455E7</v>
      </c>
      <c r="U118" s="5" t="s">
        <v>306</v>
      </c>
      <c r="V118" s="28" t="n">
        <f>4049047000</f>
        <v>4.049047E9</v>
      </c>
      <c r="W118" s="5" t="s">
        <v>213</v>
      </c>
      <c r="X118" s="28" t="str">
        <f>"－"</f>
        <v>－</v>
      </c>
      <c r="Y118" s="28"/>
      <c r="Z118" s="26" t="n">
        <f>2904</f>
        <v>2904.0</v>
      </c>
      <c r="AA118" s="26" t="n">
        <f>2904</f>
        <v>2904.0</v>
      </c>
      <c r="AB118" s="4" t="s">
        <v>306</v>
      </c>
      <c r="AC118" s="27" t="n">
        <f>2904</f>
        <v>2904.0</v>
      </c>
      <c r="AD118" s="5" t="s">
        <v>213</v>
      </c>
      <c r="AE118" s="28" t="str">
        <f>"－"</f>
        <v>－</v>
      </c>
    </row>
    <row r="119">
      <c r="A119" s="20" t="s">
        <v>423</v>
      </c>
      <c r="B119" s="21" t="s">
        <v>424</v>
      </c>
      <c r="C119" s="22"/>
      <c r="D119" s="23"/>
      <c r="E119" s="24" t="s">
        <v>255</v>
      </c>
      <c r="F119" s="25" t="n">
        <f>245</f>
        <v>245.0</v>
      </c>
      <c r="G119" s="26" t="n">
        <f>2904</f>
        <v>2904.0</v>
      </c>
      <c r="H119" s="26"/>
      <c r="I119" s="26" t="n">
        <f>2904</f>
        <v>2904.0</v>
      </c>
      <c r="J119" s="26" t="n">
        <f>12</f>
        <v>12.0</v>
      </c>
      <c r="K119" s="26" t="n">
        <f>12</f>
        <v>12.0</v>
      </c>
      <c r="L119" s="4" t="s">
        <v>446</v>
      </c>
      <c r="M119" s="27" t="n">
        <f>2904</f>
        <v>2904.0</v>
      </c>
      <c r="N119" s="5" t="s">
        <v>213</v>
      </c>
      <c r="O119" s="28" t="str">
        <f>"－"</f>
        <v>－</v>
      </c>
      <c r="P119" s="3" t="s">
        <v>447</v>
      </c>
      <c r="Q119" s="26"/>
      <c r="R119" s="3" t="s">
        <v>447</v>
      </c>
      <c r="S119" s="26" t="n">
        <f>17508159</f>
        <v>1.7508159E7</v>
      </c>
      <c r="T119" s="26" t="n">
        <f>17508159</f>
        <v>1.7508159E7</v>
      </c>
      <c r="U119" s="5" t="s">
        <v>446</v>
      </c>
      <c r="V119" s="28" t="n">
        <f>4289499000</f>
        <v>4.289499E9</v>
      </c>
      <c r="W119" s="5" t="s">
        <v>213</v>
      </c>
      <c r="X119" s="28" t="str">
        <f>"－"</f>
        <v>－</v>
      </c>
      <c r="Y119" s="28"/>
      <c r="Z119" s="26" t="n">
        <f>2904</f>
        <v>2904.0</v>
      </c>
      <c r="AA119" s="26" t="str">
        <f>"－"</f>
        <v>－</v>
      </c>
      <c r="AB119" s="4" t="s">
        <v>213</v>
      </c>
      <c r="AC119" s="27" t="n">
        <f>2904</f>
        <v>2904.0</v>
      </c>
      <c r="AD119" s="5" t="s">
        <v>446</v>
      </c>
      <c r="AE119" s="28" t="str">
        <f>"－"</f>
        <v>－</v>
      </c>
    </row>
    <row r="120">
      <c r="A120" s="20" t="s">
        <v>423</v>
      </c>
      <c r="B120" s="21" t="s">
        <v>424</v>
      </c>
      <c r="C120" s="22"/>
      <c r="D120" s="23"/>
      <c r="E120" s="24" t="s">
        <v>258</v>
      </c>
      <c r="F120" s="25" t="n">
        <f>246</f>
        <v>246.0</v>
      </c>
      <c r="G120" s="26" t="str">
        <f>"－"</f>
        <v>－</v>
      </c>
      <c r="H120" s="26"/>
      <c r="I120" s="26" t="str">
        <f>"－"</f>
        <v>－</v>
      </c>
      <c r="J120" s="26" t="str">
        <f>"－"</f>
        <v>－</v>
      </c>
      <c r="K120" s="26" t="str">
        <f>"－"</f>
        <v>－</v>
      </c>
      <c r="L120" s="4" t="s">
        <v>213</v>
      </c>
      <c r="M120" s="27" t="str">
        <f>"－"</f>
        <v>－</v>
      </c>
      <c r="N120" s="5" t="s">
        <v>213</v>
      </c>
      <c r="O120" s="28" t="str">
        <f>"－"</f>
        <v>－</v>
      </c>
      <c r="P120" s="3" t="s">
        <v>160</v>
      </c>
      <c r="Q120" s="26"/>
      <c r="R120" s="3" t="s">
        <v>160</v>
      </c>
      <c r="S120" s="26" t="str">
        <f>"－"</f>
        <v>－</v>
      </c>
      <c r="T120" s="26" t="str">
        <f>"－"</f>
        <v>－</v>
      </c>
      <c r="U120" s="5" t="s">
        <v>213</v>
      </c>
      <c r="V120" s="28" t="str">
        <f>"－"</f>
        <v>－</v>
      </c>
      <c r="W120" s="5" t="s">
        <v>213</v>
      </c>
      <c r="X120" s="28" t="str">
        <f>"－"</f>
        <v>－</v>
      </c>
      <c r="Y120" s="28"/>
      <c r="Z120" s="26" t="str">
        <f>"－"</f>
        <v>－</v>
      </c>
      <c r="AA120" s="26" t="str">
        <f>"－"</f>
        <v>－</v>
      </c>
      <c r="AB120" s="4" t="s">
        <v>213</v>
      </c>
      <c r="AC120" s="27" t="str">
        <f>"－"</f>
        <v>－</v>
      </c>
      <c r="AD120" s="5" t="s">
        <v>213</v>
      </c>
      <c r="AE120" s="28" t="str">
        <f>"－"</f>
        <v>－</v>
      </c>
    </row>
    <row r="121">
      <c r="A121" s="20" t="s">
        <v>423</v>
      </c>
      <c r="B121" s="21" t="s">
        <v>424</v>
      </c>
      <c r="C121" s="22"/>
      <c r="D121" s="23"/>
      <c r="E121" s="24" t="s">
        <v>261</v>
      </c>
      <c r="F121" s="25" t="n">
        <f>245</f>
        <v>245.0</v>
      </c>
      <c r="G121" s="26" t="n">
        <f>4090</f>
        <v>4090.0</v>
      </c>
      <c r="H121" s="26"/>
      <c r="I121" s="26" t="n">
        <f>4090</f>
        <v>4090.0</v>
      </c>
      <c r="J121" s="26" t="n">
        <f>17</f>
        <v>17.0</v>
      </c>
      <c r="K121" s="26" t="n">
        <f>17</f>
        <v>17.0</v>
      </c>
      <c r="L121" s="4" t="s">
        <v>448</v>
      </c>
      <c r="M121" s="27" t="n">
        <f>1750</f>
        <v>1750.0</v>
      </c>
      <c r="N121" s="5" t="s">
        <v>389</v>
      </c>
      <c r="O121" s="28" t="str">
        <f>"－"</f>
        <v>－</v>
      </c>
      <c r="P121" s="3" t="s">
        <v>449</v>
      </c>
      <c r="Q121" s="26"/>
      <c r="R121" s="3" t="s">
        <v>449</v>
      </c>
      <c r="S121" s="26" t="n">
        <f>19916278</f>
        <v>1.9916278E7</v>
      </c>
      <c r="T121" s="26" t="n">
        <f>19916278</f>
        <v>1.9916278E7</v>
      </c>
      <c r="U121" s="5" t="s">
        <v>448</v>
      </c>
      <c r="V121" s="28" t="n">
        <f>2026500000</f>
        <v>2.0265E9</v>
      </c>
      <c r="W121" s="5" t="s">
        <v>389</v>
      </c>
      <c r="X121" s="28" t="str">
        <f>"－"</f>
        <v>－</v>
      </c>
      <c r="Y121" s="28"/>
      <c r="Z121" s="26" t="n">
        <f>3720</f>
        <v>3720.0</v>
      </c>
      <c r="AA121" s="26" t="n">
        <f>150</f>
        <v>150.0</v>
      </c>
      <c r="AB121" s="4" t="s">
        <v>448</v>
      </c>
      <c r="AC121" s="27" t="n">
        <f>1750</f>
        <v>1750.0</v>
      </c>
      <c r="AD121" s="5" t="s">
        <v>389</v>
      </c>
      <c r="AE121" s="28" t="str">
        <f>"－"</f>
        <v>－</v>
      </c>
    </row>
    <row r="122">
      <c r="A122" s="20" t="s">
        <v>423</v>
      </c>
      <c r="B122" s="21" t="s">
        <v>424</v>
      </c>
      <c r="C122" s="22"/>
      <c r="D122" s="23"/>
      <c r="E122" s="24" t="s">
        <v>265</v>
      </c>
      <c r="F122" s="25" t="n">
        <f>245</f>
        <v>245.0</v>
      </c>
      <c r="G122" s="26" t="n">
        <f>21088</f>
        <v>21088.0</v>
      </c>
      <c r="H122" s="26"/>
      <c r="I122" s="26" t="n">
        <f>21088</f>
        <v>21088.0</v>
      </c>
      <c r="J122" s="26" t="n">
        <f>86</f>
        <v>86.0</v>
      </c>
      <c r="K122" s="26" t="n">
        <f>86</f>
        <v>86.0</v>
      </c>
      <c r="L122" s="4" t="s">
        <v>85</v>
      </c>
      <c r="M122" s="27" t="n">
        <f>5248</f>
        <v>5248.0</v>
      </c>
      <c r="N122" s="5" t="s">
        <v>213</v>
      </c>
      <c r="O122" s="28" t="str">
        <f>"－"</f>
        <v>－</v>
      </c>
      <c r="P122" s="3" t="s">
        <v>450</v>
      </c>
      <c r="Q122" s="26"/>
      <c r="R122" s="3" t="s">
        <v>450</v>
      </c>
      <c r="S122" s="26" t="n">
        <f>150310122</f>
        <v>1.50310122E8</v>
      </c>
      <c r="T122" s="26" t="n">
        <f>150310122</f>
        <v>1.50310122E8</v>
      </c>
      <c r="U122" s="5" t="s">
        <v>85</v>
      </c>
      <c r="V122" s="28" t="n">
        <f>8965421000</f>
        <v>8.965421E9</v>
      </c>
      <c r="W122" s="5" t="s">
        <v>213</v>
      </c>
      <c r="X122" s="28" t="str">
        <f>"－"</f>
        <v>－</v>
      </c>
      <c r="Y122" s="28"/>
      <c r="Z122" s="26" t="n">
        <f>5721</f>
        <v>5721.0</v>
      </c>
      <c r="AA122" s="26" t="n">
        <f>2636</f>
        <v>2636.0</v>
      </c>
      <c r="AB122" s="4" t="s">
        <v>243</v>
      </c>
      <c r="AC122" s="27" t="n">
        <f>5003</f>
        <v>5003.0</v>
      </c>
      <c r="AD122" s="5" t="s">
        <v>213</v>
      </c>
      <c r="AE122" s="28" t="n">
        <f>150</f>
        <v>150.0</v>
      </c>
    </row>
    <row r="123">
      <c r="A123" s="20" t="s">
        <v>423</v>
      </c>
      <c r="B123" s="21" t="s">
        <v>424</v>
      </c>
      <c r="C123" s="22"/>
      <c r="D123" s="23"/>
      <c r="E123" s="24" t="s">
        <v>48</v>
      </c>
      <c r="F123" s="25" t="n">
        <f>246</f>
        <v>246.0</v>
      </c>
      <c r="G123" s="26" t="n">
        <f>32240</f>
        <v>32240.0</v>
      </c>
      <c r="H123" s="26"/>
      <c r="I123" s="26" t="n">
        <f>31463</f>
        <v>31463.0</v>
      </c>
      <c r="J123" s="26" t="n">
        <f>131</f>
        <v>131.0</v>
      </c>
      <c r="K123" s="26" t="n">
        <f>128</f>
        <v>128.0</v>
      </c>
      <c r="L123" s="4" t="s">
        <v>127</v>
      </c>
      <c r="M123" s="27" t="n">
        <f>5290</f>
        <v>5290.0</v>
      </c>
      <c r="N123" s="5" t="s">
        <v>213</v>
      </c>
      <c r="O123" s="28" t="str">
        <f>"－"</f>
        <v>－</v>
      </c>
      <c r="P123" s="3" t="s">
        <v>451</v>
      </c>
      <c r="Q123" s="26"/>
      <c r="R123" s="3" t="s">
        <v>452</v>
      </c>
      <c r="S123" s="26" t="n">
        <f>247052346</f>
        <v>2.47052346E8</v>
      </c>
      <c r="T123" s="26" t="n">
        <f>240981663</f>
        <v>2.40981663E8</v>
      </c>
      <c r="U123" s="5" t="s">
        <v>71</v>
      </c>
      <c r="V123" s="28" t="n">
        <f>10047780000</f>
        <v>1.004778E10</v>
      </c>
      <c r="W123" s="5" t="s">
        <v>213</v>
      </c>
      <c r="X123" s="28" t="str">
        <f>"－"</f>
        <v>－</v>
      </c>
      <c r="Y123" s="28"/>
      <c r="Z123" s="26" t="n">
        <f>20833</f>
        <v>20833.0</v>
      </c>
      <c r="AA123" s="26" t="n">
        <f>2678</f>
        <v>2678.0</v>
      </c>
      <c r="AB123" s="4" t="s">
        <v>54</v>
      </c>
      <c r="AC123" s="27" t="n">
        <f>12411</f>
        <v>12411.0</v>
      </c>
      <c r="AD123" s="5" t="s">
        <v>213</v>
      </c>
      <c r="AE123" s="28" t="n">
        <f>2636</f>
        <v>2636.0</v>
      </c>
    </row>
    <row r="124">
      <c r="A124" s="20" t="s">
        <v>423</v>
      </c>
      <c r="B124" s="21" t="s">
        <v>424</v>
      </c>
      <c r="C124" s="22"/>
      <c r="D124" s="23"/>
      <c r="E124" s="24" t="s">
        <v>56</v>
      </c>
      <c r="F124" s="25" t="n">
        <f>245</f>
        <v>245.0</v>
      </c>
      <c r="G124" s="26" t="n">
        <f>14028</f>
        <v>14028.0</v>
      </c>
      <c r="H124" s="26"/>
      <c r="I124" s="26" t="n">
        <f>12902</f>
        <v>12902.0</v>
      </c>
      <c r="J124" s="26" t="n">
        <f>57</f>
        <v>57.0</v>
      </c>
      <c r="K124" s="26" t="n">
        <f>53</f>
        <v>53.0</v>
      </c>
      <c r="L124" s="4" t="s">
        <v>234</v>
      </c>
      <c r="M124" s="27" t="n">
        <f>5004</f>
        <v>5004.0</v>
      </c>
      <c r="N124" s="5" t="s">
        <v>213</v>
      </c>
      <c r="O124" s="28" t="str">
        <f>"－"</f>
        <v>－</v>
      </c>
      <c r="P124" s="3" t="s">
        <v>453</v>
      </c>
      <c r="Q124" s="26"/>
      <c r="R124" s="3" t="s">
        <v>454</v>
      </c>
      <c r="S124" s="26" t="n">
        <f>123958967</f>
        <v>1.23958967E8</v>
      </c>
      <c r="T124" s="26" t="n">
        <f>114313837</f>
        <v>1.14313837E8</v>
      </c>
      <c r="U124" s="5" t="s">
        <v>234</v>
      </c>
      <c r="V124" s="28" t="n">
        <f>11961833000</f>
        <v>1.1961833E10</v>
      </c>
      <c r="W124" s="5" t="s">
        <v>213</v>
      </c>
      <c r="X124" s="28" t="str">
        <f>"－"</f>
        <v>－</v>
      </c>
      <c r="Y124" s="28"/>
      <c r="Z124" s="26" t="n">
        <f>7371</f>
        <v>7371.0</v>
      </c>
      <c r="AA124" s="26" t="n">
        <f>40</f>
        <v>40.0</v>
      </c>
      <c r="AB124" s="4" t="s">
        <v>127</v>
      </c>
      <c r="AC124" s="27" t="n">
        <f>5432</f>
        <v>5432.0</v>
      </c>
      <c r="AD124" s="5" t="s">
        <v>136</v>
      </c>
      <c r="AE124" s="28" t="n">
        <f>8</f>
        <v>8.0</v>
      </c>
    </row>
    <row r="125">
      <c r="A125" s="20" t="s">
        <v>423</v>
      </c>
      <c r="B125" s="21" t="s">
        <v>424</v>
      </c>
      <c r="C125" s="22"/>
      <c r="D125" s="23"/>
      <c r="E125" s="24" t="s">
        <v>63</v>
      </c>
      <c r="F125" s="25" t="n">
        <f>245</f>
        <v>245.0</v>
      </c>
      <c r="G125" s="26" t="n">
        <f>82116</f>
        <v>82116.0</v>
      </c>
      <c r="H125" s="26"/>
      <c r="I125" s="26" t="n">
        <f>81554</f>
        <v>81554.0</v>
      </c>
      <c r="J125" s="26" t="n">
        <f>335</f>
        <v>335.0</v>
      </c>
      <c r="K125" s="26" t="n">
        <f>333</f>
        <v>333.0</v>
      </c>
      <c r="L125" s="4" t="s">
        <v>164</v>
      </c>
      <c r="M125" s="27" t="n">
        <f>26846</f>
        <v>26846.0</v>
      </c>
      <c r="N125" s="5" t="s">
        <v>455</v>
      </c>
      <c r="O125" s="28" t="str">
        <f>"－"</f>
        <v>－</v>
      </c>
      <c r="P125" s="3" t="s">
        <v>456</v>
      </c>
      <c r="Q125" s="26"/>
      <c r="R125" s="3" t="s">
        <v>457</v>
      </c>
      <c r="S125" s="26" t="n">
        <f>617452001</f>
        <v>6.17452001E8</v>
      </c>
      <c r="T125" s="26" t="n">
        <f>613961025</f>
        <v>6.13961025E8</v>
      </c>
      <c r="U125" s="5" t="s">
        <v>164</v>
      </c>
      <c r="V125" s="28" t="n">
        <f>51808243600</f>
        <v>5.18082436E10</v>
      </c>
      <c r="W125" s="5" t="s">
        <v>455</v>
      </c>
      <c r="X125" s="28" t="str">
        <f>"－"</f>
        <v>－</v>
      </c>
      <c r="Y125" s="28"/>
      <c r="Z125" s="26" t="n">
        <f>72171</f>
        <v>72171.0</v>
      </c>
      <c r="AA125" s="26" t="n">
        <f>18337</f>
        <v>18337.0</v>
      </c>
      <c r="AB125" s="4" t="s">
        <v>74</v>
      </c>
      <c r="AC125" s="27" t="n">
        <f>29982</f>
        <v>29982.0</v>
      </c>
      <c r="AD125" s="5" t="s">
        <v>239</v>
      </c>
      <c r="AE125" s="28" t="n">
        <f>21</f>
        <v>21.0</v>
      </c>
    </row>
    <row r="126">
      <c r="A126" s="20" t="s">
        <v>423</v>
      </c>
      <c r="B126" s="21" t="s">
        <v>424</v>
      </c>
      <c r="C126" s="22"/>
      <c r="D126" s="23"/>
      <c r="E126" s="24" t="s">
        <v>70</v>
      </c>
      <c r="F126" s="25" t="n">
        <f>245</f>
        <v>245.0</v>
      </c>
      <c r="G126" s="26" t="n">
        <f>288745</f>
        <v>288745.0</v>
      </c>
      <c r="H126" s="26"/>
      <c r="I126" s="26" t="n">
        <f>286411</f>
        <v>286411.0</v>
      </c>
      <c r="J126" s="26" t="n">
        <f>1179</f>
        <v>1179.0</v>
      </c>
      <c r="K126" s="26" t="n">
        <f>1169</f>
        <v>1169.0</v>
      </c>
      <c r="L126" s="4" t="s">
        <v>71</v>
      </c>
      <c r="M126" s="27" t="n">
        <f>67820</f>
        <v>67820.0</v>
      </c>
      <c r="N126" s="5" t="s">
        <v>399</v>
      </c>
      <c r="O126" s="28" t="str">
        <f>"－"</f>
        <v>－</v>
      </c>
      <c r="P126" s="3" t="s">
        <v>458</v>
      </c>
      <c r="Q126" s="26"/>
      <c r="R126" s="3" t="s">
        <v>459</v>
      </c>
      <c r="S126" s="26" t="n">
        <f>2218696745</f>
        <v>2.218696745E9</v>
      </c>
      <c r="T126" s="26" t="n">
        <f>2200345377</f>
        <v>2.200345377E9</v>
      </c>
      <c r="U126" s="5" t="s">
        <v>71</v>
      </c>
      <c r="V126" s="28" t="n">
        <f>125319621625</f>
        <v>1.25319621625E11</v>
      </c>
      <c r="W126" s="5" t="s">
        <v>399</v>
      </c>
      <c r="X126" s="28" t="str">
        <f>"－"</f>
        <v>－</v>
      </c>
      <c r="Y126" s="28"/>
      <c r="Z126" s="26" t="n">
        <f>165701</f>
        <v>165701.0</v>
      </c>
      <c r="AA126" s="26" t="n">
        <f>42620</f>
        <v>42620.0</v>
      </c>
      <c r="AB126" s="4" t="s">
        <v>164</v>
      </c>
      <c r="AC126" s="27" t="n">
        <f>58048</f>
        <v>58048.0</v>
      </c>
      <c r="AD126" s="5" t="s">
        <v>90</v>
      </c>
      <c r="AE126" s="28" t="n">
        <f>11237</f>
        <v>11237.0</v>
      </c>
    </row>
    <row r="127">
      <c r="A127" s="20" t="s">
        <v>423</v>
      </c>
      <c r="B127" s="21" t="s">
        <v>424</v>
      </c>
      <c r="C127" s="22"/>
      <c r="D127" s="23"/>
      <c r="E127" s="24" t="s">
        <v>76</v>
      </c>
      <c r="F127" s="25" t="n">
        <f>244</f>
        <v>244.0</v>
      </c>
      <c r="G127" s="26" t="n">
        <f>327197</f>
        <v>327197.0</v>
      </c>
      <c r="H127" s="26"/>
      <c r="I127" s="26" t="n">
        <f>325459</f>
        <v>325459.0</v>
      </c>
      <c r="J127" s="26" t="n">
        <f>1341</f>
        <v>1341.0</v>
      </c>
      <c r="K127" s="26" t="n">
        <f>1334</f>
        <v>1334.0</v>
      </c>
      <c r="L127" s="4" t="s">
        <v>97</v>
      </c>
      <c r="M127" s="27" t="n">
        <f>34702</f>
        <v>34702.0</v>
      </c>
      <c r="N127" s="5" t="s">
        <v>222</v>
      </c>
      <c r="O127" s="28" t="str">
        <f>"－"</f>
        <v>－</v>
      </c>
      <c r="P127" s="3" t="s">
        <v>460</v>
      </c>
      <c r="Q127" s="26"/>
      <c r="R127" s="3" t="s">
        <v>461</v>
      </c>
      <c r="S127" s="26" t="n">
        <f>2258709605</f>
        <v>2.258709605E9</v>
      </c>
      <c r="T127" s="26" t="n">
        <f>2246328642</f>
        <v>2.246328642E9</v>
      </c>
      <c r="U127" s="5" t="s">
        <v>97</v>
      </c>
      <c r="V127" s="28" t="n">
        <f>55103824000</f>
        <v>5.5103824E10</v>
      </c>
      <c r="W127" s="5" t="s">
        <v>222</v>
      </c>
      <c r="X127" s="28" t="str">
        <f>"－"</f>
        <v>－</v>
      </c>
      <c r="Y127" s="28"/>
      <c r="Z127" s="26" t="n">
        <f>111592</f>
        <v>111592.0</v>
      </c>
      <c r="AA127" s="26" t="n">
        <f>44895</f>
        <v>44895.0</v>
      </c>
      <c r="AB127" s="4" t="s">
        <v>164</v>
      </c>
      <c r="AC127" s="27" t="n">
        <f>71728</f>
        <v>71728.0</v>
      </c>
      <c r="AD127" s="5" t="s">
        <v>206</v>
      </c>
      <c r="AE127" s="28" t="n">
        <f>14063</f>
        <v>14063.0</v>
      </c>
    </row>
    <row r="128">
      <c r="A128" s="20" t="s">
        <v>423</v>
      </c>
      <c r="B128" s="21" t="s">
        <v>424</v>
      </c>
      <c r="C128" s="22"/>
      <c r="D128" s="23"/>
      <c r="E128" s="24" t="s">
        <v>81</v>
      </c>
      <c r="F128" s="25" t="n">
        <f>241</f>
        <v>241.0</v>
      </c>
      <c r="G128" s="26" t="n">
        <f>448412</f>
        <v>448412.0</v>
      </c>
      <c r="H128" s="26"/>
      <c r="I128" s="26" t="n">
        <f>448252</f>
        <v>448252.0</v>
      </c>
      <c r="J128" s="26" t="n">
        <f>1861</f>
        <v>1861.0</v>
      </c>
      <c r="K128" s="26" t="n">
        <f>1860</f>
        <v>1860.0</v>
      </c>
      <c r="L128" s="4" t="s">
        <v>462</v>
      </c>
      <c r="M128" s="27" t="n">
        <f>76698</f>
        <v>76698.0</v>
      </c>
      <c r="N128" s="5" t="s">
        <v>213</v>
      </c>
      <c r="O128" s="28" t="str">
        <f>"－"</f>
        <v>－</v>
      </c>
      <c r="P128" s="3" t="s">
        <v>463</v>
      </c>
      <c r="Q128" s="26"/>
      <c r="R128" s="3" t="s">
        <v>464</v>
      </c>
      <c r="S128" s="26" t="n">
        <f>2493120233</f>
        <v>2.493120233E9</v>
      </c>
      <c r="T128" s="26" t="n">
        <f>2492181474</f>
        <v>2.492181474E9</v>
      </c>
      <c r="U128" s="5" t="s">
        <v>462</v>
      </c>
      <c r="V128" s="28" t="n">
        <f>103352635000</f>
        <v>1.03352635E11</v>
      </c>
      <c r="W128" s="5" t="s">
        <v>213</v>
      </c>
      <c r="X128" s="28" t="str">
        <f>"－"</f>
        <v>－</v>
      </c>
      <c r="Y128" s="28"/>
      <c r="Z128" s="26" t="n">
        <f>35438</f>
        <v>35438.0</v>
      </c>
      <c r="AA128" s="26" t="n">
        <f>39299</f>
        <v>39299.0</v>
      </c>
      <c r="AB128" s="4" t="s">
        <v>462</v>
      </c>
      <c r="AC128" s="27" t="n">
        <f>82234</f>
        <v>82234.0</v>
      </c>
      <c r="AD128" s="5" t="s">
        <v>131</v>
      </c>
      <c r="AE128" s="28" t="n">
        <f>37870</f>
        <v>37870.0</v>
      </c>
    </row>
    <row r="129">
      <c r="A129" s="20" t="s">
        <v>423</v>
      </c>
      <c r="B129" s="21" t="s">
        <v>424</v>
      </c>
      <c r="C129" s="22"/>
      <c r="D129" s="23"/>
      <c r="E129" s="24" t="s">
        <v>87</v>
      </c>
      <c r="F129" s="25" t="n">
        <f>245</f>
        <v>245.0</v>
      </c>
      <c r="G129" s="26" t="n">
        <f>378829</f>
        <v>378829.0</v>
      </c>
      <c r="H129" s="26"/>
      <c r="I129" s="26" t="n">
        <f>378414</f>
        <v>378414.0</v>
      </c>
      <c r="J129" s="26" t="n">
        <f>1546</f>
        <v>1546.0</v>
      </c>
      <c r="K129" s="26" t="n">
        <f>1545</f>
        <v>1545.0</v>
      </c>
      <c r="L129" s="4" t="s">
        <v>162</v>
      </c>
      <c r="M129" s="27" t="n">
        <f>58588</f>
        <v>58588.0</v>
      </c>
      <c r="N129" s="5" t="s">
        <v>213</v>
      </c>
      <c r="O129" s="28" t="str">
        <f>"－"</f>
        <v>－</v>
      </c>
      <c r="P129" s="3" t="s">
        <v>465</v>
      </c>
      <c r="Q129" s="26"/>
      <c r="R129" s="3" t="s">
        <v>466</v>
      </c>
      <c r="S129" s="26" t="n">
        <f>1991516179</f>
        <v>1.991516179E9</v>
      </c>
      <c r="T129" s="26" t="n">
        <f>1989520689</f>
        <v>1.989520689E9</v>
      </c>
      <c r="U129" s="5" t="s">
        <v>74</v>
      </c>
      <c r="V129" s="28" t="n">
        <f>75794930392</f>
        <v>7.5794930392E10</v>
      </c>
      <c r="W129" s="5" t="s">
        <v>213</v>
      </c>
      <c r="X129" s="28" t="str">
        <f>"－"</f>
        <v>－</v>
      </c>
      <c r="Y129" s="28"/>
      <c r="Z129" s="26" t="n">
        <f>35175</f>
        <v>35175.0</v>
      </c>
      <c r="AA129" s="26" t="n">
        <f>55678</f>
        <v>55678.0</v>
      </c>
      <c r="AB129" s="4" t="s">
        <v>182</v>
      </c>
      <c r="AC129" s="27" t="n">
        <f>65652</f>
        <v>65652.0</v>
      </c>
      <c r="AD129" s="5" t="s">
        <v>132</v>
      </c>
      <c r="AE129" s="28" t="n">
        <f>20485</f>
        <v>20485.0</v>
      </c>
    </row>
    <row r="130">
      <c r="A130" s="20" t="s">
        <v>423</v>
      </c>
      <c r="B130" s="21" t="s">
        <v>424</v>
      </c>
      <c r="C130" s="22"/>
      <c r="D130" s="23"/>
      <c r="E130" s="24" t="s">
        <v>92</v>
      </c>
      <c r="F130" s="25" t="n">
        <f>244</f>
        <v>244.0</v>
      </c>
      <c r="G130" s="26" t="n">
        <f>399009</f>
        <v>399009.0</v>
      </c>
      <c r="H130" s="26"/>
      <c r="I130" s="26" t="n">
        <f>397355</f>
        <v>397355.0</v>
      </c>
      <c r="J130" s="26" t="n">
        <f>1635</f>
        <v>1635.0</v>
      </c>
      <c r="K130" s="26" t="n">
        <f>1629</f>
        <v>1629.0</v>
      </c>
      <c r="L130" s="4" t="s">
        <v>74</v>
      </c>
      <c r="M130" s="27" t="n">
        <f>81354</f>
        <v>81354.0</v>
      </c>
      <c r="N130" s="5" t="s">
        <v>389</v>
      </c>
      <c r="O130" s="28" t="str">
        <f>"－"</f>
        <v>－</v>
      </c>
      <c r="P130" s="3" t="s">
        <v>467</v>
      </c>
      <c r="Q130" s="26"/>
      <c r="R130" s="3" t="s">
        <v>468</v>
      </c>
      <c r="S130" s="26" t="n">
        <f>2399411109</f>
        <v>2.399411109E9</v>
      </c>
      <c r="T130" s="26" t="n">
        <f>2388803851</f>
        <v>2.388803851E9</v>
      </c>
      <c r="U130" s="5" t="s">
        <v>74</v>
      </c>
      <c r="V130" s="28" t="n">
        <f>118391786700</f>
        <v>1.183917867E11</v>
      </c>
      <c r="W130" s="5" t="s">
        <v>389</v>
      </c>
      <c r="X130" s="28" t="str">
        <f>"－"</f>
        <v>－</v>
      </c>
      <c r="Y130" s="28"/>
      <c r="Z130" s="26" t="n">
        <f>20367</f>
        <v>20367.0</v>
      </c>
      <c r="AA130" s="26" t="n">
        <f>36578</f>
        <v>36578.0</v>
      </c>
      <c r="AB130" s="4" t="s">
        <v>149</v>
      </c>
      <c r="AC130" s="27" t="n">
        <f>75869</f>
        <v>75869.0</v>
      </c>
      <c r="AD130" s="5" t="s">
        <v>97</v>
      </c>
      <c r="AE130" s="28" t="n">
        <f>30719</f>
        <v>30719.0</v>
      </c>
    </row>
    <row r="131">
      <c r="A131" s="20" t="s">
        <v>423</v>
      </c>
      <c r="B131" s="21" t="s">
        <v>424</v>
      </c>
      <c r="C131" s="22"/>
      <c r="D131" s="23"/>
      <c r="E131" s="24" t="s">
        <v>98</v>
      </c>
      <c r="F131" s="25" t="n">
        <f>245</f>
        <v>245.0</v>
      </c>
      <c r="G131" s="26" t="n">
        <f>741015</f>
        <v>741015.0</v>
      </c>
      <c r="H131" s="26"/>
      <c r="I131" s="26" t="n">
        <f>737989</f>
        <v>737989.0</v>
      </c>
      <c r="J131" s="26" t="n">
        <f>3025</f>
        <v>3025.0</v>
      </c>
      <c r="K131" s="26" t="n">
        <f>3012</f>
        <v>3012.0</v>
      </c>
      <c r="L131" s="4" t="s">
        <v>469</v>
      </c>
      <c r="M131" s="27" t="n">
        <f>96000</f>
        <v>96000.0</v>
      </c>
      <c r="N131" s="5" t="s">
        <v>213</v>
      </c>
      <c r="O131" s="28" t="str">
        <f>"－"</f>
        <v>－</v>
      </c>
      <c r="P131" s="3" t="s">
        <v>470</v>
      </c>
      <c r="Q131" s="26"/>
      <c r="R131" s="3" t="s">
        <v>471</v>
      </c>
      <c r="S131" s="26" t="n">
        <f>5477809492</f>
        <v>5.477809492E9</v>
      </c>
      <c r="T131" s="26" t="n">
        <f>5454890464</f>
        <v>5.454890464E9</v>
      </c>
      <c r="U131" s="5" t="s">
        <v>469</v>
      </c>
      <c r="V131" s="28" t="n">
        <f>151948000000</f>
        <v>1.51948E11</v>
      </c>
      <c r="W131" s="5" t="s">
        <v>213</v>
      </c>
      <c r="X131" s="28" t="str">
        <f>"－"</f>
        <v>－</v>
      </c>
      <c r="Y131" s="28"/>
      <c r="Z131" s="26" t="n">
        <f>157331</f>
        <v>157331.0</v>
      </c>
      <c r="AA131" s="26" t="n">
        <f>57730</f>
        <v>57730.0</v>
      </c>
      <c r="AB131" s="4" t="s">
        <v>71</v>
      </c>
      <c r="AC131" s="27" t="n">
        <f>129794</f>
        <v>129794.0</v>
      </c>
      <c r="AD131" s="5" t="s">
        <v>472</v>
      </c>
      <c r="AE131" s="28" t="n">
        <f>36348</f>
        <v>36348.0</v>
      </c>
    </row>
    <row r="132">
      <c r="A132" s="20" t="s">
        <v>423</v>
      </c>
      <c r="B132" s="21" t="s">
        <v>424</v>
      </c>
      <c r="C132" s="22"/>
      <c r="D132" s="23"/>
      <c r="E132" s="24" t="s">
        <v>103</v>
      </c>
      <c r="F132" s="25" t="n">
        <f>244</f>
        <v>244.0</v>
      </c>
      <c r="G132" s="26" t="n">
        <f>754997</f>
        <v>754997.0</v>
      </c>
      <c r="H132" s="26"/>
      <c r="I132" s="26" t="n">
        <f>753028</f>
        <v>753028.0</v>
      </c>
      <c r="J132" s="26" t="n">
        <f>3094</f>
        <v>3094.0</v>
      </c>
      <c r="K132" s="26" t="n">
        <f>3086</f>
        <v>3086.0</v>
      </c>
      <c r="L132" s="4" t="s">
        <v>473</v>
      </c>
      <c r="M132" s="27" t="n">
        <f>69977</f>
        <v>69977.0</v>
      </c>
      <c r="N132" s="5" t="s">
        <v>474</v>
      </c>
      <c r="O132" s="28" t="str">
        <f>"－"</f>
        <v>－</v>
      </c>
      <c r="P132" s="3" t="s">
        <v>475</v>
      </c>
      <c r="Q132" s="26"/>
      <c r="R132" s="3" t="s">
        <v>476</v>
      </c>
      <c r="S132" s="26" t="n">
        <f>7930175145</f>
        <v>7.930175145E9</v>
      </c>
      <c r="T132" s="26" t="n">
        <f>7911994260</f>
        <v>7.91199426E9</v>
      </c>
      <c r="U132" s="5" t="s">
        <v>473</v>
      </c>
      <c r="V132" s="28" t="n">
        <f>210953768000</f>
        <v>2.10953768E11</v>
      </c>
      <c r="W132" s="5" t="s">
        <v>474</v>
      </c>
      <c r="X132" s="28" t="str">
        <f>"－"</f>
        <v>－</v>
      </c>
      <c r="Y132" s="28"/>
      <c r="Z132" s="26" t="n">
        <f>267123</f>
        <v>267123.0</v>
      </c>
      <c r="AA132" s="26" t="n">
        <f>74982</f>
        <v>74982.0</v>
      </c>
      <c r="AB132" s="4" t="s">
        <v>473</v>
      </c>
      <c r="AC132" s="27" t="n">
        <f>107382</f>
        <v>107382.0</v>
      </c>
      <c r="AD132" s="5" t="s">
        <v>243</v>
      </c>
      <c r="AE132" s="28" t="n">
        <f>36979</f>
        <v>36979.0</v>
      </c>
    </row>
    <row r="133">
      <c r="A133" s="20" t="s">
        <v>477</v>
      </c>
      <c r="B133" s="21" t="s">
        <v>478</v>
      </c>
      <c r="C133" s="22"/>
      <c r="D133" s="23"/>
      <c r="E133" s="24" t="s">
        <v>247</v>
      </c>
      <c r="F133" s="25" t="n">
        <f>194</f>
        <v>194.0</v>
      </c>
      <c r="G133" s="26" t="n">
        <f>101005</f>
        <v>101005.0</v>
      </c>
      <c r="H133" s="26"/>
      <c r="I133" s="26" t="n">
        <f>65759</f>
        <v>65759.0</v>
      </c>
      <c r="J133" s="26" t="n">
        <f>521</f>
        <v>521.0</v>
      </c>
      <c r="K133" s="26" t="n">
        <f>339</f>
        <v>339.0</v>
      </c>
      <c r="L133" s="4" t="s">
        <v>462</v>
      </c>
      <c r="M133" s="27" t="n">
        <f>9202</f>
        <v>9202.0</v>
      </c>
      <c r="N133" s="5" t="s">
        <v>479</v>
      </c>
      <c r="O133" s="28" t="str">
        <f>"－"</f>
        <v>－</v>
      </c>
      <c r="P133" s="3" t="s">
        <v>480</v>
      </c>
      <c r="Q133" s="26"/>
      <c r="R133" s="3" t="s">
        <v>481</v>
      </c>
      <c r="S133" s="26" t="n">
        <f>536517875</f>
        <v>5.36517875E8</v>
      </c>
      <c r="T133" s="26" t="n">
        <f>338167032</f>
        <v>3.38167032E8</v>
      </c>
      <c r="U133" s="5" t="s">
        <v>462</v>
      </c>
      <c r="V133" s="28" t="n">
        <f>10948010300</f>
        <v>1.09480103E10</v>
      </c>
      <c r="W133" s="5" t="s">
        <v>479</v>
      </c>
      <c r="X133" s="28" t="str">
        <f>"－"</f>
        <v>－</v>
      </c>
      <c r="Y133" s="28"/>
      <c r="Z133" s="26" t="str">
        <f>"－"</f>
        <v>－</v>
      </c>
      <c r="AA133" s="26" t="n">
        <f>3605</f>
        <v>3605.0</v>
      </c>
      <c r="AB133" s="4" t="s">
        <v>175</v>
      </c>
      <c r="AC133" s="27" t="n">
        <f>14224</f>
        <v>14224.0</v>
      </c>
      <c r="AD133" s="5" t="s">
        <v>62</v>
      </c>
      <c r="AE133" s="28" t="n">
        <f>141</f>
        <v>141.0</v>
      </c>
    </row>
    <row r="134">
      <c r="A134" s="20" t="s">
        <v>477</v>
      </c>
      <c r="B134" s="21" t="s">
        <v>478</v>
      </c>
      <c r="C134" s="22"/>
      <c r="D134" s="23"/>
      <c r="E134" s="24" t="s">
        <v>251</v>
      </c>
      <c r="F134" s="25" t="n">
        <f>244</f>
        <v>244.0</v>
      </c>
      <c r="G134" s="26" t="n">
        <f>51307</f>
        <v>51307.0</v>
      </c>
      <c r="H134" s="26"/>
      <c r="I134" s="26" t="n">
        <f>49826</f>
        <v>49826.0</v>
      </c>
      <c r="J134" s="26" t="n">
        <f>210</f>
        <v>210.0</v>
      </c>
      <c r="K134" s="26" t="n">
        <f>204</f>
        <v>204.0</v>
      </c>
      <c r="L134" s="4" t="s">
        <v>162</v>
      </c>
      <c r="M134" s="27" t="n">
        <f>7381</f>
        <v>7381.0</v>
      </c>
      <c r="N134" s="5" t="s">
        <v>309</v>
      </c>
      <c r="O134" s="28" t="str">
        <f>"－"</f>
        <v>－</v>
      </c>
      <c r="P134" s="3" t="s">
        <v>482</v>
      </c>
      <c r="Q134" s="26"/>
      <c r="R134" s="3" t="s">
        <v>483</v>
      </c>
      <c r="S134" s="26" t="n">
        <f>192727655</f>
        <v>1.92727655E8</v>
      </c>
      <c r="T134" s="26" t="n">
        <f>187063207</f>
        <v>1.87063207E8</v>
      </c>
      <c r="U134" s="5" t="s">
        <v>162</v>
      </c>
      <c r="V134" s="28" t="n">
        <f>6217074500</f>
        <v>6.2170745E9</v>
      </c>
      <c r="W134" s="5" t="s">
        <v>309</v>
      </c>
      <c r="X134" s="28" t="str">
        <f>"－"</f>
        <v>－</v>
      </c>
      <c r="Y134" s="28"/>
      <c r="Z134" s="26" t="str">
        <f>"－"</f>
        <v>－</v>
      </c>
      <c r="AA134" s="26" t="n">
        <f>3953</f>
        <v>3953.0</v>
      </c>
      <c r="AB134" s="4" t="s">
        <v>462</v>
      </c>
      <c r="AC134" s="27" t="n">
        <f>7739</f>
        <v>7739.0</v>
      </c>
      <c r="AD134" s="5" t="s">
        <v>213</v>
      </c>
      <c r="AE134" s="28" t="n">
        <f>3606</f>
        <v>3606.0</v>
      </c>
    </row>
    <row r="135">
      <c r="A135" s="20" t="s">
        <v>477</v>
      </c>
      <c r="B135" s="21" t="s">
        <v>478</v>
      </c>
      <c r="C135" s="22"/>
      <c r="D135" s="23"/>
      <c r="E135" s="24" t="s">
        <v>255</v>
      </c>
      <c r="F135" s="25" t="n">
        <f>245</f>
        <v>245.0</v>
      </c>
      <c r="G135" s="26" t="n">
        <f>51054</f>
        <v>51054.0</v>
      </c>
      <c r="H135" s="26"/>
      <c r="I135" s="26" t="n">
        <f>50404</f>
        <v>50404.0</v>
      </c>
      <c r="J135" s="26" t="n">
        <f>208</f>
        <v>208.0</v>
      </c>
      <c r="K135" s="26" t="n">
        <f>206</f>
        <v>206.0</v>
      </c>
      <c r="L135" s="4" t="s">
        <v>74</v>
      </c>
      <c r="M135" s="27" t="n">
        <f>9408</f>
        <v>9408.0</v>
      </c>
      <c r="N135" s="5" t="s">
        <v>213</v>
      </c>
      <c r="O135" s="28" t="str">
        <f>"－"</f>
        <v>－</v>
      </c>
      <c r="P135" s="3" t="s">
        <v>484</v>
      </c>
      <c r="Q135" s="26"/>
      <c r="R135" s="3" t="s">
        <v>485</v>
      </c>
      <c r="S135" s="26" t="n">
        <f>208097319</f>
        <v>2.08097319E8</v>
      </c>
      <c r="T135" s="26" t="n">
        <f>205558111</f>
        <v>2.05558111E8</v>
      </c>
      <c r="U135" s="5" t="s">
        <v>74</v>
      </c>
      <c r="V135" s="28" t="n">
        <f>10321287400</f>
        <v>1.03212874E10</v>
      </c>
      <c r="W135" s="5" t="s">
        <v>213</v>
      </c>
      <c r="X135" s="28" t="str">
        <f>"－"</f>
        <v>－</v>
      </c>
      <c r="Y135" s="28"/>
      <c r="Z135" s="26" t="n">
        <f>1100</f>
        <v>1100.0</v>
      </c>
      <c r="AA135" s="26" t="n">
        <f>5025</f>
        <v>5025.0</v>
      </c>
      <c r="AB135" s="4" t="s">
        <v>162</v>
      </c>
      <c r="AC135" s="27" t="n">
        <f>6362</f>
        <v>6362.0</v>
      </c>
      <c r="AD135" s="5" t="s">
        <v>213</v>
      </c>
      <c r="AE135" s="28" t="n">
        <f>3953</f>
        <v>3953.0</v>
      </c>
    </row>
    <row r="136">
      <c r="A136" s="20" t="s">
        <v>477</v>
      </c>
      <c r="B136" s="21" t="s">
        <v>478</v>
      </c>
      <c r="C136" s="22"/>
      <c r="D136" s="23"/>
      <c r="E136" s="24" t="s">
        <v>258</v>
      </c>
      <c r="F136" s="25" t="n">
        <f>246</f>
        <v>246.0</v>
      </c>
      <c r="G136" s="26" t="n">
        <f>50851</f>
        <v>50851.0</v>
      </c>
      <c r="H136" s="26"/>
      <c r="I136" s="26" t="n">
        <f>50809</f>
        <v>50809.0</v>
      </c>
      <c r="J136" s="26" t="n">
        <f>207</f>
        <v>207.0</v>
      </c>
      <c r="K136" s="26" t="n">
        <f>207</f>
        <v>207.0</v>
      </c>
      <c r="L136" s="4" t="s">
        <v>107</v>
      </c>
      <c r="M136" s="27" t="n">
        <f>9332</f>
        <v>9332.0</v>
      </c>
      <c r="N136" s="5" t="s">
        <v>455</v>
      </c>
      <c r="O136" s="28" t="str">
        <f>"－"</f>
        <v>－</v>
      </c>
      <c r="P136" s="3" t="s">
        <v>486</v>
      </c>
      <c r="Q136" s="26"/>
      <c r="R136" s="3" t="s">
        <v>487</v>
      </c>
      <c r="S136" s="26" t="n">
        <f>196032324</f>
        <v>1.96032324E8</v>
      </c>
      <c r="T136" s="26" t="n">
        <f>195879210</f>
        <v>1.9587921E8</v>
      </c>
      <c r="U136" s="5" t="s">
        <v>107</v>
      </c>
      <c r="V136" s="28" t="n">
        <f>9765480000</f>
        <v>9.76548E9</v>
      </c>
      <c r="W136" s="5" t="s">
        <v>455</v>
      </c>
      <c r="X136" s="28" t="str">
        <f>"－"</f>
        <v>－</v>
      </c>
      <c r="Y136" s="28"/>
      <c r="Z136" s="26" t="n">
        <f>1094</f>
        <v>1094.0</v>
      </c>
      <c r="AA136" s="26" t="n">
        <f>4916</f>
        <v>4916.0</v>
      </c>
      <c r="AB136" s="4" t="s">
        <v>96</v>
      </c>
      <c r="AC136" s="27" t="n">
        <f>7429</f>
        <v>7429.0</v>
      </c>
      <c r="AD136" s="5" t="s">
        <v>488</v>
      </c>
      <c r="AE136" s="28" t="n">
        <f>3804</f>
        <v>3804.0</v>
      </c>
    </row>
    <row r="137">
      <c r="A137" s="20" t="s">
        <v>477</v>
      </c>
      <c r="B137" s="21" t="s">
        <v>478</v>
      </c>
      <c r="C137" s="22"/>
      <c r="D137" s="23"/>
      <c r="E137" s="24" t="s">
        <v>261</v>
      </c>
      <c r="F137" s="25" t="n">
        <f>245</f>
        <v>245.0</v>
      </c>
      <c r="G137" s="26" t="n">
        <f>67938</f>
        <v>67938.0</v>
      </c>
      <c r="H137" s="26"/>
      <c r="I137" s="26" t="n">
        <f>63969</f>
        <v>63969.0</v>
      </c>
      <c r="J137" s="26" t="n">
        <f>277</f>
        <v>277.0</v>
      </c>
      <c r="K137" s="26" t="n">
        <f>261</f>
        <v>261.0</v>
      </c>
      <c r="L137" s="4" t="s">
        <v>54</v>
      </c>
      <c r="M137" s="27" t="n">
        <f>8368</f>
        <v>8368.0</v>
      </c>
      <c r="N137" s="5" t="s">
        <v>389</v>
      </c>
      <c r="O137" s="28" t="str">
        <f>"－"</f>
        <v>－</v>
      </c>
      <c r="P137" s="3" t="s">
        <v>489</v>
      </c>
      <c r="Q137" s="26"/>
      <c r="R137" s="3" t="s">
        <v>490</v>
      </c>
      <c r="S137" s="26" t="n">
        <f>304064563</f>
        <v>3.04064563E8</v>
      </c>
      <c r="T137" s="26" t="n">
        <f>284263718</f>
        <v>2.84263718E8</v>
      </c>
      <c r="U137" s="5" t="s">
        <v>54</v>
      </c>
      <c r="V137" s="28" t="n">
        <f>8712601500</f>
        <v>8.7126015E9</v>
      </c>
      <c r="W137" s="5" t="s">
        <v>389</v>
      </c>
      <c r="X137" s="28" t="str">
        <f>"－"</f>
        <v>－</v>
      </c>
      <c r="Y137" s="28"/>
      <c r="Z137" s="26" t="n">
        <f>18041</f>
        <v>18041.0</v>
      </c>
      <c r="AA137" s="26" t="n">
        <f>3726</f>
        <v>3726.0</v>
      </c>
      <c r="AB137" s="4" t="s">
        <v>74</v>
      </c>
      <c r="AC137" s="27" t="n">
        <f>7879</f>
        <v>7879.0</v>
      </c>
      <c r="AD137" s="5" t="s">
        <v>127</v>
      </c>
      <c r="AE137" s="28" t="n">
        <f>3367</f>
        <v>3367.0</v>
      </c>
    </row>
    <row r="138">
      <c r="A138" s="20" t="s">
        <v>477</v>
      </c>
      <c r="B138" s="21" t="s">
        <v>478</v>
      </c>
      <c r="C138" s="22"/>
      <c r="D138" s="23"/>
      <c r="E138" s="24" t="s">
        <v>265</v>
      </c>
      <c r="F138" s="25" t="n">
        <f>245</f>
        <v>245.0</v>
      </c>
      <c r="G138" s="26" t="n">
        <f>74235</f>
        <v>74235.0</v>
      </c>
      <c r="H138" s="26"/>
      <c r="I138" s="26" t="n">
        <f>65014</f>
        <v>65014.0</v>
      </c>
      <c r="J138" s="26" t="n">
        <f>303</f>
        <v>303.0</v>
      </c>
      <c r="K138" s="26" t="n">
        <f>265</f>
        <v>265.0</v>
      </c>
      <c r="L138" s="4" t="s">
        <v>149</v>
      </c>
      <c r="M138" s="27" t="n">
        <f>10370</f>
        <v>10370.0</v>
      </c>
      <c r="N138" s="5" t="s">
        <v>491</v>
      </c>
      <c r="O138" s="28" t="str">
        <f>"－"</f>
        <v>－</v>
      </c>
      <c r="P138" s="3" t="s">
        <v>492</v>
      </c>
      <c r="Q138" s="26"/>
      <c r="R138" s="3" t="s">
        <v>493</v>
      </c>
      <c r="S138" s="26" t="n">
        <f>430188669</f>
        <v>4.30188669E8</v>
      </c>
      <c r="T138" s="26" t="n">
        <f>378002869</f>
        <v>3.78002869E8</v>
      </c>
      <c r="U138" s="5" t="s">
        <v>149</v>
      </c>
      <c r="V138" s="28" t="n">
        <f>15343533600</f>
        <v>1.53435336E10</v>
      </c>
      <c r="W138" s="5" t="s">
        <v>491</v>
      </c>
      <c r="X138" s="28" t="str">
        <f>"－"</f>
        <v>－</v>
      </c>
      <c r="Y138" s="28"/>
      <c r="Z138" s="26" t="n">
        <f>160</f>
        <v>160.0</v>
      </c>
      <c r="AA138" s="26" t="n">
        <f>6937</f>
        <v>6937.0</v>
      </c>
      <c r="AB138" s="4" t="s">
        <v>182</v>
      </c>
      <c r="AC138" s="27" t="n">
        <f>8358</f>
        <v>8358.0</v>
      </c>
      <c r="AD138" s="5" t="s">
        <v>213</v>
      </c>
      <c r="AE138" s="28" t="n">
        <f>3713</f>
        <v>3713.0</v>
      </c>
    </row>
    <row r="139">
      <c r="A139" s="20" t="s">
        <v>477</v>
      </c>
      <c r="B139" s="21" t="s">
        <v>478</v>
      </c>
      <c r="C139" s="22"/>
      <c r="D139" s="23"/>
      <c r="E139" s="24" t="s">
        <v>48</v>
      </c>
      <c r="F139" s="25" t="n">
        <f>246</f>
        <v>246.0</v>
      </c>
      <c r="G139" s="26" t="n">
        <f>153725</f>
        <v>153725.0</v>
      </c>
      <c r="H139" s="26"/>
      <c r="I139" s="26" t="n">
        <f>145982</f>
        <v>145982.0</v>
      </c>
      <c r="J139" s="26" t="n">
        <f>625</f>
        <v>625.0</v>
      </c>
      <c r="K139" s="26" t="n">
        <f>593</f>
        <v>593.0</v>
      </c>
      <c r="L139" s="4" t="s">
        <v>462</v>
      </c>
      <c r="M139" s="27" t="n">
        <f>16026</f>
        <v>16026.0</v>
      </c>
      <c r="N139" s="5" t="s">
        <v>494</v>
      </c>
      <c r="O139" s="28" t="str">
        <f>"－"</f>
        <v>－</v>
      </c>
      <c r="P139" s="3" t="s">
        <v>495</v>
      </c>
      <c r="Q139" s="26"/>
      <c r="R139" s="3" t="s">
        <v>496</v>
      </c>
      <c r="S139" s="26" t="n">
        <f>1067115880</f>
        <v>1.06711588E9</v>
      </c>
      <c r="T139" s="26" t="n">
        <f>1010849746</f>
        <v>1.010849746E9</v>
      </c>
      <c r="U139" s="5" t="s">
        <v>462</v>
      </c>
      <c r="V139" s="28" t="n">
        <f>25835458500</f>
        <v>2.58354585E10</v>
      </c>
      <c r="W139" s="5" t="s">
        <v>494</v>
      </c>
      <c r="X139" s="28" t="str">
        <f>"－"</f>
        <v>－</v>
      </c>
      <c r="Y139" s="28"/>
      <c r="Z139" s="26" t="n">
        <f>234</f>
        <v>234.0</v>
      </c>
      <c r="AA139" s="26" t="n">
        <f>10921</f>
        <v>10921.0</v>
      </c>
      <c r="AB139" s="4" t="s">
        <v>243</v>
      </c>
      <c r="AC139" s="27" t="n">
        <f>15518</f>
        <v>15518.0</v>
      </c>
      <c r="AD139" s="5" t="s">
        <v>309</v>
      </c>
      <c r="AE139" s="28" t="n">
        <f>6909</f>
        <v>6909.0</v>
      </c>
    </row>
    <row r="140">
      <c r="A140" s="20" t="s">
        <v>477</v>
      </c>
      <c r="B140" s="21" t="s">
        <v>478</v>
      </c>
      <c r="C140" s="22"/>
      <c r="D140" s="23"/>
      <c r="E140" s="24" t="s">
        <v>56</v>
      </c>
      <c r="F140" s="25" t="n">
        <f>245</f>
        <v>245.0</v>
      </c>
      <c r="G140" s="26" t="n">
        <f>203900</f>
        <v>203900.0</v>
      </c>
      <c r="H140" s="26"/>
      <c r="I140" s="26" t="n">
        <f>186611</f>
        <v>186611.0</v>
      </c>
      <c r="J140" s="26" t="n">
        <f>832</f>
        <v>832.0</v>
      </c>
      <c r="K140" s="26" t="n">
        <f>762</f>
        <v>762.0</v>
      </c>
      <c r="L140" s="4" t="s">
        <v>231</v>
      </c>
      <c r="M140" s="27" t="n">
        <f>16830</f>
        <v>16830.0</v>
      </c>
      <c r="N140" s="5" t="s">
        <v>300</v>
      </c>
      <c r="O140" s="28" t="n">
        <f>1</f>
        <v>1.0</v>
      </c>
      <c r="P140" s="3" t="s">
        <v>497</v>
      </c>
      <c r="Q140" s="26"/>
      <c r="R140" s="3" t="s">
        <v>498</v>
      </c>
      <c r="S140" s="26" t="n">
        <f>1459943693</f>
        <v>1.459943693E9</v>
      </c>
      <c r="T140" s="26" t="n">
        <f>1336386215</f>
        <v>1.336386215E9</v>
      </c>
      <c r="U140" s="5" t="s">
        <v>231</v>
      </c>
      <c r="V140" s="28" t="n">
        <f>29150206800</f>
        <v>2.91502068E10</v>
      </c>
      <c r="W140" s="5" t="s">
        <v>300</v>
      </c>
      <c r="X140" s="28" t="n">
        <f>1730000</f>
        <v>1730000.0</v>
      </c>
      <c r="Y140" s="28"/>
      <c r="Z140" s="26" t="n">
        <f>376</f>
        <v>376.0</v>
      </c>
      <c r="AA140" s="26" t="n">
        <f>20057</f>
        <v>20057.0</v>
      </c>
      <c r="AB140" s="4" t="s">
        <v>61</v>
      </c>
      <c r="AC140" s="27" t="n">
        <f>27504</f>
        <v>27504.0</v>
      </c>
      <c r="AD140" s="5" t="s">
        <v>499</v>
      </c>
      <c r="AE140" s="28" t="n">
        <f>8923</f>
        <v>8923.0</v>
      </c>
    </row>
    <row r="141">
      <c r="A141" s="20" t="s">
        <v>477</v>
      </c>
      <c r="B141" s="21" t="s">
        <v>478</v>
      </c>
      <c r="C141" s="22"/>
      <c r="D141" s="23"/>
      <c r="E141" s="24" t="s">
        <v>63</v>
      </c>
      <c r="F141" s="25" t="n">
        <f>245</f>
        <v>245.0</v>
      </c>
      <c r="G141" s="26" t="n">
        <f>253695</f>
        <v>253695.0</v>
      </c>
      <c r="H141" s="26"/>
      <c r="I141" s="26" t="n">
        <f>220385</f>
        <v>220385.0</v>
      </c>
      <c r="J141" s="26" t="n">
        <f>1035</f>
        <v>1035.0</v>
      </c>
      <c r="K141" s="26" t="n">
        <f>900</f>
        <v>900.0</v>
      </c>
      <c r="L141" s="4" t="s">
        <v>217</v>
      </c>
      <c r="M141" s="27" t="n">
        <f>23348</f>
        <v>23348.0</v>
      </c>
      <c r="N141" s="5" t="s">
        <v>500</v>
      </c>
      <c r="O141" s="28" t="n">
        <f>3</f>
        <v>3.0</v>
      </c>
      <c r="P141" s="3" t="s">
        <v>501</v>
      </c>
      <c r="Q141" s="26"/>
      <c r="R141" s="3" t="s">
        <v>502</v>
      </c>
      <c r="S141" s="26" t="n">
        <f>1881710037</f>
        <v>1.881710037E9</v>
      </c>
      <c r="T141" s="26" t="n">
        <f>1636079167</f>
        <v>1.636079167E9</v>
      </c>
      <c r="U141" s="5" t="s">
        <v>217</v>
      </c>
      <c r="V141" s="28" t="n">
        <f>42529776660</f>
        <v>4.252977666E10</v>
      </c>
      <c r="W141" s="5" t="s">
        <v>503</v>
      </c>
      <c r="X141" s="28" t="n">
        <f>5354000</f>
        <v>5354000.0</v>
      </c>
      <c r="Y141" s="28"/>
      <c r="Z141" s="26" t="n">
        <f>3320</f>
        <v>3320.0</v>
      </c>
      <c r="AA141" s="26" t="n">
        <f>19883</f>
        <v>19883.0</v>
      </c>
      <c r="AB141" s="4" t="s">
        <v>68</v>
      </c>
      <c r="AC141" s="27" t="n">
        <f>40435</f>
        <v>40435.0</v>
      </c>
      <c r="AD141" s="5" t="s">
        <v>380</v>
      </c>
      <c r="AE141" s="28" t="n">
        <f>16220</f>
        <v>16220.0</v>
      </c>
    </row>
    <row r="142">
      <c r="A142" s="20" t="s">
        <v>477</v>
      </c>
      <c r="B142" s="21" t="s">
        <v>478</v>
      </c>
      <c r="C142" s="22"/>
      <c r="D142" s="23"/>
      <c r="E142" s="24" t="s">
        <v>70</v>
      </c>
      <c r="F142" s="25" t="n">
        <f>245</f>
        <v>245.0</v>
      </c>
      <c r="G142" s="26" t="n">
        <f>321512</f>
        <v>321512.0</v>
      </c>
      <c r="H142" s="26"/>
      <c r="I142" s="26" t="n">
        <f>264971</f>
        <v>264971.0</v>
      </c>
      <c r="J142" s="26" t="n">
        <f>1312</f>
        <v>1312.0</v>
      </c>
      <c r="K142" s="26" t="n">
        <f>1082</f>
        <v>1082.0</v>
      </c>
      <c r="L142" s="4" t="s">
        <v>188</v>
      </c>
      <c r="M142" s="27" t="n">
        <f>39325</f>
        <v>39325.0</v>
      </c>
      <c r="N142" s="5" t="s">
        <v>179</v>
      </c>
      <c r="O142" s="28" t="str">
        <f>"－"</f>
        <v>－</v>
      </c>
      <c r="P142" s="3" t="s">
        <v>504</v>
      </c>
      <c r="Q142" s="26"/>
      <c r="R142" s="3" t="s">
        <v>505</v>
      </c>
      <c r="S142" s="26" t="n">
        <f>2203471727</f>
        <v>2.203471727E9</v>
      </c>
      <c r="T142" s="26" t="n">
        <f>1817966762</f>
        <v>1.817966762E9</v>
      </c>
      <c r="U142" s="5" t="s">
        <v>188</v>
      </c>
      <c r="V142" s="28" t="n">
        <f>64925184600</f>
        <v>6.49251846E10</v>
      </c>
      <c r="W142" s="5" t="s">
        <v>179</v>
      </c>
      <c r="X142" s="28" t="str">
        <f>"－"</f>
        <v>－</v>
      </c>
      <c r="Y142" s="28"/>
      <c r="Z142" s="26" t="n">
        <f>19782</f>
        <v>19782.0</v>
      </c>
      <c r="AA142" s="26" t="n">
        <f>23461</f>
        <v>23461.0</v>
      </c>
      <c r="AB142" s="4" t="s">
        <v>74</v>
      </c>
      <c r="AC142" s="27" t="n">
        <f>39950</f>
        <v>39950.0</v>
      </c>
      <c r="AD142" s="5" t="s">
        <v>403</v>
      </c>
      <c r="AE142" s="28" t="n">
        <f>19888</f>
        <v>19888.0</v>
      </c>
    </row>
    <row r="143">
      <c r="A143" s="20" t="s">
        <v>477</v>
      </c>
      <c r="B143" s="21" t="s">
        <v>478</v>
      </c>
      <c r="C143" s="22"/>
      <c r="D143" s="23"/>
      <c r="E143" s="24" t="s">
        <v>76</v>
      </c>
      <c r="F143" s="25" t="n">
        <f>244</f>
        <v>244.0</v>
      </c>
      <c r="G143" s="26" t="n">
        <f>352402</f>
        <v>352402.0</v>
      </c>
      <c r="H143" s="26"/>
      <c r="I143" s="26" t="n">
        <f>295682</f>
        <v>295682.0</v>
      </c>
      <c r="J143" s="26" t="n">
        <f>1444</f>
        <v>1444.0</v>
      </c>
      <c r="K143" s="26" t="n">
        <f>1212</f>
        <v>1212.0</v>
      </c>
      <c r="L143" s="4" t="s">
        <v>75</v>
      </c>
      <c r="M143" s="27" t="n">
        <f>35375</f>
        <v>35375.0</v>
      </c>
      <c r="N143" s="5" t="s">
        <v>506</v>
      </c>
      <c r="O143" s="28" t="str">
        <f>"－"</f>
        <v>－</v>
      </c>
      <c r="P143" s="3" t="s">
        <v>507</v>
      </c>
      <c r="Q143" s="26"/>
      <c r="R143" s="3" t="s">
        <v>508</v>
      </c>
      <c r="S143" s="26" t="n">
        <f>2563346540</f>
        <v>2.56334654E9</v>
      </c>
      <c r="T143" s="26" t="n">
        <f>2148659164</f>
        <v>2.148659164E9</v>
      </c>
      <c r="U143" s="5" t="s">
        <v>75</v>
      </c>
      <c r="V143" s="28" t="n">
        <f>61427935250</f>
        <v>6.142793525E10</v>
      </c>
      <c r="W143" s="5" t="s">
        <v>506</v>
      </c>
      <c r="X143" s="28" t="str">
        <f>"－"</f>
        <v>－</v>
      </c>
      <c r="Y143" s="28"/>
      <c r="Z143" s="26" t="n">
        <f>14785</f>
        <v>14785.0</v>
      </c>
      <c r="AA143" s="26" t="n">
        <f>32212</f>
        <v>32212.0</v>
      </c>
      <c r="AB143" s="4" t="s">
        <v>434</v>
      </c>
      <c r="AC143" s="27" t="n">
        <f>50766</f>
        <v>50766.0</v>
      </c>
      <c r="AD143" s="5" t="s">
        <v>427</v>
      </c>
      <c r="AE143" s="28" t="n">
        <f>21196</f>
        <v>21196.0</v>
      </c>
    </row>
    <row r="144">
      <c r="A144" s="20" t="s">
        <v>477</v>
      </c>
      <c r="B144" s="21" t="s">
        <v>478</v>
      </c>
      <c r="C144" s="22"/>
      <c r="D144" s="23"/>
      <c r="E144" s="24" t="s">
        <v>81</v>
      </c>
      <c r="F144" s="25" t="n">
        <f>241</f>
        <v>241.0</v>
      </c>
      <c r="G144" s="26" t="n">
        <f>1022442</f>
        <v>1022442.0</v>
      </c>
      <c r="H144" s="26"/>
      <c r="I144" s="26" t="n">
        <f>774954</f>
        <v>774954.0</v>
      </c>
      <c r="J144" s="26" t="n">
        <f>4242</f>
        <v>4242.0</v>
      </c>
      <c r="K144" s="26" t="n">
        <f>3216</f>
        <v>3216.0</v>
      </c>
      <c r="L144" s="4" t="s">
        <v>53</v>
      </c>
      <c r="M144" s="27" t="n">
        <f>61450</f>
        <v>61450.0</v>
      </c>
      <c r="N144" s="5" t="s">
        <v>494</v>
      </c>
      <c r="O144" s="28" t="n">
        <f>61</f>
        <v>61.0</v>
      </c>
      <c r="P144" s="3" t="s">
        <v>509</v>
      </c>
      <c r="Q144" s="26"/>
      <c r="R144" s="3" t="s">
        <v>510</v>
      </c>
      <c r="S144" s="26" t="n">
        <f>8628906111</f>
        <v>8.628906111E9</v>
      </c>
      <c r="T144" s="26" t="n">
        <f>6485735290</f>
        <v>6.48573529E9</v>
      </c>
      <c r="U144" s="5" t="s">
        <v>53</v>
      </c>
      <c r="V144" s="28" t="n">
        <f>112479136650</f>
        <v>1.1247913665E11</v>
      </c>
      <c r="W144" s="5" t="s">
        <v>494</v>
      </c>
      <c r="X144" s="28" t="n">
        <f>114566000</f>
        <v>1.14566E8</v>
      </c>
      <c r="Y144" s="28"/>
      <c r="Z144" s="26" t="n">
        <f>12041</f>
        <v>12041.0</v>
      </c>
      <c r="AA144" s="26" t="n">
        <f>71398</f>
        <v>71398.0</v>
      </c>
      <c r="AB144" s="4" t="s">
        <v>85</v>
      </c>
      <c r="AC144" s="27" t="n">
        <f>120536</f>
        <v>120536.0</v>
      </c>
      <c r="AD144" s="5" t="s">
        <v>213</v>
      </c>
      <c r="AE144" s="28" t="n">
        <f>32230</f>
        <v>32230.0</v>
      </c>
    </row>
    <row r="145">
      <c r="A145" s="20" t="s">
        <v>477</v>
      </c>
      <c r="B145" s="21" t="s">
        <v>478</v>
      </c>
      <c r="C145" s="22"/>
      <c r="D145" s="23"/>
      <c r="E145" s="24" t="s">
        <v>87</v>
      </c>
      <c r="F145" s="25" t="n">
        <f>245</f>
        <v>245.0</v>
      </c>
      <c r="G145" s="26" t="n">
        <f>922486</f>
        <v>922486.0</v>
      </c>
      <c r="H145" s="26"/>
      <c r="I145" s="26" t="n">
        <f>710920</f>
        <v>710920.0</v>
      </c>
      <c r="J145" s="26" t="n">
        <f>3765</f>
        <v>3765.0</v>
      </c>
      <c r="K145" s="26" t="n">
        <f>2902</f>
        <v>2902.0</v>
      </c>
      <c r="L145" s="4" t="s">
        <v>231</v>
      </c>
      <c r="M145" s="27" t="n">
        <f>81784</f>
        <v>81784.0</v>
      </c>
      <c r="N145" s="5" t="s">
        <v>511</v>
      </c>
      <c r="O145" s="28" t="n">
        <f>69</f>
        <v>69.0</v>
      </c>
      <c r="P145" s="3" t="s">
        <v>512</v>
      </c>
      <c r="Q145" s="26"/>
      <c r="R145" s="3" t="s">
        <v>513</v>
      </c>
      <c r="S145" s="26" t="n">
        <f>6574836130</f>
        <v>6.57483613E9</v>
      </c>
      <c r="T145" s="26" t="n">
        <f>5062452524</f>
        <v>5.062452524E9</v>
      </c>
      <c r="U145" s="5" t="s">
        <v>231</v>
      </c>
      <c r="V145" s="28" t="n">
        <f>137580586480</f>
        <v>1.3758058648E11</v>
      </c>
      <c r="W145" s="5" t="s">
        <v>511</v>
      </c>
      <c r="X145" s="28" t="n">
        <f>116447000</f>
        <v>1.16447E8</v>
      </c>
      <c r="Y145" s="28"/>
      <c r="Z145" s="26" t="n">
        <f>22324</f>
        <v>22324.0</v>
      </c>
      <c r="AA145" s="26" t="n">
        <f>57020</f>
        <v>57020.0</v>
      </c>
      <c r="AB145" s="4" t="s">
        <v>234</v>
      </c>
      <c r="AC145" s="27" t="n">
        <f>110019</f>
        <v>110019.0</v>
      </c>
      <c r="AD145" s="5" t="s">
        <v>91</v>
      </c>
      <c r="AE145" s="28" t="n">
        <f>56679</f>
        <v>56679.0</v>
      </c>
    </row>
    <row r="146">
      <c r="A146" s="20" t="s">
        <v>477</v>
      </c>
      <c r="B146" s="21" t="s">
        <v>478</v>
      </c>
      <c r="C146" s="22"/>
      <c r="D146" s="23"/>
      <c r="E146" s="24" t="s">
        <v>92</v>
      </c>
      <c r="F146" s="25" t="n">
        <f>244</f>
        <v>244.0</v>
      </c>
      <c r="G146" s="26" t="n">
        <f>855712</f>
        <v>855712.0</v>
      </c>
      <c r="H146" s="26"/>
      <c r="I146" s="26" t="n">
        <f>729555</f>
        <v>729555.0</v>
      </c>
      <c r="J146" s="26" t="n">
        <f>3507</f>
        <v>3507.0</v>
      </c>
      <c r="K146" s="26" t="n">
        <f>2990</f>
        <v>2990.0</v>
      </c>
      <c r="L146" s="4" t="s">
        <v>164</v>
      </c>
      <c r="M146" s="27" t="n">
        <f>69258</f>
        <v>69258.0</v>
      </c>
      <c r="N146" s="5" t="s">
        <v>514</v>
      </c>
      <c r="O146" s="28" t="n">
        <f>41</f>
        <v>41.0</v>
      </c>
      <c r="P146" s="3" t="s">
        <v>515</v>
      </c>
      <c r="Q146" s="26"/>
      <c r="R146" s="3" t="s">
        <v>516</v>
      </c>
      <c r="S146" s="26" t="n">
        <f>7110888236</f>
        <v>7.110888236E9</v>
      </c>
      <c r="T146" s="26" t="n">
        <f>6061171481</f>
        <v>6.061171481E9</v>
      </c>
      <c r="U146" s="5" t="s">
        <v>164</v>
      </c>
      <c r="V146" s="28" t="n">
        <f>130058875240</f>
        <v>1.3005887524E11</v>
      </c>
      <c r="W146" s="5" t="s">
        <v>514</v>
      </c>
      <c r="X146" s="28" t="n">
        <f>87361840</f>
        <v>8.736184E7</v>
      </c>
      <c r="Y146" s="28"/>
      <c r="Z146" s="26" t="n">
        <f>10351</f>
        <v>10351.0</v>
      </c>
      <c r="AA146" s="26" t="n">
        <f>73190</f>
        <v>73190.0</v>
      </c>
      <c r="AB146" s="4" t="s">
        <v>61</v>
      </c>
      <c r="AC146" s="27" t="n">
        <f>86004</f>
        <v>86004.0</v>
      </c>
      <c r="AD146" s="5" t="s">
        <v>517</v>
      </c>
      <c r="AE146" s="28" t="n">
        <f>57241</f>
        <v>57241.0</v>
      </c>
    </row>
    <row r="147">
      <c r="A147" s="20" t="s">
        <v>477</v>
      </c>
      <c r="B147" s="21" t="s">
        <v>478</v>
      </c>
      <c r="C147" s="22"/>
      <c r="D147" s="23"/>
      <c r="E147" s="24" t="s">
        <v>98</v>
      </c>
      <c r="F147" s="25" t="n">
        <f>245</f>
        <v>245.0</v>
      </c>
      <c r="G147" s="26" t="n">
        <f>1056821</f>
        <v>1056821.0</v>
      </c>
      <c r="H147" s="26"/>
      <c r="I147" s="26" t="n">
        <f>919660</f>
        <v>919660.0</v>
      </c>
      <c r="J147" s="26" t="n">
        <f>4314</f>
        <v>4314.0</v>
      </c>
      <c r="K147" s="26" t="n">
        <f>3754</f>
        <v>3754.0</v>
      </c>
      <c r="L147" s="4" t="s">
        <v>217</v>
      </c>
      <c r="M147" s="27" t="n">
        <f>73217</f>
        <v>73217.0</v>
      </c>
      <c r="N147" s="5" t="s">
        <v>518</v>
      </c>
      <c r="O147" s="28" t="n">
        <f>52</f>
        <v>52.0</v>
      </c>
      <c r="P147" s="3" t="s">
        <v>519</v>
      </c>
      <c r="Q147" s="26"/>
      <c r="R147" s="3" t="s">
        <v>520</v>
      </c>
      <c r="S147" s="26" t="n">
        <f>8299383407</f>
        <v>8.299383407E9</v>
      </c>
      <c r="T147" s="26" t="n">
        <f>7220049480</f>
        <v>7.22004948E9</v>
      </c>
      <c r="U147" s="5" t="s">
        <v>217</v>
      </c>
      <c r="V147" s="28" t="n">
        <f>147449600010</f>
        <v>1.4744960001E11</v>
      </c>
      <c r="W147" s="5" t="s">
        <v>518</v>
      </c>
      <c r="X147" s="28" t="n">
        <f>101013000</f>
        <v>1.01013E8</v>
      </c>
      <c r="Y147" s="28"/>
      <c r="Z147" s="26" t="n">
        <f>22938</f>
        <v>22938.0</v>
      </c>
      <c r="AA147" s="26" t="n">
        <f>98661</f>
        <v>98661.0</v>
      </c>
      <c r="AB147" s="4" t="s">
        <v>195</v>
      </c>
      <c r="AC147" s="27" t="n">
        <f>118319</f>
        <v>118319.0</v>
      </c>
      <c r="AD147" s="5" t="s">
        <v>521</v>
      </c>
      <c r="AE147" s="28" t="n">
        <f>58147</f>
        <v>58147.0</v>
      </c>
    </row>
    <row r="148">
      <c r="A148" s="20" t="s">
        <v>477</v>
      </c>
      <c r="B148" s="21" t="s">
        <v>478</v>
      </c>
      <c r="C148" s="22"/>
      <c r="D148" s="23"/>
      <c r="E148" s="24" t="s">
        <v>103</v>
      </c>
      <c r="F148" s="25" t="n">
        <f>244</f>
        <v>244.0</v>
      </c>
      <c r="G148" s="26" t="n">
        <f>1327858</f>
        <v>1327858.0</v>
      </c>
      <c r="H148" s="26"/>
      <c r="I148" s="26" t="n">
        <f>1126457</f>
        <v>1126457.0</v>
      </c>
      <c r="J148" s="26" t="n">
        <f>5442</f>
        <v>5442.0</v>
      </c>
      <c r="K148" s="26" t="n">
        <f>4617</f>
        <v>4617.0</v>
      </c>
      <c r="L148" s="4" t="s">
        <v>104</v>
      </c>
      <c r="M148" s="27" t="n">
        <f>101661</f>
        <v>101661.0</v>
      </c>
      <c r="N148" s="5" t="s">
        <v>239</v>
      </c>
      <c r="O148" s="28" t="n">
        <f>50</f>
        <v>50.0</v>
      </c>
      <c r="P148" s="3" t="s">
        <v>522</v>
      </c>
      <c r="Q148" s="26"/>
      <c r="R148" s="3" t="s">
        <v>523</v>
      </c>
      <c r="S148" s="26" t="n">
        <f>9860755259</f>
        <v>9.860755259E9</v>
      </c>
      <c r="T148" s="26" t="n">
        <f>8367680594</f>
        <v>8.367680594E9</v>
      </c>
      <c r="U148" s="5" t="s">
        <v>364</v>
      </c>
      <c r="V148" s="28" t="n">
        <f>179978503320</f>
        <v>1.7997850332E11</v>
      </c>
      <c r="W148" s="5" t="s">
        <v>239</v>
      </c>
      <c r="X148" s="28" t="n">
        <f>91760000</f>
        <v>9.176E7</v>
      </c>
      <c r="Y148" s="28"/>
      <c r="Z148" s="26" t="n">
        <f>52713</f>
        <v>52713.0</v>
      </c>
      <c r="AA148" s="26" t="n">
        <f>71864</f>
        <v>71864.0</v>
      </c>
      <c r="AB148" s="4" t="s">
        <v>524</v>
      </c>
      <c r="AC148" s="27" t="n">
        <f>123421</f>
        <v>123421.0</v>
      </c>
      <c r="AD148" s="5" t="s">
        <v>161</v>
      </c>
      <c r="AE148" s="28" t="n">
        <f>71041</f>
        <v>71041.0</v>
      </c>
    </row>
    <row r="149">
      <c r="A149" s="20" t="s">
        <v>525</v>
      </c>
      <c r="B149" s="21" t="s">
        <v>526</v>
      </c>
      <c r="C149" s="22"/>
      <c r="D149" s="23"/>
      <c r="E149" s="24" t="s">
        <v>48</v>
      </c>
      <c r="F149" s="25" t="n">
        <f>81</f>
        <v>81.0</v>
      </c>
      <c r="G149" s="26" t="str">
        <f>"－"</f>
        <v>－</v>
      </c>
      <c r="H149" s="26"/>
      <c r="I149" s="26" t="str">
        <f>"－"</f>
        <v>－</v>
      </c>
      <c r="J149" s="26" t="str">
        <f>"－"</f>
        <v>－</v>
      </c>
      <c r="K149" s="26" t="str">
        <f>"－"</f>
        <v>－</v>
      </c>
      <c r="L149" s="4" t="s">
        <v>524</v>
      </c>
      <c r="M149" s="27" t="str">
        <f>"－"</f>
        <v>－</v>
      </c>
      <c r="N149" s="5" t="s">
        <v>524</v>
      </c>
      <c r="O149" s="28" t="str">
        <f>"－"</f>
        <v>－</v>
      </c>
      <c r="P149" s="3" t="s">
        <v>160</v>
      </c>
      <c r="Q149" s="26"/>
      <c r="R149" s="3" t="s">
        <v>160</v>
      </c>
      <c r="S149" s="26" t="str">
        <f>"－"</f>
        <v>－</v>
      </c>
      <c r="T149" s="26" t="str">
        <f>"－"</f>
        <v>－</v>
      </c>
      <c r="U149" s="5" t="s">
        <v>524</v>
      </c>
      <c r="V149" s="28" t="str">
        <f>"－"</f>
        <v>－</v>
      </c>
      <c r="W149" s="5" t="s">
        <v>524</v>
      </c>
      <c r="X149" s="28" t="str">
        <f>"－"</f>
        <v>－</v>
      </c>
      <c r="Y149" s="28"/>
      <c r="Z149" s="26" t="str">
        <f>"－"</f>
        <v>－</v>
      </c>
      <c r="AA149" s="26" t="str">
        <f>"－"</f>
        <v>－</v>
      </c>
      <c r="AB149" s="4" t="s">
        <v>524</v>
      </c>
      <c r="AC149" s="27" t="str">
        <f>"－"</f>
        <v>－</v>
      </c>
      <c r="AD149" s="5" t="s">
        <v>524</v>
      </c>
      <c r="AE149" s="28" t="str">
        <f>"－"</f>
        <v>－</v>
      </c>
    </row>
    <row r="150">
      <c r="A150" s="20" t="s">
        <v>525</v>
      </c>
      <c r="B150" s="21" t="s">
        <v>526</v>
      </c>
      <c r="C150" s="22"/>
      <c r="D150" s="23"/>
      <c r="E150" s="24" t="s">
        <v>56</v>
      </c>
      <c r="F150" s="25" t="n">
        <f>245</f>
        <v>245.0</v>
      </c>
      <c r="G150" s="26" t="str">
        <f>"－"</f>
        <v>－</v>
      </c>
      <c r="H150" s="26"/>
      <c r="I150" s="26" t="str">
        <f>"－"</f>
        <v>－</v>
      </c>
      <c r="J150" s="26" t="str">
        <f>"－"</f>
        <v>－</v>
      </c>
      <c r="K150" s="26" t="str">
        <f>"－"</f>
        <v>－</v>
      </c>
      <c r="L150" s="4" t="s">
        <v>213</v>
      </c>
      <c r="M150" s="27" t="str">
        <f>"－"</f>
        <v>－</v>
      </c>
      <c r="N150" s="5" t="s">
        <v>213</v>
      </c>
      <c r="O150" s="28" t="str">
        <f>"－"</f>
        <v>－</v>
      </c>
      <c r="P150" s="3" t="s">
        <v>160</v>
      </c>
      <c r="Q150" s="26"/>
      <c r="R150" s="3" t="s">
        <v>160</v>
      </c>
      <c r="S150" s="26" t="str">
        <f>"－"</f>
        <v>－</v>
      </c>
      <c r="T150" s="26" t="str">
        <f>"－"</f>
        <v>－</v>
      </c>
      <c r="U150" s="5" t="s">
        <v>213</v>
      </c>
      <c r="V150" s="28" t="str">
        <f>"－"</f>
        <v>－</v>
      </c>
      <c r="W150" s="5" t="s">
        <v>213</v>
      </c>
      <c r="X150" s="28" t="str">
        <f>"－"</f>
        <v>－</v>
      </c>
      <c r="Y150" s="28"/>
      <c r="Z150" s="26" t="str">
        <f>"－"</f>
        <v>－</v>
      </c>
      <c r="AA150" s="26" t="str">
        <f>"－"</f>
        <v>－</v>
      </c>
      <c r="AB150" s="4" t="s">
        <v>213</v>
      </c>
      <c r="AC150" s="27" t="str">
        <f>"－"</f>
        <v>－</v>
      </c>
      <c r="AD150" s="5" t="s">
        <v>213</v>
      </c>
      <c r="AE150" s="28" t="str">
        <f>"－"</f>
        <v>－</v>
      </c>
    </row>
    <row r="151">
      <c r="A151" s="20" t="s">
        <v>525</v>
      </c>
      <c r="B151" s="21" t="s">
        <v>526</v>
      </c>
      <c r="C151" s="22"/>
      <c r="D151" s="23"/>
      <c r="E151" s="24" t="s">
        <v>63</v>
      </c>
      <c r="F151" s="25" t="n">
        <f>245</f>
        <v>245.0</v>
      </c>
      <c r="G151" s="26" t="str">
        <f>"－"</f>
        <v>－</v>
      </c>
      <c r="H151" s="26"/>
      <c r="I151" s="26" t="str">
        <f>"－"</f>
        <v>－</v>
      </c>
      <c r="J151" s="26" t="str">
        <f>"－"</f>
        <v>－</v>
      </c>
      <c r="K151" s="26" t="str">
        <f>"－"</f>
        <v>－</v>
      </c>
      <c r="L151" s="4" t="s">
        <v>213</v>
      </c>
      <c r="M151" s="27" t="str">
        <f>"－"</f>
        <v>－</v>
      </c>
      <c r="N151" s="5" t="s">
        <v>213</v>
      </c>
      <c r="O151" s="28" t="str">
        <f>"－"</f>
        <v>－</v>
      </c>
      <c r="P151" s="3" t="s">
        <v>160</v>
      </c>
      <c r="Q151" s="26"/>
      <c r="R151" s="3" t="s">
        <v>160</v>
      </c>
      <c r="S151" s="26" t="str">
        <f>"－"</f>
        <v>－</v>
      </c>
      <c r="T151" s="26" t="str">
        <f>"－"</f>
        <v>－</v>
      </c>
      <c r="U151" s="5" t="s">
        <v>213</v>
      </c>
      <c r="V151" s="28" t="str">
        <f>"－"</f>
        <v>－</v>
      </c>
      <c r="W151" s="5" t="s">
        <v>213</v>
      </c>
      <c r="X151" s="28" t="str">
        <f>"－"</f>
        <v>－</v>
      </c>
      <c r="Y151" s="28"/>
      <c r="Z151" s="26" t="str">
        <f>"－"</f>
        <v>－</v>
      </c>
      <c r="AA151" s="26" t="str">
        <f>"－"</f>
        <v>－</v>
      </c>
      <c r="AB151" s="4" t="s">
        <v>213</v>
      </c>
      <c r="AC151" s="27" t="str">
        <f>"－"</f>
        <v>－</v>
      </c>
      <c r="AD151" s="5" t="s">
        <v>213</v>
      </c>
      <c r="AE151" s="28" t="str">
        <f>"－"</f>
        <v>－</v>
      </c>
    </row>
    <row r="152">
      <c r="A152" s="20" t="s">
        <v>525</v>
      </c>
      <c r="B152" s="21" t="s">
        <v>526</v>
      </c>
      <c r="C152" s="22"/>
      <c r="D152" s="23"/>
      <c r="E152" s="24" t="s">
        <v>70</v>
      </c>
      <c r="F152" s="25" t="n">
        <f>245</f>
        <v>245.0</v>
      </c>
      <c r="G152" s="26" t="str">
        <f>"－"</f>
        <v>－</v>
      </c>
      <c r="H152" s="26"/>
      <c r="I152" s="26" t="str">
        <f>"－"</f>
        <v>－</v>
      </c>
      <c r="J152" s="26" t="str">
        <f>"－"</f>
        <v>－</v>
      </c>
      <c r="K152" s="26" t="str">
        <f>"－"</f>
        <v>－</v>
      </c>
      <c r="L152" s="4" t="s">
        <v>399</v>
      </c>
      <c r="M152" s="27" t="str">
        <f>"－"</f>
        <v>－</v>
      </c>
      <c r="N152" s="5" t="s">
        <v>399</v>
      </c>
      <c r="O152" s="28" t="str">
        <f>"－"</f>
        <v>－</v>
      </c>
      <c r="P152" s="3" t="s">
        <v>160</v>
      </c>
      <c r="Q152" s="26"/>
      <c r="R152" s="3" t="s">
        <v>160</v>
      </c>
      <c r="S152" s="26" t="str">
        <f>"－"</f>
        <v>－</v>
      </c>
      <c r="T152" s="26" t="str">
        <f>"－"</f>
        <v>－</v>
      </c>
      <c r="U152" s="5" t="s">
        <v>399</v>
      </c>
      <c r="V152" s="28" t="str">
        <f>"－"</f>
        <v>－</v>
      </c>
      <c r="W152" s="5" t="s">
        <v>399</v>
      </c>
      <c r="X152" s="28" t="str">
        <f>"－"</f>
        <v>－</v>
      </c>
      <c r="Y152" s="28"/>
      <c r="Z152" s="26" t="str">
        <f>"－"</f>
        <v>－</v>
      </c>
      <c r="AA152" s="26" t="str">
        <f>"－"</f>
        <v>－</v>
      </c>
      <c r="AB152" s="4" t="s">
        <v>399</v>
      </c>
      <c r="AC152" s="27" t="str">
        <f>"－"</f>
        <v>－</v>
      </c>
      <c r="AD152" s="5" t="s">
        <v>399</v>
      </c>
      <c r="AE152" s="28" t="str">
        <f>"－"</f>
        <v>－</v>
      </c>
    </row>
    <row r="153">
      <c r="A153" s="20" t="s">
        <v>525</v>
      </c>
      <c r="B153" s="21" t="s">
        <v>526</v>
      </c>
      <c r="C153" s="22"/>
      <c r="D153" s="23"/>
      <c r="E153" s="24" t="s">
        <v>76</v>
      </c>
      <c r="F153" s="25" t="n">
        <f>244</f>
        <v>244.0</v>
      </c>
      <c r="G153" s="26" t="str">
        <f>"－"</f>
        <v>－</v>
      </c>
      <c r="H153" s="26"/>
      <c r="I153" s="26" t="str">
        <f>"－"</f>
        <v>－</v>
      </c>
      <c r="J153" s="26" t="str">
        <f>"－"</f>
        <v>－</v>
      </c>
      <c r="K153" s="26" t="str">
        <f>"－"</f>
        <v>－</v>
      </c>
      <c r="L153" s="4" t="s">
        <v>389</v>
      </c>
      <c r="M153" s="27" t="str">
        <f>"－"</f>
        <v>－</v>
      </c>
      <c r="N153" s="5" t="s">
        <v>389</v>
      </c>
      <c r="O153" s="28" t="str">
        <f>"－"</f>
        <v>－</v>
      </c>
      <c r="P153" s="3" t="s">
        <v>160</v>
      </c>
      <c r="Q153" s="26"/>
      <c r="R153" s="3" t="s">
        <v>160</v>
      </c>
      <c r="S153" s="26" t="str">
        <f>"－"</f>
        <v>－</v>
      </c>
      <c r="T153" s="26" t="str">
        <f>"－"</f>
        <v>－</v>
      </c>
      <c r="U153" s="5" t="s">
        <v>389</v>
      </c>
      <c r="V153" s="28" t="str">
        <f>"－"</f>
        <v>－</v>
      </c>
      <c r="W153" s="5" t="s">
        <v>389</v>
      </c>
      <c r="X153" s="28" t="str">
        <f>"－"</f>
        <v>－</v>
      </c>
      <c r="Y153" s="28"/>
      <c r="Z153" s="26" t="str">
        <f>"－"</f>
        <v>－</v>
      </c>
      <c r="AA153" s="26" t="str">
        <f>"－"</f>
        <v>－</v>
      </c>
      <c r="AB153" s="4" t="s">
        <v>389</v>
      </c>
      <c r="AC153" s="27" t="str">
        <f>"－"</f>
        <v>－</v>
      </c>
      <c r="AD153" s="5" t="s">
        <v>389</v>
      </c>
      <c r="AE153" s="28" t="str">
        <f>"－"</f>
        <v>－</v>
      </c>
    </row>
    <row r="154">
      <c r="A154" s="20" t="s">
        <v>525</v>
      </c>
      <c r="B154" s="21" t="s">
        <v>526</v>
      </c>
      <c r="C154" s="22"/>
      <c r="D154" s="23"/>
      <c r="E154" s="24" t="s">
        <v>81</v>
      </c>
      <c r="F154" s="25" t="n">
        <f>241</f>
        <v>241.0</v>
      </c>
      <c r="G154" s="26" t="str">
        <f>"－"</f>
        <v>－</v>
      </c>
      <c r="H154" s="26"/>
      <c r="I154" s="26" t="str">
        <f>"－"</f>
        <v>－</v>
      </c>
      <c r="J154" s="26" t="str">
        <f>"－"</f>
        <v>－</v>
      </c>
      <c r="K154" s="26" t="str">
        <f>"－"</f>
        <v>－</v>
      </c>
      <c r="L154" s="4" t="s">
        <v>213</v>
      </c>
      <c r="M154" s="27" t="str">
        <f>"－"</f>
        <v>－</v>
      </c>
      <c r="N154" s="5" t="s">
        <v>213</v>
      </c>
      <c r="O154" s="28" t="str">
        <f>"－"</f>
        <v>－</v>
      </c>
      <c r="P154" s="3" t="s">
        <v>160</v>
      </c>
      <c r="Q154" s="26"/>
      <c r="R154" s="3" t="s">
        <v>160</v>
      </c>
      <c r="S154" s="26" t="str">
        <f>"－"</f>
        <v>－</v>
      </c>
      <c r="T154" s="26" t="str">
        <f>"－"</f>
        <v>－</v>
      </c>
      <c r="U154" s="5" t="s">
        <v>213</v>
      </c>
      <c r="V154" s="28" t="str">
        <f>"－"</f>
        <v>－</v>
      </c>
      <c r="W154" s="5" t="s">
        <v>213</v>
      </c>
      <c r="X154" s="28" t="str">
        <f>"－"</f>
        <v>－</v>
      </c>
      <c r="Y154" s="28"/>
      <c r="Z154" s="26" t="str">
        <f>"－"</f>
        <v>－</v>
      </c>
      <c r="AA154" s="26" t="str">
        <f>"－"</f>
        <v>－</v>
      </c>
      <c r="AB154" s="4" t="s">
        <v>213</v>
      </c>
      <c r="AC154" s="27" t="str">
        <f>"－"</f>
        <v>－</v>
      </c>
      <c r="AD154" s="5" t="s">
        <v>213</v>
      </c>
      <c r="AE154" s="28" t="str">
        <f>"－"</f>
        <v>－</v>
      </c>
    </row>
    <row r="155">
      <c r="A155" s="20" t="s">
        <v>525</v>
      </c>
      <c r="B155" s="21" t="s">
        <v>526</v>
      </c>
      <c r="C155" s="22"/>
      <c r="D155" s="23"/>
      <c r="E155" s="24" t="s">
        <v>87</v>
      </c>
      <c r="F155" s="25" t="n">
        <f>245</f>
        <v>245.0</v>
      </c>
      <c r="G155" s="26" t="str">
        <f>"－"</f>
        <v>－</v>
      </c>
      <c r="H155" s="26"/>
      <c r="I155" s="26" t="str">
        <f>"－"</f>
        <v>－</v>
      </c>
      <c r="J155" s="26" t="str">
        <f>"－"</f>
        <v>－</v>
      </c>
      <c r="K155" s="26" t="str">
        <f>"－"</f>
        <v>－</v>
      </c>
      <c r="L155" s="4" t="s">
        <v>213</v>
      </c>
      <c r="M155" s="27" t="str">
        <f>"－"</f>
        <v>－</v>
      </c>
      <c r="N155" s="5" t="s">
        <v>213</v>
      </c>
      <c r="O155" s="28" t="str">
        <f>"－"</f>
        <v>－</v>
      </c>
      <c r="P155" s="3" t="s">
        <v>160</v>
      </c>
      <c r="Q155" s="26"/>
      <c r="R155" s="3" t="s">
        <v>160</v>
      </c>
      <c r="S155" s="26" t="str">
        <f>"－"</f>
        <v>－</v>
      </c>
      <c r="T155" s="26" t="str">
        <f>"－"</f>
        <v>－</v>
      </c>
      <c r="U155" s="5" t="s">
        <v>213</v>
      </c>
      <c r="V155" s="28" t="str">
        <f>"－"</f>
        <v>－</v>
      </c>
      <c r="W155" s="5" t="s">
        <v>213</v>
      </c>
      <c r="X155" s="28" t="str">
        <f>"－"</f>
        <v>－</v>
      </c>
      <c r="Y155" s="28"/>
      <c r="Z155" s="26" t="str">
        <f>"－"</f>
        <v>－</v>
      </c>
      <c r="AA155" s="26" t="str">
        <f>"－"</f>
        <v>－</v>
      </c>
      <c r="AB155" s="4" t="s">
        <v>213</v>
      </c>
      <c r="AC155" s="27" t="str">
        <f>"－"</f>
        <v>－</v>
      </c>
      <c r="AD155" s="5" t="s">
        <v>213</v>
      </c>
      <c r="AE155" s="28" t="str">
        <f>"－"</f>
        <v>－</v>
      </c>
    </row>
    <row r="156">
      <c r="A156" s="20" t="s">
        <v>525</v>
      </c>
      <c r="B156" s="21" t="s">
        <v>526</v>
      </c>
      <c r="C156" s="22"/>
      <c r="D156" s="23"/>
      <c r="E156" s="24" t="s">
        <v>92</v>
      </c>
      <c r="F156" s="25" t="n">
        <f>244</f>
        <v>244.0</v>
      </c>
      <c r="G156" s="26" t="str">
        <f>"－"</f>
        <v>－</v>
      </c>
      <c r="H156" s="26"/>
      <c r="I156" s="26" t="str">
        <f>"－"</f>
        <v>－</v>
      </c>
      <c r="J156" s="26" t="str">
        <f>"－"</f>
        <v>－</v>
      </c>
      <c r="K156" s="26" t="str">
        <f>"－"</f>
        <v>－</v>
      </c>
      <c r="L156" s="4" t="s">
        <v>213</v>
      </c>
      <c r="M156" s="27" t="str">
        <f>"－"</f>
        <v>－</v>
      </c>
      <c r="N156" s="5" t="s">
        <v>213</v>
      </c>
      <c r="O156" s="28" t="str">
        <f>"－"</f>
        <v>－</v>
      </c>
      <c r="P156" s="3" t="s">
        <v>160</v>
      </c>
      <c r="Q156" s="26"/>
      <c r="R156" s="3" t="s">
        <v>160</v>
      </c>
      <c r="S156" s="26" t="str">
        <f>"－"</f>
        <v>－</v>
      </c>
      <c r="T156" s="26" t="str">
        <f>"－"</f>
        <v>－</v>
      </c>
      <c r="U156" s="5" t="s">
        <v>213</v>
      </c>
      <c r="V156" s="28" t="str">
        <f>"－"</f>
        <v>－</v>
      </c>
      <c r="W156" s="5" t="s">
        <v>213</v>
      </c>
      <c r="X156" s="28" t="str">
        <f>"－"</f>
        <v>－</v>
      </c>
      <c r="Y156" s="28"/>
      <c r="Z156" s="26" t="str">
        <f>"－"</f>
        <v>－</v>
      </c>
      <c r="AA156" s="26" t="str">
        <f>"－"</f>
        <v>－</v>
      </c>
      <c r="AB156" s="4" t="s">
        <v>213</v>
      </c>
      <c r="AC156" s="27" t="str">
        <f>"－"</f>
        <v>－</v>
      </c>
      <c r="AD156" s="5" t="s">
        <v>213</v>
      </c>
      <c r="AE156" s="28" t="str">
        <f>"－"</f>
        <v>－</v>
      </c>
    </row>
    <row r="157">
      <c r="A157" s="20" t="s">
        <v>525</v>
      </c>
      <c r="B157" s="21" t="s">
        <v>526</v>
      </c>
      <c r="C157" s="22"/>
      <c r="D157" s="23"/>
      <c r="E157" s="24" t="s">
        <v>98</v>
      </c>
      <c r="F157" s="25" t="n">
        <f>245</f>
        <v>245.0</v>
      </c>
      <c r="G157" s="26" t="str">
        <f>"－"</f>
        <v>－</v>
      </c>
      <c r="H157" s="26"/>
      <c r="I157" s="26" t="str">
        <f>"－"</f>
        <v>－</v>
      </c>
      <c r="J157" s="26" t="str">
        <f>"－"</f>
        <v>－</v>
      </c>
      <c r="K157" s="26" t="str">
        <f>"－"</f>
        <v>－</v>
      </c>
      <c r="L157" s="4" t="s">
        <v>213</v>
      </c>
      <c r="M157" s="27" t="str">
        <f>"－"</f>
        <v>－</v>
      </c>
      <c r="N157" s="5" t="s">
        <v>213</v>
      </c>
      <c r="O157" s="28" t="str">
        <f>"－"</f>
        <v>－</v>
      </c>
      <c r="P157" s="3" t="s">
        <v>160</v>
      </c>
      <c r="Q157" s="26"/>
      <c r="R157" s="3" t="s">
        <v>160</v>
      </c>
      <c r="S157" s="26" t="str">
        <f>"－"</f>
        <v>－</v>
      </c>
      <c r="T157" s="26" t="str">
        <f>"－"</f>
        <v>－</v>
      </c>
      <c r="U157" s="5" t="s">
        <v>213</v>
      </c>
      <c r="V157" s="28" t="str">
        <f>"－"</f>
        <v>－</v>
      </c>
      <c r="W157" s="5" t="s">
        <v>213</v>
      </c>
      <c r="X157" s="28" t="str">
        <f>"－"</f>
        <v>－</v>
      </c>
      <c r="Y157" s="28"/>
      <c r="Z157" s="26" t="str">
        <f>"－"</f>
        <v>－</v>
      </c>
      <c r="AA157" s="26" t="str">
        <f>"－"</f>
        <v>－</v>
      </c>
      <c r="AB157" s="4" t="s">
        <v>213</v>
      </c>
      <c r="AC157" s="27" t="str">
        <f>"－"</f>
        <v>－</v>
      </c>
      <c r="AD157" s="5" t="s">
        <v>213</v>
      </c>
      <c r="AE157" s="28" t="str">
        <f>"－"</f>
        <v>－</v>
      </c>
    </row>
    <row r="158">
      <c r="A158" s="20" t="s">
        <v>525</v>
      </c>
      <c r="B158" s="21" t="s">
        <v>526</v>
      </c>
      <c r="C158" s="22"/>
      <c r="D158" s="23"/>
      <c r="E158" s="24" t="s">
        <v>103</v>
      </c>
      <c r="F158" s="25" t="n">
        <f>244</f>
        <v>244.0</v>
      </c>
      <c r="G158" s="26" t="str">
        <f>"－"</f>
        <v>－</v>
      </c>
      <c r="H158" s="26"/>
      <c r="I158" s="26" t="str">
        <f>"－"</f>
        <v>－</v>
      </c>
      <c r="J158" s="26" t="str">
        <f>"－"</f>
        <v>－</v>
      </c>
      <c r="K158" s="26" t="str">
        <f>"－"</f>
        <v>－</v>
      </c>
      <c r="L158" s="4" t="s">
        <v>399</v>
      </c>
      <c r="M158" s="27" t="str">
        <f>"－"</f>
        <v>－</v>
      </c>
      <c r="N158" s="5" t="s">
        <v>399</v>
      </c>
      <c r="O158" s="28" t="str">
        <f>"－"</f>
        <v>－</v>
      </c>
      <c r="P158" s="3" t="s">
        <v>160</v>
      </c>
      <c r="Q158" s="26"/>
      <c r="R158" s="3" t="s">
        <v>160</v>
      </c>
      <c r="S158" s="26" t="str">
        <f>"－"</f>
        <v>－</v>
      </c>
      <c r="T158" s="26" t="str">
        <f>"－"</f>
        <v>－</v>
      </c>
      <c r="U158" s="5" t="s">
        <v>399</v>
      </c>
      <c r="V158" s="28" t="str">
        <f>"－"</f>
        <v>－</v>
      </c>
      <c r="W158" s="5" t="s">
        <v>399</v>
      </c>
      <c r="X158" s="28" t="str">
        <f>"－"</f>
        <v>－</v>
      </c>
      <c r="Y158" s="28"/>
      <c r="Z158" s="26" t="str">
        <f>"－"</f>
        <v>－</v>
      </c>
      <c r="AA158" s="26" t="str">
        <f>"－"</f>
        <v>－</v>
      </c>
      <c r="AB158" s="4" t="s">
        <v>399</v>
      </c>
      <c r="AC158" s="27" t="str">
        <f>"－"</f>
        <v>－</v>
      </c>
      <c r="AD158" s="5" t="s">
        <v>399</v>
      </c>
      <c r="AE158" s="28" t="str">
        <f>"－"</f>
        <v>－</v>
      </c>
    </row>
    <row r="159">
      <c r="A159" s="20" t="s">
        <v>527</v>
      </c>
      <c r="B159" s="21" t="s">
        <v>528</v>
      </c>
      <c r="C159" s="22"/>
      <c r="D159" s="23"/>
      <c r="E159" s="24" t="s">
        <v>63</v>
      </c>
      <c r="F159" s="25" t="n">
        <f>173</f>
        <v>173.0</v>
      </c>
      <c r="G159" s="26" t="n">
        <f>85519</f>
        <v>85519.0</v>
      </c>
      <c r="H159" s="26"/>
      <c r="I159" s="26" t="n">
        <f>8872</f>
        <v>8872.0</v>
      </c>
      <c r="J159" s="26" t="n">
        <f>494</f>
        <v>494.0</v>
      </c>
      <c r="K159" s="26" t="n">
        <f>51</f>
        <v>51.0</v>
      </c>
      <c r="L159" s="4" t="s">
        <v>74</v>
      </c>
      <c r="M159" s="27" t="n">
        <f>4642</f>
        <v>4642.0</v>
      </c>
      <c r="N159" s="5" t="s">
        <v>301</v>
      </c>
      <c r="O159" s="28" t="n">
        <f>35</f>
        <v>35.0</v>
      </c>
      <c r="P159" s="3" t="s">
        <v>529</v>
      </c>
      <c r="Q159" s="26"/>
      <c r="R159" s="3" t="s">
        <v>530</v>
      </c>
      <c r="S159" s="26" t="n">
        <f>473793152</f>
        <v>4.73793152E8</v>
      </c>
      <c r="T159" s="26" t="n">
        <f>49194598</f>
        <v>4.9194598E7</v>
      </c>
      <c r="U159" s="5" t="s">
        <v>74</v>
      </c>
      <c r="V159" s="28" t="n">
        <f>4980810960</f>
        <v>4.98081096E9</v>
      </c>
      <c r="W159" s="5" t="s">
        <v>301</v>
      </c>
      <c r="X159" s="28" t="n">
        <f>32581500</f>
        <v>3.25815E7</v>
      </c>
      <c r="Y159" s="28"/>
      <c r="Z159" s="26" t="n">
        <f>9137</f>
        <v>9137.0</v>
      </c>
      <c r="AA159" s="26" t="n">
        <f>5446</f>
        <v>5446.0</v>
      </c>
      <c r="AB159" s="4" t="s">
        <v>53</v>
      </c>
      <c r="AC159" s="27" t="n">
        <f>7006</f>
        <v>7006.0</v>
      </c>
      <c r="AD159" s="5" t="s">
        <v>140</v>
      </c>
      <c r="AE159" s="28" t="n">
        <f>1384</f>
        <v>1384.0</v>
      </c>
    </row>
    <row r="160">
      <c r="A160" s="20" t="s">
        <v>527</v>
      </c>
      <c r="B160" s="21" t="s">
        <v>528</v>
      </c>
      <c r="C160" s="22"/>
      <c r="D160" s="23"/>
      <c r="E160" s="24" t="s">
        <v>70</v>
      </c>
      <c r="F160" s="25" t="n">
        <f>245</f>
        <v>245.0</v>
      </c>
      <c r="G160" s="26" t="n">
        <f>371254</f>
        <v>371254.0</v>
      </c>
      <c r="H160" s="26"/>
      <c r="I160" s="26" t="n">
        <f>27645</f>
        <v>27645.0</v>
      </c>
      <c r="J160" s="26" t="n">
        <f>1515</f>
        <v>1515.0</v>
      </c>
      <c r="K160" s="26" t="n">
        <f>113</f>
        <v>113.0</v>
      </c>
      <c r="L160" s="4" t="s">
        <v>164</v>
      </c>
      <c r="M160" s="27" t="n">
        <f>10423</f>
        <v>10423.0</v>
      </c>
      <c r="N160" s="5" t="s">
        <v>531</v>
      </c>
      <c r="O160" s="28" t="n">
        <f>58</f>
        <v>58.0</v>
      </c>
      <c r="P160" s="3" t="s">
        <v>532</v>
      </c>
      <c r="Q160" s="26"/>
      <c r="R160" s="3" t="s">
        <v>533</v>
      </c>
      <c r="S160" s="26" t="n">
        <f>1732954687</f>
        <v>1.732954687E9</v>
      </c>
      <c r="T160" s="26" t="n">
        <f>127428786</f>
        <v>1.27428786E8</v>
      </c>
      <c r="U160" s="5" t="s">
        <v>164</v>
      </c>
      <c r="V160" s="28" t="n">
        <f>12166855200</f>
        <v>1.21668552E10</v>
      </c>
      <c r="W160" s="5" t="s">
        <v>531</v>
      </c>
      <c r="X160" s="28" t="n">
        <f>61382610</f>
        <v>6.138261E7</v>
      </c>
      <c r="Y160" s="28"/>
      <c r="Z160" s="26" t="n">
        <f>8288</f>
        <v>8288.0</v>
      </c>
      <c r="AA160" s="26" t="n">
        <f>9878</f>
        <v>9878.0</v>
      </c>
      <c r="AB160" s="4" t="s">
        <v>128</v>
      </c>
      <c r="AC160" s="27" t="n">
        <f>13842</f>
        <v>13842.0</v>
      </c>
      <c r="AD160" s="5" t="s">
        <v>90</v>
      </c>
      <c r="AE160" s="28" t="n">
        <f>3269</f>
        <v>3269.0</v>
      </c>
    </row>
    <row r="161">
      <c r="A161" s="20" t="s">
        <v>527</v>
      </c>
      <c r="B161" s="21" t="s">
        <v>528</v>
      </c>
      <c r="C161" s="22"/>
      <c r="D161" s="23"/>
      <c r="E161" s="24" t="s">
        <v>76</v>
      </c>
      <c r="F161" s="25" t="n">
        <f>244</f>
        <v>244.0</v>
      </c>
      <c r="G161" s="26" t="n">
        <f>724474</f>
        <v>724474.0</v>
      </c>
      <c r="H161" s="26"/>
      <c r="I161" s="26" t="n">
        <f>87969</f>
        <v>87969.0</v>
      </c>
      <c r="J161" s="26" t="n">
        <f>2969</f>
        <v>2969.0</v>
      </c>
      <c r="K161" s="26" t="n">
        <f>361</f>
        <v>361.0</v>
      </c>
      <c r="L161" s="4" t="s">
        <v>277</v>
      </c>
      <c r="M161" s="27" t="n">
        <f>17106</f>
        <v>17106.0</v>
      </c>
      <c r="N161" s="5" t="s">
        <v>534</v>
      </c>
      <c r="O161" s="28" t="n">
        <f>583</f>
        <v>583.0</v>
      </c>
      <c r="P161" s="3" t="s">
        <v>535</v>
      </c>
      <c r="Q161" s="26"/>
      <c r="R161" s="3" t="s">
        <v>536</v>
      </c>
      <c r="S161" s="26" t="n">
        <f>2875567585</f>
        <v>2.875567585E9</v>
      </c>
      <c r="T161" s="26" t="n">
        <f>357692400</f>
        <v>3.576924E8</v>
      </c>
      <c r="U161" s="5" t="s">
        <v>277</v>
      </c>
      <c r="V161" s="28" t="n">
        <f>17212943300</f>
        <v>1.72129433E10</v>
      </c>
      <c r="W161" s="5" t="s">
        <v>537</v>
      </c>
      <c r="X161" s="28" t="n">
        <f>644819600</f>
        <v>6.448196E8</v>
      </c>
      <c r="Y161" s="28"/>
      <c r="Z161" s="26" t="n">
        <f>14567</f>
        <v>14567.0</v>
      </c>
      <c r="AA161" s="26" t="n">
        <f>12546</f>
        <v>12546.0</v>
      </c>
      <c r="AB161" s="4" t="s">
        <v>217</v>
      </c>
      <c r="AC161" s="27" t="n">
        <f>19930</f>
        <v>19930.0</v>
      </c>
      <c r="AD161" s="5" t="s">
        <v>127</v>
      </c>
      <c r="AE161" s="28" t="n">
        <f>9119</f>
        <v>9119.0</v>
      </c>
    </row>
    <row r="162">
      <c r="A162" s="20" t="s">
        <v>527</v>
      </c>
      <c r="B162" s="21" t="s">
        <v>528</v>
      </c>
      <c r="C162" s="22"/>
      <c r="D162" s="23"/>
      <c r="E162" s="24" t="s">
        <v>81</v>
      </c>
      <c r="F162" s="25" t="n">
        <f>241</f>
        <v>241.0</v>
      </c>
      <c r="G162" s="26" t="n">
        <f>597553</f>
        <v>597553.0</v>
      </c>
      <c r="H162" s="26"/>
      <c r="I162" s="26" t="n">
        <f>109554</f>
        <v>109554.0</v>
      </c>
      <c r="J162" s="26" t="n">
        <f>2479</f>
        <v>2479.0</v>
      </c>
      <c r="K162" s="26" t="n">
        <f>455</f>
        <v>455.0</v>
      </c>
      <c r="L162" s="4" t="s">
        <v>149</v>
      </c>
      <c r="M162" s="27" t="n">
        <f>28391</f>
        <v>28391.0</v>
      </c>
      <c r="N162" s="5" t="s">
        <v>538</v>
      </c>
      <c r="O162" s="28" t="n">
        <f>353</f>
        <v>353.0</v>
      </c>
      <c r="P162" s="3" t="s">
        <v>539</v>
      </c>
      <c r="Q162" s="26"/>
      <c r="R162" s="3" t="s">
        <v>540</v>
      </c>
      <c r="S162" s="26" t="n">
        <f>1966859010</f>
        <v>1.96685901E9</v>
      </c>
      <c r="T162" s="26" t="n">
        <f>370691730</f>
        <v>3.7069173E8</v>
      </c>
      <c r="U162" s="5" t="s">
        <v>149</v>
      </c>
      <c r="V162" s="28" t="n">
        <f>18656690750</f>
        <v>1.865669075E10</v>
      </c>
      <c r="W162" s="5" t="s">
        <v>538</v>
      </c>
      <c r="X162" s="28" t="n">
        <f>304884620</f>
        <v>3.0488462E8</v>
      </c>
      <c r="Y162" s="28"/>
      <c r="Z162" s="26" t="n">
        <f>29152</f>
        <v>29152.0</v>
      </c>
      <c r="AA162" s="26" t="n">
        <f>14473</f>
        <v>14473.0</v>
      </c>
      <c r="AB162" s="4" t="s">
        <v>53</v>
      </c>
      <c r="AC162" s="27" t="n">
        <f>20216</f>
        <v>20216.0</v>
      </c>
      <c r="AD162" s="5" t="s">
        <v>198</v>
      </c>
      <c r="AE162" s="28" t="n">
        <f>10875</f>
        <v>10875.0</v>
      </c>
    </row>
    <row r="163">
      <c r="A163" s="20" t="s">
        <v>527</v>
      </c>
      <c r="B163" s="21" t="s">
        <v>528</v>
      </c>
      <c r="C163" s="22"/>
      <c r="D163" s="23"/>
      <c r="E163" s="24" t="s">
        <v>87</v>
      </c>
      <c r="F163" s="25" t="n">
        <f>245</f>
        <v>245.0</v>
      </c>
      <c r="G163" s="26" t="n">
        <f>1663426</f>
        <v>1663426.0</v>
      </c>
      <c r="H163" s="26"/>
      <c r="I163" s="26" t="n">
        <f>160693</f>
        <v>160693.0</v>
      </c>
      <c r="J163" s="26" t="n">
        <f>6789</f>
        <v>6789.0</v>
      </c>
      <c r="K163" s="26" t="n">
        <f>656</f>
        <v>656.0</v>
      </c>
      <c r="L163" s="4" t="s">
        <v>541</v>
      </c>
      <c r="M163" s="27" t="n">
        <f>37516</f>
        <v>37516.0</v>
      </c>
      <c r="N163" s="5" t="s">
        <v>542</v>
      </c>
      <c r="O163" s="28" t="n">
        <f>1951</f>
        <v>1951.0</v>
      </c>
      <c r="P163" s="3" t="s">
        <v>543</v>
      </c>
      <c r="Q163" s="26"/>
      <c r="R163" s="3" t="s">
        <v>544</v>
      </c>
      <c r="S163" s="26" t="n">
        <f>7396546901</f>
        <v>7.396546901E9</v>
      </c>
      <c r="T163" s="26" t="n">
        <f>731049105</f>
        <v>7.31049105E8</v>
      </c>
      <c r="U163" s="5" t="s">
        <v>541</v>
      </c>
      <c r="V163" s="28" t="n">
        <f>41673037080</f>
        <v>4.167303708E10</v>
      </c>
      <c r="W163" s="5" t="s">
        <v>542</v>
      </c>
      <c r="X163" s="28" t="n">
        <f>1267845960</f>
        <v>1.26784596E9</v>
      </c>
      <c r="Y163" s="28"/>
      <c r="Z163" s="26" t="n">
        <f>90308</f>
        <v>90308.0</v>
      </c>
      <c r="AA163" s="26" t="n">
        <f>19381</f>
        <v>19381.0</v>
      </c>
      <c r="AB163" s="4" t="s">
        <v>231</v>
      </c>
      <c r="AC163" s="27" t="n">
        <f>37194</f>
        <v>37194.0</v>
      </c>
      <c r="AD163" s="5" t="s">
        <v>545</v>
      </c>
      <c r="AE163" s="28" t="n">
        <f>13015</f>
        <v>13015.0</v>
      </c>
    </row>
    <row r="164">
      <c r="A164" s="20" t="s">
        <v>527</v>
      </c>
      <c r="B164" s="21" t="s">
        <v>528</v>
      </c>
      <c r="C164" s="22"/>
      <c r="D164" s="23"/>
      <c r="E164" s="24" t="s">
        <v>92</v>
      </c>
      <c r="F164" s="25" t="n">
        <f>244</f>
        <v>244.0</v>
      </c>
      <c r="G164" s="26" t="n">
        <f>2449830</f>
        <v>2449830.0</v>
      </c>
      <c r="H164" s="26"/>
      <c r="I164" s="26" t="n">
        <f>359275</f>
        <v>359275.0</v>
      </c>
      <c r="J164" s="26" t="n">
        <f>10040</f>
        <v>10040.0</v>
      </c>
      <c r="K164" s="26" t="n">
        <f>1472</f>
        <v>1472.0</v>
      </c>
      <c r="L164" s="4" t="s">
        <v>164</v>
      </c>
      <c r="M164" s="27" t="n">
        <f>71557</f>
        <v>71557.0</v>
      </c>
      <c r="N164" s="5" t="s">
        <v>546</v>
      </c>
      <c r="O164" s="28" t="n">
        <f>1510</f>
        <v>1510.0</v>
      </c>
      <c r="P164" s="3" t="s">
        <v>547</v>
      </c>
      <c r="Q164" s="26"/>
      <c r="R164" s="3" t="s">
        <v>548</v>
      </c>
      <c r="S164" s="26" t="n">
        <f>8902336867</f>
        <v>8.902336867E9</v>
      </c>
      <c r="T164" s="26" t="n">
        <f>1350812134</f>
        <v>1.350812134E9</v>
      </c>
      <c r="U164" s="5" t="s">
        <v>164</v>
      </c>
      <c r="V164" s="28" t="n">
        <f>49571286400</f>
        <v>4.95712864E10</v>
      </c>
      <c r="W164" s="5" t="s">
        <v>518</v>
      </c>
      <c r="X164" s="28" t="n">
        <f>1774842960</f>
        <v>1.77484296E9</v>
      </c>
      <c r="Y164" s="28"/>
      <c r="Z164" s="26" t="n">
        <f>145896</f>
        <v>145896.0</v>
      </c>
      <c r="AA164" s="26" t="n">
        <f>34333</f>
        <v>34333.0</v>
      </c>
      <c r="AB164" s="4" t="s">
        <v>164</v>
      </c>
      <c r="AC164" s="27" t="n">
        <f>53440</f>
        <v>53440.0</v>
      </c>
      <c r="AD164" s="5" t="s">
        <v>545</v>
      </c>
      <c r="AE164" s="28" t="n">
        <f>18860</f>
        <v>18860.0</v>
      </c>
    </row>
    <row r="165">
      <c r="A165" s="20" t="s">
        <v>527</v>
      </c>
      <c r="B165" s="21" t="s">
        <v>528</v>
      </c>
      <c r="C165" s="22"/>
      <c r="D165" s="23"/>
      <c r="E165" s="24" t="s">
        <v>98</v>
      </c>
      <c r="F165" s="25" t="n">
        <f>245</f>
        <v>245.0</v>
      </c>
      <c r="G165" s="26" t="n">
        <f>2392494</f>
        <v>2392494.0</v>
      </c>
      <c r="H165" s="26"/>
      <c r="I165" s="26" t="n">
        <f>405510</f>
        <v>405510.0</v>
      </c>
      <c r="J165" s="26" t="n">
        <f>9765</f>
        <v>9765.0</v>
      </c>
      <c r="K165" s="26" t="n">
        <f>1655</f>
        <v>1655.0</v>
      </c>
      <c r="L165" s="4" t="s">
        <v>107</v>
      </c>
      <c r="M165" s="27" t="n">
        <f>74889</f>
        <v>74889.0</v>
      </c>
      <c r="N165" s="5" t="s">
        <v>549</v>
      </c>
      <c r="O165" s="28" t="n">
        <f>2470</f>
        <v>2470.0</v>
      </c>
      <c r="P165" s="3" t="s">
        <v>550</v>
      </c>
      <c r="Q165" s="26"/>
      <c r="R165" s="3" t="s">
        <v>551</v>
      </c>
      <c r="S165" s="26" t="n">
        <f>7020574874</f>
        <v>7.020574874E9</v>
      </c>
      <c r="T165" s="26" t="n">
        <f>1203739331</f>
        <v>1.203739331E9</v>
      </c>
      <c r="U165" s="5" t="s">
        <v>107</v>
      </c>
      <c r="V165" s="28" t="n">
        <f>50474027890</f>
        <v>5.047402789E10</v>
      </c>
      <c r="W165" s="5" t="s">
        <v>549</v>
      </c>
      <c r="X165" s="28" t="n">
        <f>1890441250</f>
        <v>1.89044125E9</v>
      </c>
      <c r="Y165" s="28"/>
      <c r="Z165" s="26" t="n">
        <f>194775</f>
        <v>194775.0</v>
      </c>
      <c r="AA165" s="26" t="n">
        <f>30248</f>
        <v>30248.0</v>
      </c>
      <c r="AB165" s="4" t="s">
        <v>107</v>
      </c>
      <c r="AC165" s="27" t="n">
        <f>66248</f>
        <v>66248.0</v>
      </c>
      <c r="AD165" s="5" t="s">
        <v>552</v>
      </c>
      <c r="AE165" s="28" t="n">
        <f>28851</f>
        <v>28851.0</v>
      </c>
    </row>
    <row r="166">
      <c r="A166" s="20" t="s">
        <v>527</v>
      </c>
      <c r="B166" s="21" t="s">
        <v>528</v>
      </c>
      <c r="C166" s="22"/>
      <c r="D166" s="23"/>
      <c r="E166" s="24" t="s">
        <v>103</v>
      </c>
      <c r="F166" s="25" t="n">
        <f>244</f>
        <v>244.0</v>
      </c>
      <c r="G166" s="26" t="n">
        <f>2191041</f>
        <v>2191041.0</v>
      </c>
      <c r="H166" s="26"/>
      <c r="I166" s="26" t="n">
        <f>414944</f>
        <v>414944.0</v>
      </c>
      <c r="J166" s="26" t="n">
        <f>8980</f>
        <v>8980.0</v>
      </c>
      <c r="K166" s="26" t="n">
        <f>1701</f>
        <v>1701.0</v>
      </c>
      <c r="L166" s="4" t="s">
        <v>104</v>
      </c>
      <c r="M166" s="27" t="n">
        <f>53868</f>
        <v>53868.0</v>
      </c>
      <c r="N166" s="5" t="s">
        <v>494</v>
      </c>
      <c r="O166" s="28" t="n">
        <f>2618</f>
        <v>2618.0</v>
      </c>
      <c r="P166" s="3" t="s">
        <v>553</v>
      </c>
      <c r="Q166" s="26"/>
      <c r="R166" s="3" t="s">
        <v>554</v>
      </c>
      <c r="S166" s="26" t="n">
        <f>6582322748</f>
        <v>6.582322748E9</v>
      </c>
      <c r="T166" s="26" t="n">
        <f>1262268162</f>
        <v>1.262268162E9</v>
      </c>
      <c r="U166" s="5" t="s">
        <v>104</v>
      </c>
      <c r="V166" s="28" t="n">
        <f>40733276200</f>
        <v>4.07332762E10</v>
      </c>
      <c r="W166" s="5" t="s">
        <v>222</v>
      </c>
      <c r="X166" s="28" t="n">
        <f>1959445000</f>
        <v>1.959445E9</v>
      </c>
      <c r="Y166" s="28"/>
      <c r="Z166" s="26" t="n">
        <f>257739</f>
        <v>257739.0</v>
      </c>
      <c r="AA166" s="26" t="n">
        <f>43431</f>
        <v>43431.0</v>
      </c>
      <c r="AB166" s="4" t="s">
        <v>434</v>
      </c>
      <c r="AC166" s="27" t="n">
        <f>63481</f>
        <v>63481.0</v>
      </c>
      <c r="AD166" s="5" t="s">
        <v>399</v>
      </c>
      <c r="AE166" s="28" t="n">
        <f>30865</f>
        <v>30865.0</v>
      </c>
    </row>
    <row r="167">
      <c r="A167" s="20" t="s">
        <v>555</v>
      </c>
      <c r="B167" s="21" t="s">
        <v>556</v>
      </c>
      <c r="C167" s="22"/>
      <c r="D167" s="23"/>
      <c r="E167" s="24" t="s">
        <v>48</v>
      </c>
      <c r="F167" s="25" t="n">
        <f>81</f>
        <v>81.0</v>
      </c>
      <c r="G167" s="26" t="n">
        <f>29281</f>
        <v>29281.0</v>
      </c>
      <c r="H167" s="26"/>
      <c r="I167" s="26" t="str">
        <f>"－"</f>
        <v>－</v>
      </c>
      <c r="J167" s="26" t="n">
        <f>361</f>
        <v>361.0</v>
      </c>
      <c r="K167" s="26" t="str">
        <f>"－"</f>
        <v>－</v>
      </c>
      <c r="L167" s="4" t="s">
        <v>110</v>
      </c>
      <c r="M167" s="27" t="n">
        <f>1071</f>
        <v>1071.0</v>
      </c>
      <c r="N167" s="5" t="s">
        <v>557</v>
      </c>
      <c r="O167" s="28" t="n">
        <f>43</f>
        <v>43.0</v>
      </c>
      <c r="P167" s="3" t="s">
        <v>558</v>
      </c>
      <c r="Q167" s="26"/>
      <c r="R167" s="3" t="s">
        <v>160</v>
      </c>
      <c r="S167" s="26" t="n">
        <f>636760636</f>
        <v>6.36760636E8</v>
      </c>
      <c r="T167" s="26" t="str">
        <f>"－"</f>
        <v>－</v>
      </c>
      <c r="U167" s="5" t="s">
        <v>110</v>
      </c>
      <c r="V167" s="28" t="n">
        <f>1848186500</f>
        <v>1.8481865E9</v>
      </c>
      <c r="W167" s="5" t="s">
        <v>557</v>
      </c>
      <c r="X167" s="28" t="n">
        <f>78152900</f>
        <v>7.81529E7</v>
      </c>
      <c r="Y167" s="28"/>
      <c r="Z167" s="26" t="n">
        <f>298</f>
        <v>298.0</v>
      </c>
      <c r="AA167" s="26" t="n">
        <f>409</f>
        <v>409.0</v>
      </c>
      <c r="AB167" s="4" t="s">
        <v>188</v>
      </c>
      <c r="AC167" s="27" t="n">
        <f>1247</f>
        <v>1247.0</v>
      </c>
      <c r="AD167" s="5" t="s">
        <v>559</v>
      </c>
      <c r="AE167" s="28" t="n">
        <f>402</f>
        <v>402.0</v>
      </c>
    </row>
    <row r="168">
      <c r="A168" s="20" t="s">
        <v>555</v>
      </c>
      <c r="B168" s="21" t="s">
        <v>556</v>
      </c>
      <c r="C168" s="22"/>
      <c r="D168" s="23"/>
      <c r="E168" s="24" t="s">
        <v>56</v>
      </c>
      <c r="F168" s="25" t="n">
        <f>245</f>
        <v>245.0</v>
      </c>
      <c r="G168" s="26" t="n">
        <f>66663</f>
        <v>66663.0</v>
      </c>
      <c r="H168" s="26"/>
      <c r="I168" s="26" t="str">
        <f>"－"</f>
        <v>－</v>
      </c>
      <c r="J168" s="26" t="n">
        <f>272</f>
        <v>272.0</v>
      </c>
      <c r="K168" s="26" t="str">
        <f>"－"</f>
        <v>－</v>
      </c>
      <c r="L168" s="4" t="s">
        <v>560</v>
      </c>
      <c r="M168" s="27" t="n">
        <f>1102</f>
        <v>1102.0</v>
      </c>
      <c r="N168" s="5" t="s">
        <v>58</v>
      </c>
      <c r="O168" s="28" t="n">
        <f>25</f>
        <v>25.0</v>
      </c>
      <c r="P168" s="3" t="s">
        <v>561</v>
      </c>
      <c r="Q168" s="26"/>
      <c r="R168" s="3" t="s">
        <v>160</v>
      </c>
      <c r="S168" s="26" t="n">
        <f>469378309</f>
        <v>4.69378309E8</v>
      </c>
      <c r="T168" s="26" t="str">
        <f>"－"</f>
        <v>－</v>
      </c>
      <c r="U168" s="5" t="s">
        <v>560</v>
      </c>
      <c r="V168" s="28" t="n">
        <f>1911487000</f>
        <v>1.911487E9</v>
      </c>
      <c r="W168" s="5" t="s">
        <v>58</v>
      </c>
      <c r="X168" s="28" t="n">
        <f>43455900</f>
        <v>4.34559E7</v>
      </c>
      <c r="Y168" s="28"/>
      <c r="Z168" s="26" t="n">
        <f>744</f>
        <v>744.0</v>
      </c>
      <c r="AA168" s="26" t="n">
        <f>729</f>
        <v>729.0</v>
      </c>
      <c r="AB168" s="4" t="s">
        <v>562</v>
      </c>
      <c r="AC168" s="27" t="n">
        <f>1493</f>
        <v>1493.0</v>
      </c>
      <c r="AD168" s="5" t="s">
        <v>58</v>
      </c>
      <c r="AE168" s="28" t="n">
        <f>272</f>
        <v>272.0</v>
      </c>
    </row>
    <row r="169">
      <c r="A169" s="20" t="s">
        <v>555</v>
      </c>
      <c r="B169" s="21" t="s">
        <v>556</v>
      </c>
      <c r="C169" s="22"/>
      <c r="D169" s="23"/>
      <c r="E169" s="24" t="s">
        <v>63</v>
      </c>
      <c r="F169" s="25" t="n">
        <f>245</f>
        <v>245.0</v>
      </c>
      <c r="G169" s="26" t="n">
        <f>64374</f>
        <v>64374.0</v>
      </c>
      <c r="H169" s="26"/>
      <c r="I169" s="26" t="str">
        <f>"－"</f>
        <v>－</v>
      </c>
      <c r="J169" s="26" t="n">
        <f>263</f>
        <v>263.0</v>
      </c>
      <c r="K169" s="26" t="str">
        <f>"－"</f>
        <v>－</v>
      </c>
      <c r="L169" s="4" t="s">
        <v>563</v>
      </c>
      <c r="M169" s="27" t="n">
        <f>1092</f>
        <v>1092.0</v>
      </c>
      <c r="N169" s="5" t="s">
        <v>93</v>
      </c>
      <c r="O169" s="28" t="n">
        <f>20</f>
        <v>20.0</v>
      </c>
      <c r="P169" s="3" t="s">
        <v>564</v>
      </c>
      <c r="Q169" s="26"/>
      <c r="R169" s="3" t="s">
        <v>160</v>
      </c>
      <c r="S169" s="26" t="n">
        <f>491593814</f>
        <v>4.91593814E8</v>
      </c>
      <c r="T169" s="26" t="str">
        <f>"－"</f>
        <v>－</v>
      </c>
      <c r="U169" s="5" t="s">
        <v>563</v>
      </c>
      <c r="V169" s="28" t="n">
        <f>1978889100</f>
        <v>1.9788891E9</v>
      </c>
      <c r="W169" s="5" t="s">
        <v>93</v>
      </c>
      <c r="X169" s="28" t="n">
        <f>39547400</f>
        <v>3.95474E7</v>
      </c>
      <c r="Y169" s="28"/>
      <c r="Z169" s="26" t="n">
        <f>3682</f>
        <v>3682.0</v>
      </c>
      <c r="AA169" s="26" t="n">
        <f>745</f>
        <v>745.0</v>
      </c>
      <c r="AB169" s="4" t="s">
        <v>123</v>
      </c>
      <c r="AC169" s="27" t="n">
        <f>2373</f>
        <v>2373.0</v>
      </c>
      <c r="AD169" s="5" t="s">
        <v>565</v>
      </c>
      <c r="AE169" s="28" t="n">
        <f>401</f>
        <v>401.0</v>
      </c>
    </row>
    <row r="170">
      <c r="A170" s="20" t="s">
        <v>555</v>
      </c>
      <c r="B170" s="21" t="s">
        <v>556</v>
      </c>
      <c r="C170" s="22"/>
      <c r="D170" s="23"/>
      <c r="E170" s="24" t="s">
        <v>70</v>
      </c>
      <c r="F170" s="25" t="n">
        <f>245</f>
        <v>245.0</v>
      </c>
      <c r="G170" s="26" t="n">
        <f>141580</f>
        <v>141580.0</v>
      </c>
      <c r="H170" s="26"/>
      <c r="I170" s="26" t="str">
        <f>"－"</f>
        <v>－</v>
      </c>
      <c r="J170" s="26" t="n">
        <f>578</f>
        <v>578.0</v>
      </c>
      <c r="K170" s="26" t="str">
        <f>"－"</f>
        <v>－</v>
      </c>
      <c r="L170" s="4" t="s">
        <v>566</v>
      </c>
      <c r="M170" s="27" t="n">
        <f>5288</f>
        <v>5288.0</v>
      </c>
      <c r="N170" s="5" t="s">
        <v>567</v>
      </c>
      <c r="O170" s="28" t="n">
        <f>21</f>
        <v>21.0</v>
      </c>
      <c r="P170" s="3" t="s">
        <v>568</v>
      </c>
      <c r="Q170" s="26"/>
      <c r="R170" s="3" t="s">
        <v>160</v>
      </c>
      <c r="S170" s="26" t="n">
        <f>1392043792</f>
        <v>1.392043792E9</v>
      </c>
      <c r="T170" s="26" t="str">
        <f>"－"</f>
        <v>－</v>
      </c>
      <c r="U170" s="5" t="s">
        <v>566</v>
      </c>
      <c r="V170" s="28" t="n">
        <f>13554111800</f>
        <v>1.35541118E10</v>
      </c>
      <c r="W170" s="5" t="s">
        <v>567</v>
      </c>
      <c r="X170" s="28" t="n">
        <f>43762200</f>
        <v>4.37622E7</v>
      </c>
      <c r="Y170" s="28"/>
      <c r="Z170" s="26" t="n">
        <f>994</f>
        <v>994.0</v>
      </c>
      <c r="AA170" s="26" t="n">
        <f>638</f>
        <v>638.0</v>
      </c>
      <c r="AB170" s="4" t="s">
        <v>569</v>
      </c>
      <c r="AC170" s="27" t="n">
        <f>3893</f>
        <v>3893.0</v>
      </c>
      <c r="AD170" s="5" t="s">
        <v>350</v>
      </c>
      <c r="AE170" s="28" t="n">
        <f>578</f>
        <v>578.0</v>
      </c>
    </row>
    <row r="171">
      <c r="A171" s="20" t="s">
        <v>555</v>
      </c>
      <c r="B171" s="21" t="s">
        <v>556</v>
      </c>
      <c r="C171" s="22"/>
      <c r="D171" s="23"/>
      <c r="E171" s="24" t="s">
        <v>76</v>
      </c>
      <c r="F171" s="25" t="n">
        <f>244</f>
        <v>244.0</v>
      </c>
      <c r="G171" s="26" t="n">
        <f>215422</f>
        <v>215422.0</v>
      </c>
      <c r="H171" s="26"/>
      <c r="I171" s="26" t="str">
        <f>"－"</f>
        <v>－</v>
      </c>
      <c r="J171" s="26" t="n">
        <f>883</f>
        <v>883.0</v>
      </c>
      <c r="K171" s="26" t="str">
        <f>"－"</f>
        <v>－</v>
      </c>
      <c r="L171" s="4" t="s">
        <v>318</v>
      </c>
      <c r="M171" s="27" t="n">
        <f>4104</f>
        <v>4104.0</v>
      </c>
      <c r="N171" s="5" t="s">
        <v>389</v>
      </c>
      <c r="O171" s="28" t="n">
        <f>70</f>
        <v>70.0</v>
      </c>
      <c r="P171" s="3" t="s">
        <v>570</v>
      </c>
      <c r="Q171" s="26"/>
      <c r="R171" s="3" t="s">
        <v>160</v>
      </c>
      <c r="S171" s="26" t="n">
        <f>2200120428</f>
        <v>2.200120428E9</v>
      </c>
      <c r="T171" s="26" t="str">
        <f>"－"</f>
        <v>－</v>
      </c>
      <c r="U171" s="5" t="s">
        <v>318</v>
      </c>
      <c r="V171" s="28" t="n">
        <f>10375859500</f>
        <v>1.03758595E10</v>
      </c>
      <c r="W171" s="5" t="s">
        <v>389</v>
      </c>
      <c r="X171" s="28" t="n">
        <f>168658500</f>
        <v>1.686585E8</v>
      </c>
      <c r="Y171" s="28"/>
      <c r="Z171" s="26" t="n">
        <f>600</f>
        <v>600.0</v>
      </c>
      <c r="AA171" s="26" t="n">
        <f>2609</f>
        <v>2609.0</v>
      </c>
      <c r="AB171" s="4" t="s">
        <v>274</v>
      </c>
      <c r="AC171" s="27" t="n">
        <f>4132</f>
        <v>4132.0</v>
      </c>
      <c r="AD171" s="5" t="s">
        <v>571</v>
      </c>
      <c r="AE171" s="28" t="n">
        <f>474</f>
        <v>474.0</v>
      </c>
    </row>
    <row r="172">
      <c r="A172" s="20" t="s">
        <v>555</v>
      </c>
      <c r="B172" s="21" t="s">
        <v>556</v>
      </c>
      <c r="C172" s="22"/>
      <c r="D172" s="23"/>
      <c r="E172" s="24" t="s">
        <v>81</v>
      </c>
      <c r="F172" s="25" t="n">
        <f>241</f>
        <v>241.0</v>
      </c>
      <c r="G172" s="26" t="n">
        <f>367719</f>
        <v>367719.0</v>
      </c>
      <c r="H172" s="26"/>
      <c r="I172" s="26" t="n">
        <f>26398</f>
        <v>26398.0</v>
      </c>
      <c r="J172" s="26" t="n">
        <f>1526</f>
        <v>1526.0</v>
      </c>
      <c r="K172" s="26" t="n">
        <f>110</f>
        <v>110.0</v>
      </c>
      <c r="L172" s="4" t="s">
        <v>128</v>
      </c>
      <c r="M172" s="27" t="n">
        <f>9104</f>
        <v>9104.0</v>
      </c>
      <c r="N172" s="5" t="s">
        <v>82</v>
      </c>
      <c r="O172" s="28" t="n">
        <f>110</f>
        <v>110.0</v>
      </c>
      <c r="P172" s="3" t="s">
        <v>572</v>
      </c>
      <c r="Q172" s="26"/>
      <c r="R172" s="3" t="s">
        <v>573</v>
      </c>
      <c r="S172" s="26" t="n">
        <f>3999889874</f>
        <v>3.999889874E9</v>
      </c>
      <c r="T172" s="26" t="n">
        <f>279266936</f>
        <v>2.79266936E8</v>
      </c>
      <c r="U172" s="5" t="s">
        <v>128</v>
      </c>
      <c r="V172" s="28" t="n">
        <f>22897733300</f>
        <v>2.28977333E10</v>
      </c>
      <c r="W172" s="5" t="s">
        <v>82</v>
      </c>
      <c r="X172" s="28" t="n">
        <f>313796300</f>
        <v>3.137963E8</v>
      </c>
      <c r="Y172" s="28"/>
      <c r="Z172" s="26" t="n">
        <f>16098</f>
        <v>16098.0</v>
      </c>
      <c r="AA172" s="26" t="n">
        <f>3131</f>
        <v>3131.0</v>
      </c>
      <c r="AB172" s="4" t="s">
        <v>182</v>
      </c>
      <c r="AC172" s="27" t="n">
        <f>7675</f>
        <v>7675.0</v>
      </c>
      <c r="AD172" s="5" t="s">
        <v>506</v>
      </c>
      <c r="AE172" s="28" t="n">
        <f>1212</f>
        <v>1212.0</v>
      </c>
    </row>
    <row r="173">
      <c r="A173" s="20" t="s">
        <v>555</v>
      </c>
      <c r="B173" s="21" t="s">
        <v>556</v>
      </c>
      <c r="C173" s="22"/>
      <c r="D173" s="23"/>
      <c r="E173" s="24" t="s">
        <v>87</v>
      </c>
      <c r="F173" s="25" t="n">
        <f>245</f>
        <v>245.0</v>
      </c>
      <c r="G173" s="26" t="n">
        <f>341602</f>
        <v>341602.0</v>
      </c>
      <c r="H173" s="26"/>
      <c r="I173" s="26" t="n">
        <f>72652</f>
        <v>72652.0</v>
      </c>
      <c r="J173" s="26" t="n">
        <f>1394</f>
        <v>1394.0</v>
      </c>
      <c r="K173" s="26" t="n">
        <f>297</f>
        <v>297.0</v>
      </c>
      <c r="L173" s="4" t="s">
        <v>574</v>
      </c>
      <c r="M173" s="27" t="n">
        <f>6568</f>
        <v>6568.0</v>
      </c>
      <c r="N173" s="5" t="s">
        <v>82</v>
      </c>
      <c r="O173" s="28" t="n">
        <f>133</f>
        <v>133.0</v>
      </c>
      <c r="P173" s="3" t="s">
        <v>575</v>
      </c>
      <c r="Q173" s="26"/>
      <c r="R173" s="3" t="s">
        <v>576</v>
      </c>
      <c r="S173" s="26" t="n">
        <f>3965655354</f>
        <v>3.965655354E9</v>
      </c>
      <c r="T173" s="26" t="n">
        <f>885551433</f>
        <v>8.85551433E8</v>
      </c>
      <c r="U173" s="5" t="s">
        <v>149</v>
      </c>
      <c r="V173" s="28" t="n">
        <f>20789342000</f>
        <v>2.0789342E10</v>
      </c>
      <c r="W173" s="5" t="s">
        <v>82</v>
      </c>
      <c r="X173" s="28" t="n">
        <f>399739700</f>
        <v>3.997397E8</v>
      </c>
      <c r="Y173" s="28"/>
      <c r="Z173" s="26" t="n">
        <f>39725</f>
        <v>39725.0</v>
      </c>
      <c r="AA173" s="26" t="n">
        <f>752</f>
        <v>752.0</v>
      </c>
      <c r="AB173" s="4" t="s">
        <v>473</v>
      </c>
      <c r="AC173" s="27" t="n">
        <f>6034</f>
        <v>6034.0</v>
      </c>
      <c r="AD173" s="5" t="s">
        <v>577</v>
      </c>
      <c r="AE173" s="28" t="n">
        <f>595</f>
        <v>595.0</v>
      </c>
    </row>
    <row r="174">
      <c r="A174" s="20" t="s">
        <v>555</v>
      </c>
      <c r="B174" s="21" t="s">
        <v>556</v>
      </c>
      <c r="C174" s="22"/>
      <c r="D174" s="23"/>
      <c r="E174" s="24" t="s">
        <v>92</v>
      </c>
      <c r="F174" s="25" t="n">
        <f>244</f>
        <v>244.0</v>
      </c>
      <c r="G174" s="26" t="n">
        <f>432372</f>
        <v>432372.0</v>
      </c>
      <c r="H174" s="26"/>
      <c r="I174" s="26" t="n">
        <f>101901</f>
        <v>101901.0</v>
      </c>
      <c r="J174" s="26" t="n">
        <f>1772</f>
        <v>1772.0</v>
      </c>
      <c r="K174" s="26" t="n">
        <f>418</f>
        <v>418.0</v>
      </c>
      <c r="L174" s="4" t="s">
        <v>137</v>
      </c>
      <c r="M174" s="27" t="n">
        <f>9525</f>
        <v>9525.0</v>
      </c>
      <c r="N174" s="5" t="s">
        <v>93</v>
      </c>
      <c r="O174" s="28" t="n">
        <f>149</f>
        <v>149.0</v>
      </c>
      <c r="P174" s="3" t="s">
        <v>578</v>
      </c>
      <c r="Q174" s="26"/>
      <c r="R174" s="3" t="s">
        <v>579</v>
      </c>
      <c r="S174" s="26" t="n">
        <f>6125966466</f>
        <v>6.125966466E9</v>
      </c>
      <c r="T174" s="26" t="n">
        <f>1445197545</f>
        <v>1.445197545E9</v>
      </c>
      <c r="U174" s="5" t="s">
        <v>137</v>
      </c>
      <c r="V174" s="28" t="n">
        <f>32176587200</f>
        <v>3.21765872E10</v>
      </c>
      <c r="W174" s="5" t="s">
        <v>93</v>
      </c>
      <c r="X174" s="28" t="n">
        <f>533034500</f>
        <v>5.330345E8</v>
      </c>
      <c r="Y174" s="28"/>
      <c r="Z174" s="26" t="n">
        <f>69156</f>
        <v>69156.0</v>
      </c>
      <c r="AA174" s="26" t="n">
        <f>1186</f>
        <v>1186.0</v>
      </c>
      <c r="AB174" s="4" t="s">
        <v>580</v>
      </c>
      <c r="AC174" s="27" t="n">
        <f>6402</f>
        <v>6402.0</v>
      </c>
      <c r="AD174" s="5" t="s">
        <v>417</v>
      </c>
      <c r="AE174" s="28" t="n">
        <f>1167</f>
        <v>1167.0</v>
      </c>
    </row>
    <row r="175">
      <c r="A175" s="20" t="s">
        <v>555</v>
      </c>
      <c r="B175" s="21" t="s">
        <v>556</v>
      </c>
      <c r="C175" s="22"/>
      <c r="D175" s="23"/>
      <c r="E175" s="24" t="s">
        <v>98</v>
      </c>
      <c r="F175" s="25" t="n">
        <f>245</f>
        <v>245.0</v>
      </c>
      <c r="G175" s="26" t="n">
        <f>691002</f>
        <v>691002.0</v>
      </c>
      <c r="H175" s="26"/>
      <c r="I175" s="26" t="n">
        <f>63462</f>
        <v>63462.0</v>
      </c>
      <c r="J175" s="26" t="n">
        <f>2820</f>
        <v>2820.0</v>
      </c>
      <c r="K175" s="26" t="n">
        <f>259</f>
        <v>259.0</v>
      </c>
      <c r="L175" s="4" t="s">
        <v>234</v>
      </c>
      <c r="M175" s="27" t="n">
        <f>15804</f>
        <v>15804.0</v>
      </c>
      <c r="N175" s="5" t="s">
        <v>491</v>
      </c>
      <c r="O175" s="28" t="n">
        <f>133</f>
        <v>133.0</v>
      </c>
      <c r="P175" s="3" t="s">
        <v>581</v>
      </c>
      <c r="Q175" s="26"/>
      <c r="R175" s="3" t="s">
        <v>582</v>
      </c>
      <c r="S175" s="26" t="n">
        <f>9084106568</f>
        <v>9.084106568E9</v>
      </c>
      <c r="T175" s="26" t="n">
        <f>851012740</f>
        <v>8.5101274E8</v>
      </c>
      <c r="U175" s="5" t="s">
        <v>234</v>
      </c>
      <c r="V175" s="28" t="n">
        <f>52055481000</f>
        <v>5.2055481E10</v>
      </c>
      <c r="W175" s="5" t="s">
        <v>491</v>
      </c>
      <c r="X175" s="28" t="n">
        <f>455063000</f>
        <v>4.55063E8</v>
      </c>
      <c r="Y175" s="28"/>
      <c r="Z175" s="26" t="n">
        <f>127602</f>
        <v>127602.0</v>
      </c>
      <c r="AA175" s="26" t="n">
        <f>6584</f>
        <v>6584.0</v>
      </c>
      <c r="AB175" s="4" t="s">
        <v>110</v>
      </c>
      <c r="AC175" s="27" t="n">
        <f>11813</f>
        <v>11813.0</v>
      </c>
      <c r="AD175" s="5" t="s">
        <v>583</v>
      </c>
      <c r="AE175" s="28" t="n">
        <f>1035</f>
        <v>1035.0</v>
      </c>
    </row>
    <row r="176">
      <c r="A176" s="20" t="s">
        <v>555</v>
      </c>
      <c r="B176" s="21" t="s">
        <v>556</v>
      </c>
      <c r="C176" s="22"/>
      <c r="D176" s="23"/>
      <c r="E176" s="24" t="s">
        <v>103</v>
      </c>
      <c r="F176" s="25" t="n">
        <f>244</f>
        <v>244.0</v>
      </c>
      <c r="G176" s="26" t="n">
        <f>395875</f>
        <v>395875.0</v>
      </c>
      <c r="H176" s="26"/>
      <c r="I176" s="26" t="n">
        <f>10311</f>
        <v>10311.0</v>
      </c>
      <c r="J176" s="26" t="n">
        <f>1622</f>
        <v>1622.0</v>
      </c>
      <c r="K176" s="26" t="n">
        <f>42</f>
        <v>42.0</v>
      </c>
      <c r="L176" s="4" t="s">
        <v>144</v>
      </c>
      <c r="M176" s="27" t="n">
        <f>7341</f>
        <v>7341.0</v>
      </c>
      <c r="N176" s="5" t="s">
        <v>50</v>
      </c>
      <c r="O176" s="28" t="n">
        <f>94</f>
        <v>94.0</v>
      </c>
      <c r="P176" s="3" t="s">
        <v>584</v>
      </c>
      <c r="Q176" s="26"/>
      <c r="R176" s="3" t="s">
        <v>585</v>
      </c>
      <c r="S176" s="26" t="n">
        <f>5722603811</f>
        <v>5.722603811E9</v>
      </c>
      <c r="T176" s="26" t="n">
        <f>147531605</f>
        <v>1.47531605E8</v>
      </c>
      <c r="U176" s="5" t="s">
        <v>144</v>
      </c>
      <c r="V176" s="28" t="n">
        <f>24579041000</f>
        <v>2.4579041E10</v>
      </c>
      <c r="W176" s="5" t="s">
        <v>50</v>
      </c>
      <c r="X176" s="28" t="n">
        <f>354647800</f>
        <v>3.546478E8</v>
      </c>
      <c r="Y176" s="28"/>
      <c r="Z176" s="26" t="n">
        <f>34606</f>
        <v>34606.0</v>
      </c>
      <c r="AA176" s="26" t="n">
        <f>3533</f>
        <v>3533.0</v>
      </c>
      <c r="AB176" s="4" t="s">
        <v>410</v>
      </c>
      <c r="AC176" s="27" t="n">
        <f>11466</f>
        <v>11466.0</v>
      </c>
      <c r="AD176" s="5" t="s">
        <v>380</v>
      </c>
      <c r="AE176" s="28" t="n">
        <f>1940</f>
        <v>1940.0</v>
      </c>
    </row>
    <row r="177">
      <c r="A177" s="20" t="s">
        <v>586</v>
      </c>
      <c r="B177" s="21" t="s">
        <v>587</v>
      </c>
      <c r="C177" s="22"/>
      <c r="D177" s="23"/>
      <c r="E177" s="24" t="s">
        <v>63</v>
      </c>
      <c r="F177" s="25" t="n">
        <f>173</f>
        <v>173.0</v>
      </c>
      <c r="G177" s="26" t="n">
        <f>205</f>
        <v>205.0</v>
      </c>
      <c r="H177" s="26"/>
      <c r="I177" s="26"/>
      <c r="J177" s="26" t="n">
        <f>1</f>
        <v>1.0</v>
      </c>
      <c r="K177" s="26"/>
      <c r="L177" s="4" t="s">
        <v>588</v>
      </c>
      <c r="M177" s="27" t="n">
        <f>100</f>
        <v>100.0</v>
      </c>
      <c r="N177" s="5" t="s">
        <v>589</v>
      </c>
      <c r="O177" s="28" t="str">
        <f>"－"</f>
        <v>－</v>
      </c>
      <c r="P177" s="3" t="s">
        <v>590</v>
      </c>
      <c r="Q177" s="26"/>
      <c r="R177" s="3"/>
      <c r="S177" s="26" t="n">
        <f>1068331</f>
        <v>1068331.0</v>
      </c>
      <c r="T177" s="26"/>
      <c r="U177" s="5" t="s">
        <v>588</v>
      </c>
      <c r="V177" s="28" t="n">
        <f>88685000</f>
        <v>8.8685E7</v>
      </c>
      <c r="W177" s="5" t="s">
        <v>589</v>
      </c>
      <c r="X177" s="28" t="str">
        <f>"－"</f>
        <v>－</v>
      </c>
      <c r="Y177" s="28"/>
      <c r="Z177" s="26" t="str">
        <f>"－"</f>
        <v>－</v>
      </c>
      <c r="AA177" s="26" t="str">
        <f>"－"</f>
        <v>－</v>
      </c>
      <c r="AB177" s="4" t="s">
        <v>560</v>
      </c>
      <c r="AC177" s="27" t="n">
        <f>52</f>
        <v>52.0</v>
      </c>
      <c r="AD177" s="5" t="s">
        <v>297</v>
      </c>
      <c r="AE177" s="28" t="str">
        <f>"－"</f>
        <v>－</v>
      </c>
    </row>
    <row r="178">
      <c r="A178" s="20" t="s">
        <v>586</v>
      </c>
      <c r="B178" s="21" t="s">
        <v>587</v>
      </c>
      <c r="C178" s="22"/>
      <c r="D178" s="23"/>
      <c r="E178" s="24" t="s">
        <v>70</v>
      </c>
      <c r="F178" s="25" t="n">
        <f>245</f>
        <v>245.0</v>
      </c>
      <c r="G178" s="26" t="str">
        <f>"－"</f>
        <v>－</v>
      </c>
      <c r="H178" s="26"/>
      <c r="I178" s="26"/>
      <c r="J178" s="26" t="str">
        <f>"－"</f>
        <v>－</v>
      </c>
      <c r="K178" s="26"/>
      <c r="L178" s="4" t="s">
        <v>399</v>
      </c>
      <c r="M178" s="27" t="str">
        <f>"－"</f>
        <v>－</v>
      </c>
      <c r="N178" s="5" t="s">
        <v>399</v>
      </c>
      <c r="O178" s="28" t="str">
        <f>"－"</f>
        <v>－</v>
      </c>
      <c r="P178" s="3" t="s">
        <v>160</v>
      </c>
      <c r="Q178" s="26"/>
      <c r="R178" s="3"/>
      <c r="S178" s="26" t="str">
        <f>"－"</f>
        <v>－</v>
      </c>
      <c r="T178" s="26"/>
      <c r="U178" s="5" t="s">
        <v>399</v>
      </c>
      <c r="V178" s="28" t="str">
        <f>"－"</f>
        <v>－</v>
      </c>
      <c r="W178" s="5" t="s">
        <v>399</v>
      </c>
      <c r="X178" s="28" t="str">
        <f>"－"</f>
        <v>－</v>
      </c>
      <c r="Y178" s="28"/>
      <c r="Z178" s="26" t="str">
        <f>"－"</f>
        <v>－</v>
      </c>
      <c r="AA178" s="26" t="str">
        <f>"－"</f>
        <v>－</v>
      </c>
      <c r="AB178" s="4" t="s">
        <v>399</v>
      </c>
      <c r="AC178" s="27" t="str">
        <f>"－"</f>
        <v>－</v>
      </c>
      <c r="AD178" s="5" t="s">
        <v>399</v>
      </c>
      <c r="AE178" s="28" t="str">
        <f>"－"</f>
        <v>－</v>
      </c>
    </row>
    <row r="179">
      <c r="A179" s="20" t="s">
        <v>586</v>
      </c>
      <c r="B179" s="21" t="s">
        <v>587</v>
      </c>
      <c r="C179" s="22"/>
      <c r="D179" s="23"/>
      <c r="E179" s="24" t="s">
        <v>76</v>
      </c>
      <c r="F179" s="25" t="n">
        <f>244</f>
        <v>244.0</v>
      </c>
      <c r="G179" s="26" t="n">
        <f>259</f>
        <v>259.0</v>
      </c>
      <c r="H179" s="26"/>
      <c r="I179" s="26"/>
      <c r="J179" s="26" t="n">
        <f>1</f>
        <v>1.0</v>
      </c>
      <c r="K179" s="26"/>
      <c r="L179" s="4" t="s">
        <v>591</v>
      </c>
      <c r="M179" s="27" t="n">
        <f>26</f>
        <v>26.0</v>
      </c>
      <c r="N179" s="5" t="s">
        <v>389</v>
      </c>
      <c r="O179" s="28" t="str">
        <f>"－"</f>
        <v>－</v>
      </c>
      <c r="P179" s="3" t="s">
        <v>592</v>
      </c>
      <c r="Q179" s="26"/>
      <c r="R179" s="3"/>
      <c r="S179" s="26" t="n">
        <f>1067987</f>
        <v>1067987.0</v>
      </c>
      <c r="T179" s="26"/>
      <c r="U179" s="5" t="s">
        <v>591</v>
      </c>
      <c r="V179" s="28" t="n">
        <f>25489800</f>
        <v>2.54898E7</v>
      </c>
      <c r="W179" s="5" t="s">
        <v>389</v>
      </c>
      <c r="X179" s="28" t="str">
        <f>"－"</f>
        <v>－</v>
      </c>
      <c r="Y179" s="28"/>
      <c r="Z179" s="26" t="str">
        <f>"－"</f>
        <v>－</v>
      </c>
      <c r="AA179" s="26" t="str">
        <f>"－"</f>
        <v>－</v>
      </c>
      <c r="AB179" s="4" t="s">
        <v>538</v>
      </c>
      <c r="AC179" s="27" t="n">
        <f>10</f>
        <v>10.0</v>
      </c>
      <c r="AD179" s="5" t="s">
        <v>389</v>
      </c>
      <c r="AE179" s="28" t="str">
        <f>"－"</f>
        <v>－</v>
      </c>
    </row>
    <row r="180">
      <c r="A180" s="20" t="s">
        <v>586</v>
      </c>
      <c r="B180" s="21" t="s">
        <v>587</v>
      </c>
      <c r="C180" s="22"/>
      <c r="D180" s="23"/>
      <c r="E180" s="24" t="s">
        <v>81</v>
      </c>
      <c r="F180" s="25" t="n">
        <f>241</f>
        <v>241.0</v>
      </c>
      <c r="G180" s="26" t="n">
        <f>516</f>
        <v>516.0</v>
      </c>
      <c r="H180" s="26"/>
      <c r="I180" s="26"/>
      <c r="J180" s="26" t="n">
        <f>2</f>
        <v>2.0</v>
      </c>
      <c r="K180" s="26"/>
      <c r="L180" s="4" t="s">
        <v>306</v>
      </c>
      <c r="M180" s="27" t="n">
        <f>61</f>
        <v>61.0</v>
      </c>
      <c r="N180" s="5" t="s">
        <v>213</v>
      </c>
      <c r="O180" s="28" t="str">
        <f>"－"</f>
        <v>－</v>
      </c>
      <c r="P180" s="3" t="s">
        <v>593</v>
      </c>
      <c r="Q180" s="26"/>
      <c r="R180" s="3"/>
      <c r="S180" s="26" t="n">
        <f>2197172</f>
        <v>2197172.0</v>
      </c>
      <c r="T180" s="26"/>
      <c r="U180" s="5" t="s">
        <v>306</v>
      </c>
      <c r="V180" s="28" t="n">
        <f>57902200</f>
        <v>5.79022E7</v>
      </c>
      <c r="W180" s="5" t="s">
        <v>213</v>
      </c>
      <c r="X180" s="28" t="str">
        <f>"－"</f>
        <v>－</v>
      </c>
      <c r="Y180" s="28"/>
      <c r="Z180" s="26" t="str">
        <f>"－"</f>
        <v>－</v>
      </c>
      <c r="AA180" s="26" t="str">
        <f>"－"</f>
        <v>－</v>
      </c>
      <c r="AB180" s="4" t="s">
        <v>182</v>
      </c>
      <c r="AC180" s="27" t="n">
        <f>16</f>
        <v>16.0</v>
      </c>
      <c r="AD180" s="5" t="s">
        <v>213</v>
      </c>
      <c r="AE180" s="28" t="str">
        <f>"－"</f>
        <v>－</v>
      </c>
    </row>
    <row r="181">
      <c r="A181" s="20" t="s">
        <v>586</v>
      </c>
      <c r="B181" s="21" t="s">
        <v>587</v>
      </c>
      <c r="C181" s="22"/>
      <c r="D181" s="23"/>
      <c r="E181" s="24" t="s">
        <v>87</v>
      </c>
      <c r="F181" s="25" t="n">
        <f>245</f>
        <v>245.0</v>
      </c>
      <c r="G181" s="26" t="n">
        <f>1066</f>
        <v>1066.0</v>
      </c>
      <c r="H181" s="26"/>
      <c r="I181" s="26"/>
      <c r="J181" s="26" t="n">
        <f>4</f>
        <v>4.0</v>
      </c>
      <c r="K181" s="26"/>
      <c r="L181" s="4" t="s">
        <v>594</v>
      </c>
      <c r="M181" s="27" t="n">
        <f>115</f>
        <v>115.0</v>
      </c>
      <c r="N181" s="5" t="s">
        <v>213</v>
      </c>
      <c r="O181" s="28" t="str">
        <f>"－"</f>
        <v>－</v>
      </c>
      <c r="P181" s="3" t="s">
        <v>595</v>
      </c>
      <c r="Q181" s="26"/>
      <c r="R181" s="3"/>
      <c r="S181" s="26" t="n">
        <f>6183567</f>
        <v>6183567.0</v>
      </c>
      <c r="T181" s="26"/>
      <c r="U181" s="5" t="s">
        <v>594</v>
      </c>
      <c r="V181" s="28" t="n">
        <f>178337000</f>
        <v>1.78337E8</v>
      </c>
      <c r="W181" s="5" t="s">
        <v>213</v>
      </c>
      <c r="X181" s="28" t="str">
        <f>"－"</f>
        <v>－</v>
      </c>
      <c r="Y181" s="28"/>
      <c r="Z181" s="26" t="n">
        <f>493</f>
        <v>493.0</v>
      </c>
      <c r="AA181" s="26" t="str">
        <f>"－"</f>
        <v>－</v>
      </c>
      <c r="AB181" s="4" t="s">
        <v>596</v>
      </c>
      <c r="AC181" s="27" t="n">
        <f>10</f>
        <v>10.0</v>
      </c>
      <c r="AD181" s="5" t="s">
        <v>213</v>
      </c>
      <c r="AE181" s="28" t="str">
        <f>"－"</f>
        <v>－</v>
      </c>
    </row>
    <row r="182">
      <c r="A182" s="20" t="s">
        <v>586</v>
      </c>
      <c r="B182" s="21" t="s">
        <v>587</v>
      </c>
      <c r="C182" s="22"/>
      <c r="D182" s="23"/>
      <c r="E182" s="24" t="s">
        <v>92</v>
      </c>
      <c r="F182" s="25" t="n">
        <f>244</f>
        <v>244.0</v>
      </c>
      <c r="G182" s="26" t="n">
        <f>12</f>
        <v>12.0</v>
      </c>
      <c r="H182" s="26"/>
      <c r="I182" s="26"/>
      <c r="J182" s="26" t="n">
        <f>0</f>
        <v>0.0</v>
      </c>
      <c r="K182" s="26"/>
      <c r="L182" s="4" t="s">
        <v>395</v>
      </c>
      <c r="M182" s="27" t="n">
        <f>11</f>
        <v>11.0</v>
      </c>
      <c r="N182" s="5" t="s">
        <v>213</v>
      </c>
      <c r="O182" s="28" t="str">
        <f>"－"</f>
        <v>－</v>
      </c>
      <c r="P182" s="3" t="s">
        <v>597</v>
      </c>
      <c r="Q182" s="26"/>
      <c r="R182" s="3"/>
      <c r="S182" s="26" t="n">
        <f>83923</f>
        <v>83923.0</v>
      </c>
      <c r="T182" s="26"/>
      <c r="U182" s="5" t="s">
        <v>395</v>
      </c>
      <c r="V182" s="28" t="n">
        <f>18788300</f>
        <v>1.87883E7</v>
      </c>
      <c r="W182" s="5" t="s">
        <v>213</v>
      </c>
      <c r="X182" s="28" t="str">
        <f>"－"</f>
        <v>－</v>
      </c>
      <c r="Y182" s="28"/>
      <c r="Z182" s="26" t="n">
        <f>12</f>
        <v>12.0</v>
      </c>
      <c r="AA182" s="26" t="str">
        <f>"－"</f>
        <v>－</v>
      </c>
      <c r="AB182" s="4" t="s">
        <v>598</v>
      </c>
      <c r="AC182" s="27" t="n">
        <f>1</f>
        <v>1.0</v>
      </c>
      <c r="AD182" s="5" t="s">
        <v>213</v>
      </c>
      <c r="AE182" s="28" t="str">
        <f>"－"</f>
        <v>－</v>
      </c>
    </row>
    <row r="183">
      <c r="A183" s="20" t="s">
        <v>586</v>
      </c>
      <c r="B183" s="21" t="s">
        <v>587</v>
      </c>
      <c r="C183" s="22"/>
      <c r="D183" s="23"/>
      <c r="E183" s="24" t="s">
        <v>98</v>
      </c>
      <c r="F183" s="25" t="n">
        <f>245</f>
        <v>245.0</v>
      </c>
      <c r="G183" s="26" t="str">
        <f>"－"</f>
        <v>－</v>
      </c>
      <c r="H183" s="26"/>
      <c r="I183" s="26"/>
      <c r="J183" s="26" t="str">
        <f>"－"</f>
        <v>－</v>
      </c>
      <c r="K183" s="26"/>
      <c r="L183" s="4" t="s">
        <v>213</v>
      </c>
      <c r="M183" s="27" t="str">
        <f>"－"</f>
        <v>－</v>
      </c>
      <c r="N183" s="5" t="s">
        <v>213</v>
      </c>
      <c r="O183" s="28" t="str">
        <f>"－"</f>
        <v>－</v>
      </c>
      <c r="P183" s="3" t="s">
        <v>160</v>
      </c>
      <c r="Q183" s="26"/>
      <c r="R183" s="3"/>
      <c r="S183" s="26" t="str">
        <f>"－"</f>
        <v>－</v>
      </c>
      <c r="T183" s="26"/>
      <c r="U183" s="5" t="s">
        <v>213</v>
      </c>
      <c r="V183" s="28" t="str">
        <f>"－"</f>
        <v>－</v>
      </c>
      <c r="W183" s="5" t="s">
        <v>213</v>
      </c>
      <c r="X183" s="28" t="str">
        <f>"－"</f>
        <v>－</v>
      </c>
      <c r="Y183" s="28"/>
      <c r="Z183" s="26" t="str">
        <f>"－"</f>
        <v>－</v>
      </c>
      <c r="AA183" s="26" t="str">
        <f>"－"</f>
        <v>－</v>
      </c>
      <c r="AB183" s="4" t="s">
        <v>213</v>
      </c>
      <c r="AC183" s="27" t="str">
        <f>"－"</f>
        <v>－</v>
      </c>
      <c r="AD183" s="5" t="s">
        <v>213</v>
      </c>
      <c r="AE183" s="28" t="str">
        <f>"－"</f>
        <v>－</v>
      </c>
    </row>
    <row r="184">
      <c r="A184" s="20" t="s">
        <v>586</v>
      </c>
      <c r="B184" s="21" t="s">
        <v>587</v>
      </c>
      <c r="C184" s="22"/>
      <c r="D184" s="23"/>
      <c r="E184" s="24" t="s">
        <v>103</v>
      </c>
      <c r="F184" s="25" t="n">
        <f>244</f>
        <v>244.0</v>
      </c>
      <c r="G184" s="26" t="str">
        <f>"－"</f>
        <v>－</v>
      </c>
      <c r="H184" s="26"/>
      <c r="I184" s="26"/>
      <c r="J184" s="26" t="str">
        <f>"－"</f>
        <v>－</v>
      </c>
      <c r="K184" s="26"/>
      <c r="L184" s="4" t="s">
        <v>399</v>
      </c>
      <c r="M184" s="27" t="str">
        <f>"－"</f>
        <v>－</v>
      </c>
      <c r="N184" s="5" t="s">
        <v>399</v>
      </c>
      <c r="O184" s="28" t="str">
        <f>"－"</f>
        <v>－</v>
      </c>
      <c r="P184" s="3" t="s">
        <v>160</v>
      </c>
      <c r="Q184" s="26"/>
      <c r="R184" s="3"/>
      <c r="S184" s="26" t="str">
        <f>"－"</f>
        <v>－</v>
      </c>
      <c r="T184" s="26"/>
      <c r="U184" s="5" t="s">
        <v>399</v>
      </c>
      <c r="V184" s="28" t="str">
        <f>"－"</f>
        <v>－</v>
      </c>
      <c r="W184" s="5" t="s">
        <v>399</v>
      </c>
      <c r="X184" s="28" t="str">
        <f>"－"</f>
        <v>－</v>
      </c>
      <c r="Y184" s="28"/>
      <c r="Z184" s="26" t="str">
        <f>"－"</f>
        <v>－</v>
      </c>
      <c r="AA184" s="26" t="str">
        <f>"－"</f>
        <v>－</v>
      </c>
      <c r="AB184" s="4" t="s">
        <v>399</v>
      </c>
      <c r="AC184" s="27" t="str">
        <f>"－"</f>
        <v>－</v>
      </c>
      <c r="AD184" s="5" t="s">
        <v>399</v>
      </c>
      <c r="AE184" s="28" t="str">
        <f>"－"</f>
        <v>－</v>
      </c>
    </row>
    <row r="185">
      <c r="A185" s="20" t="s">
        <v>599</v>
      </c>
      <c r="B185" s="21" t="s">
        <v>600</v>
      </c>
      <c r="C185" s="22"/>
      <c r="D185" s="23"/>
      <c r="E185" s="24" t="s">
        <v>63</v>
      </c>
      <c r="F185" s="25" t="n">
        <f>173</f>
        <v>173.0</v>
      </c>
      <c r="G185" s="26" t="str">
        <f>"－"</f>
        <v>－</v>
      </c>
      <c r="H185" s="26"/>
      <c r="I185" s="26" t="str">
        <f>"－"</f>
        <v>－</v>
      </c>
      <c r="J185" s="26" t="str">
        <f>"－"</f>
        <v>－</v>
      </c>
      <c r="K185" s="26" t="str">
        <f>"－"</f>
        <v>－</v>
      </c>
      <c r="L185" s="4" t="s">
        <v>140</v>
      </c>
      <c r="M185" s="27" t="str">
        <f>"－"</f>
        <v>－</v>
      </c>
      <c r="N185" s="5" t="s">
        <v>140</v>
      </c>
      <c r="O185" s="28" t="str">
        <f>"－"</f>
        <v>－</v>
      </c>
      <c r="P185" s="3" t="s">
        <v>160</v>
      </c>
      <c r="Q185" s="26"/>
      <c r="R185" s="3" t="s">
        <v>160</v>
      </c>
      <c r="S185" s="26" t="str">
        <f>"－"</f>
        <v>－</v>
      </c>
      <c r="T185" s="26" t="str">
        <f>"－"</f>
        <v>－</v>
      </c>
      <c r="U185" s="5" t="s">
        <v>140</v>
      </c>
      <c r="V185" s="28" t="str">
        <f>"－"</f>
        <v>－</v>
      </c>
      <c r="W185" s="5" t="s">
        <v>140</v>
      </c>
      <c r="X185" s="28" t="str">
        <f>"－"</f>
        <v>－</v>
      </c>
      <c r="Y185" s="28"/>
      <c r="Z185" s="26" t="str">
        <f>"－"</f>
        <v>－</v>
      </c>
      <c r="AA185" s="26" t="str">
        <f>"－"</f>
        <v>－</v>
      </c>
      <c r="AB185" s="4" t="s">
        <v>140</v>
      </c>
      <c r="AC185" s="27" t="str">
        <f>"－"</f>
        <v>－</v>
      </c>
      <c r="AD185" s="5" t="s">
        <v>140</v>
      </c>
      <c r="AE185" s="28" t="str">
        <f>"－"</f>
        <v>－</v>
      </c>
    </row>
    <row r="186">
      <c r="A186" s="20" t="s">
        <v>599</v>
      </c>
      <c r="B186" s="21" t="s">
        <v>600</v>
      </c>
      <c r="C186" s="22"/>
      <c r="D186" s="23"/>
      <c r="E186" s="24" t="s">
        <v>70</v>
      </c>
      <c r="F186" s="25" t="n">
        <f>245</f>
        <v>245.0</v>
      </c>
      <c r="G186" s="26" t="str">
        <f>"－"</f>
        <v>－</v>
      </c>
      <c r="H186" s="26"/>
      <c r="I186" s="26" t="str">
        <f>"－"</f>
        <v>－</v>
      </c>
      <c r="J186" s="26" t="str">
        <f>"－"</f>
        <v>－</v>
      </c>
      <c r="K186" s="26" t="str">
        <f>"－"</f>
        <v>－</v>
      </c>
      <c r="L186" s="4" t="s">
        <v>399</v>
      </c>
      <c r="M186" s="27" t="str">
        <f>"－"</f>
        <v>－</v>
      </c>
      <c r="N186" s="5" t="s">
        <v>399</v>
      </c>
      <c r="O186" s="28" t="str">
        <f>"－"</f>
        <v>－</v>
      </c>
      <c r="P186" s="3" t="s">
        <v>160</v>
      </c>
      <c r="Q186" s="26"/>
      <c r="R186" s="3" t="s">
        <v>160</v>
      </c>
      <c r="S186" s="26" t="str">
        <f>"－"</f>
        <v>－</v>
      </c>
      <c r="T186" s="26" t="str">
        <f>"－"</f>
        <v>－</v>
      </c>
      <c r="U186" s="5" t="s">
        <v>399</v>
      </c>
      <c r="V186" s="28" t="str">
        <f>"－"</f>
        <v>－</v>
      </c>
      <c r="W186" s="5" t="s">
        <v>399</v>
      </c>
      <c r="X186" s="28" t="str">
        <f>"－"</f>
        <v>－</v>
      </c>
      <c r="Y186" s="28"/>
      <c r="Z186" s="26" t="str">
        <f>"－"</f>
        <v>－</v>
      </c>
      <c r="AA186" s="26" t="str">
        <f>"－"</f>
        <v>－</v>
      </c>
      <c r="AB186" s="4" t="s">
        <v>399</v>
      </c>
      <c r="AC186" s="27" t="str">
        <f>"－"</f>
        <v>－</v>
      </c>
      <c r="AD186" s="5" t="s">
        <v>399</v>
      </c>
      <c r="AE186" s="28" t="str">
        <f>"－"</f>
        <v>－</v>
      </c>
    </row>
    <row r="187">
      <c r="A187" s="20" t="s">
        <v>599</v>
      </c>
      <c r="B187" s="21" t="s">
        <v>600</v>
      </c>
      <c r="C187" s="22"/>
      <c r="D187" s="23"/>
      <c r="E187" s="24" t="s">
        <v>76</v>
      </c>
      <c r="F187" s="25" t="n">
        <f>244</f>
        <v>244.0</v>
      </c>
      <c r="G187" s="26" t="n">
        <f>4</f>
        <v>4.0</v>
      </c>
      <c r="H187" s="26"/>
      <c r="I187" s="26" t="str">
        <f>"－"</f>
        <v>－</v>
      </c>
      <c r="J187" s="26" t="n">
        <f>0</f>
        <v>0.0</v>
      </c>
      <c r="K187" s="26" t="str">
        <f>"－"</f>
        <v>－</v>
      </c>
      <c r="L187" s="4" t="s">
        <v>226</v>
      </c>
      <c r="M187" s="27" t="n">
        <f>2</f>
        <v>2.0</v>
      </c>
      <c r="N187" s="5" t="s">
        <v>389</v>
      </c>
      <c r="O187" s="28" t="str">
        <f>"－"</f>
        <v>－</v>
      </c>
      <c r="P187" s="3" t="s">
        <v>601</v>
      </c>
      <c r="Q187" s="26"/>
      <c r="R187" s="3" t="s">
        <v>160</v>
      </c>
      <c r="S187" s="26" t="n">
        <f>31975</f>
        <v>31975.0</v>
      </c>
      <c r="T187" s="26" t="str">
        <f>"－"</f>
        <v>－</v>
      </c>
      <c r="U187" s="5" t="s">
        <v>226</v>
      </c>
      <c r="V187" s="28" t="n">
        <f>4120000</f>
        <v>4120000.0</v>
      </c>
      <c r="W187" s="5" t="s">
        <v>389</v>
      </c>
      <c r="X187" s="28" t="str">
        <f>"－"</f>
        <v>－</v>
      </c>
      <c r="Y187" s="28"/>
      <c r="Z187" s="26" t="str">
        <f>"－"</f>
        <v>－</v>
      </c>
      <c r="AA187" s="26" t="str">
        <f>"－"</f>
        <v>－</v>
      </c>
      <c r="AB187" s="4" t="s">
        <v>226</v>
      </c>
      <c r="AC187" s="27" t="n">
        <f>2</f>
        <v>2.0</v>
      </c>
      <c r="AD187" s="5" t="s">
        <v>389</v>
      </c>
      <c r="AE187" s="28" t="str">
        <f>"－"</f>
        <v>－</v>
      </c>
    </row>
    <row r="188">
      <c r="A188" s="20" t="s">
        <v>599</v>
      </c>
      <c r="B188" s="21" t="s">
        <v>600</v>
      </c>
      <c r="C188" s="22"/>
      <c r="D188" s="23"/>
      <c r="E188" s="24" t="s">
        <v>81</v>
      </c>
      <c r="F188" s="25" t="n">
        <f>241</f>
        <v>241.0</v>
      </c>
      <c r="G188" s="26" t="n">
        <f>3</f>
        <v>3.0</v>
      </c>
      <c r="H188" s="26"/>
      <c r="I188" s="26" t="str">
        <f>"－"</f>
        <v>－</v>
      </c>
      <c r="J188" s="26" t="n">
        <f>0</f>
        <v>0.0</v>
      </c>
      <c r="K188" s="26" t="str">
        <f>"－"</f>
        <v>－</v>
      </c>
      <c r="L188" s="4" t="s">
        <v>602</v>
      </c>
      <c r="M188" s="27" t="n">
        <f>2</f>
        <v>2.0</v>
      </c>
      <c r="N188" s="5" t="s">
        <v>213</v>
      </c>
      <c r="O188" s="28" t="str">
        <f>"－"</f>
        <v>－</v>
      </c>
      <c r="P188" s="3" t="s">
        <v>603</v>
      </c>
      <c r="Q188" s="26"/>
      <c r="R188" s="3" t="s">
        <v>160</v>
      </c>
      <c r="S188" s="26" t="n">
        <f>22390</f>
        <v>22390.0</v>
      </c>
      <c r="T188" s="26" t="str">
        <f>"－"</f>
        <v>－</v>
      </c>
      <c r="U188" s="5" t="s">
        <v>602</v>
      </c>
      <c r="V188" s="28" t="n">
        <f>3689500</f>
        <v>3689500.0</v>
      </c>
      <c r="W188" s="5" t="s">
        <v>213</v>
      </c>
      <c r="X188" s="28" t="str">
        <f>"－"</f>
        <v>－</v>
      </c>
      <c r="Y188" s="28"/>
      <c r="Z188" s="26" t="str">
        <f>"－"</f>
        <v>－</v>
      </c>
      <c r="AA188" s="26" t="str">
        <f>"－"</f>
        <v>－</v>
      </c>
      <c r="AB188" s="4" t="s">
        <v>602</v>
      </c>
      <c r="AC188" s="27" t="n">
        <f>1</f>
        <v>1.0</v>
      </c>
      <c r="AD188" s="5" t="s">
        <v>213</v>
      </c>
      <c r="AE188" s="28" t="str">
        <f>"－"</f>
        <v>－</v>
      </c>
    </row>
    <row r="189">
      <c r="A189" s="20" t="s">
        <v>599</v>
      </c>
      <c r="B189" s="21" t="s">
        <v>600</v>
      </c>
      <c r="C189" s="22"/>
      <c r="D189" s="23"/>
      <c r="E189" s="24" t="s">
        <v>87</v>
      </c>
      <c r="F189" s="25" t="n">
        <f>245</f>
        <v>245.0</v>
      </c>
      <c r="G189" s="26" t="n">
        <f>172</f>
        <v>172.0</v>
      </c>
      <c r="H189" s="26"/>
      <c r="I189" s="26" t="str">
        <f>"－"</f>
        <v>－</v>
      </c>
      <c r="J189" s="26" t="n">
        <f>1</f>
        <v>1.0</v>
      </c>
      <c r="K189" s="26" t="str">
        <f>"－"</f>
        <v>－</v>
      </c>
      <c r="L189" s="4" t="s">
        <v>604</v>
      </c>
      <c r="M189" s="27" t="n">
        <f>15</f>
        <v>15.0</v>
      </c>
      <c r="N189" s="5" t="s">
        <v>213</v>
      </c>
      <c r="O189" s="28" t="str">
        <f>"－"</f>
        <v>－</v>
      </c>
      <c r="P189" s="3" t="s">
        <v>605</v>
      </c>
      <c r="Q189" s="26"/>
      <c r="R189" s="3" t="s">
        <v>160</v>
      </c>
      <c r="S189" s="26" t="n">
        <f>1521920</f>
        <v>1521920.0</v>
      </c>
      <c r="T189" s="26" t="str">
        <f>"－"</f>
        <v>－</v>
      </c>
      <c r="U189" s="5" t="s">
        <v>604</v>
      </c>
      <c r="V189" s="28" t="n">
        <f>34549500</f>
        <v>3.45495E7</v>
      </c>
      <c r="W189" s="5" t="s">
        <v>213</v>
      </c>
      <c r="X189" s="28" t="str">
        <f>"－"</f>
        <v>－</v>
      </c>
      <c r="Y189" s="28"/>
      <c r="Z189" s="26" t="str">
        <f>"－"</f>
        <v>－</v>
      </c>
      <c r="AA189" s="26" t="str">
        <f>"－"</f>
        <v>－</v>
      </c>
      <c r="AB189" s="4" t="s">
        <v>102</v>
      </c>
      <c r="AC189" s="27" t="n">
        <f>30</f>
        <v>30.0</v>
      </c>
      <c r="AD189" s="5" t="s">
        <v>213</v>
      </c>
      <c r="AE189" s="28" t="str">
        <f>"－"</f>
        <v>－</v>
      </c>
    </row>
    <row r="190">
      <c r="A190" s="20" t="s">
        <v>599</v>
      </c>
      <c r="B190" s="21" t="s">
        <v>600</v>
      </c>
      <c r="C190" s="22"/>
      <c r="D190" s="23"/>
      <c r="E190" s="24" t="s">
        <v>92</v>
      </c>
      <c r="F190" s="25" t="n">
        <f>244</f>
        <v>244.0</v>
      </c>
      <c r="G190" s="26" t="str">
        <f>"－"</f>
        <v>－</v>
      </c>
      <c r="H190" s="26"/>
      <c r="I190" s="26" t="str">
        <f>"－"</f>
        <v>－</v>
      </c>
      <c r="J190" s="26" t="str">
        <f>"－"</f>
        <v>－</v>
      </c>
      <c r="K190" s="26" t="str">
        <f>"－"</f>
        <v>－</v>
      </c>
      <c r="L190" s="4" t="s">
        <v>213</v>
      </c>
      <c r="M190" s="27" t="str">
        <f>"－"</f>
        <v>－</v>
      </c>
      <c r="N190" s="5" t="s">
        <v>213</v>
      </c>
      <c r="O190" s="28" t="str">
        <f>"－"</f>
        <v>－</v>
      </c>
      <c r="P190" s="3" t="s">
        <v>160</v>
      </c>
      <c r="Q190" s="26"/>
      <c r="R190" s="3" t="s">
        <v>160</v>
      </c>
      <c r="S190" s="26" t="str">
        <f>"－"</f>
        <v>－</v>
      </c>
      <c r="T190" s="26" t="str">
        <f>"－"</f>
        <v>－</v>
      </c>
      <c r="U190" s="5" t="s">
        <v>213</v>
      </c>
      <c r="V190" s="28" t="str">
        <f>"－"</f>
        <v>－</v>
      </c>
      <c r="W190" s="5" t="s">
        <v>213</v>
      </c>
      <c r="X190" s="28" t="str">
        <f>"－"</f>
        <v>－</v>
      </c>
      <c r="Y190" s="28"/>
      <c r="Z190" s="26" t="str">
        <f>"－"</f>
        <v>－</v>
      </c>
      <c r="AA190" s="26" t="str">
        <f>"－"</f>
        <v>－</v>
      </c>
      <c r="AB190" s="4" t="s">
        <v>213</v>
      </c>
      <c r="AC190" s="27" t="str">
        <f>"－"</f>
        <v>－</v>
      </c>
      <c r="AD190" s="5" t="s">
        <v>213</v>
      </c>
      <c r="AE190" s="28" t="str">
        <f>"－"</f>
        <v>－</v>
      </c>
    </row>
    <row r="191">
      <c r="A191" s="20" t="s">
        <v>599</v>
      </c>
      <c r="B191" s="21" t="s">
        <v>600</v>
      </c>
      <c r="C191" s="22"/>
      <c r="D191" s="23"/>
      <c r="E191" s="24" t="s">
        <v>98</v>
      </c>
      <c r="F191" s="25" t="n">
        <f>245</f>
        <v>245.0</v>
      </c>
      <c r="G191" s="26" t="str">
        <f>"－"</f>
        <v>－</v>
      </c>
      <c r="H191" s="26"/>
      <c r="I191" s="26" t="str">
        <f>"－"</f>
        <v>－</v>
      </c>
      <c r="J191" s="26" t="str">
        <f>"－"</f>
        <v>－</v>
      </c>
      <c r="K191" s="26" t="str">
        <f>"－"</f>
        <v>－</v>
      </c>
      <c r="L191" s="4" t="s">
        <v>213</v>
      </c>
      <c r="M191" s="27" t="str">
        <f>"－"</f>
        <v>－</v>
      </c>
      <c r="N191" s="5" t="s">
        <v>213</v>
      </c>
      <c r="O191" s="28" t="str">
        <f>"－"</f>
        <v>－</v>
      </c>
      <c r="P191" s="3" t="s">
        <v>160</v>
      </c>
      <c r="Q191" s="26"/>
      <c r="R191" s="3" t="s">
        <v>160</v>
      </c>
      <c r="S191" s="26" t="str">
        <f>"－"</f>
        <v>－</v>
      </c>
      <c r="T191" s="26" t="str">
        <f>"－"</f>
        <v>－</v>
      </c>
      <c r="U191" s="5" t="s">
        <v>213</v>
      </c>
      <c r="V191" s="28" t="str">
        <f>"－"</f>
        <v>－</v>
      </c>
      <c r="W191" s="5" t="s">
        <v>213</v>
      </c>
      <c r="X191" s="28" t="str">
        <f>"－"</f>
        <v>－</v>
      </c>
      <c r="Y191" s="28"/>
      <c r="Z191" s="26" t="str">
        <f>"－"</f>
        <v>－</v>
      </c>
      <c r="AA191" s="26" t="str">
        <f>"－"</f>
        <v>－</v>
      </c>
      <c r="AB191" s="4" t="s">
        <v>213</v>
      </c>
      <c r="AC191" s="27" t="str">
        <f>"－"</f>
        <v>－</v>
      </c>
      <c r="AD191" s="5" t="s">
        <v>213</v>
      </c>
      <c r="AE191" s="28" t="str">
        <f>"－"</f>
        <v>－</v>
      </c>
    </row>
    <row r="192">
      <c r="A192" s="20" t="s">
        <v>599</v>
      </c>
      <c r="B192" s="21" t="s">
        <v>600</v>
      </c>
      <c r="C192" s="22"/>
      <c r="D192" s="23"/>
      <c r="E192" s="24" t="s">
        <v>103</v>
      </c>
      <c r="F192" s="25" t="n">
        <f>244</f>
        <v>244.0</v>
      </c>
      <c r="G192" s="26" t="str">
        <f>"－"</f>
        <v>－</v>
      </c>
      <c r="H192" s="26"/>
      <c r="I192" s="26" t="str">
        <f>"－"</f>
        <v>－</v>
      </c>
      <c r="J192" s="26" t="str">
        <f>"－"</f>
        <v>－</v>
      </c>
      <c r="K192" s="26" t="str">
        <f>"－"</f>
        <v>－</v>
      </c>
      <c r="L192" s="4" t="s">
        <v>399</v>
      </c>
      <c r="M192" s="27" t="str">
        <f>"－"</f>
        <v>－</v>
      </c>
      <c r="N192" s="5" t="s">
        <v>399</v>
      </c>
      <c r="O192" s="28" t="str">
        <f>"－"</f>
        <v>－</v>
      </c>
      <c r="P192" s="3" t="s">
        <v>160</v>
      </c>
      <c r="Q192" s="26"/>
      <c r="R192" s="3" t="s">
        <v>160</v>
      </c>
      <c r="S192" s="26" t="str">
        <f>"－"</f>
        <v>－</v>
      </c>
      <c r="T192" s="26" t="str">
        <f>"－"</f>
        <v>－</v>
      </c>
      <c r="U192" s="5" t="s">
        <v>399</v>
      </c>
      <c r="V192" s="28" t="str">
        <f>"－"</f>
        <v>－</v>
      </c>
      <c r="W192" s="5" t="s">
        <v>399</v>
      </c>
      <c r="X192" s="28" t="str">
        <f>"－"</f>
        <v>－</v>
      </c>
      <c r="Y192" s="28"/>
      <c r="Z192" s="26" t="str">
        <f>"－"</f>
        <v>－</v>
      </c>
      <c r="AA192" s="26" t="str">
        <f>"－"</f>
        <v>－</v>
      </c>
      <c r="AB192" s="4" t="s">
        <v>399</v>
      </c>
      <c r="AC192" s="27" t="str">
        <f>"－"</f>
        <v>－</v>
      </c>
      <c r="AD192" s="5" t="s">
        <v>399</v>
      </c>
      <c r="AE192" s="28" t="str">
        <f>"－"</f>
        <v>－</v>
      </c>
    </row>
    <row r="193">
      <c r="A193" s="20" t="s">
        <v>606</v>
      </c>
      <c r="B193" s="21" t="s">
        <v>607</v>
      </c>
      <c r="C193" s="22"/>
      <c r="D193" s="23"/>
      <c r="E193" s="24" t="s">
        <v>255</v>
      </c>
      <c r="F193" s="25" t="n">
        <f>168</f>
        <v>168.0</v>
      </c>
      <c r="G193" s="26" t="n">
        <f>56853</f>
        <v>56853.0</v>
      </c>
      <c r="H193" s="26"/>
      <c r="I193" s="26" t="n">
        <f>49701</f>
        <v>49701.0</v>
      </c>
      <c r="J193" s="26" t="n">
        <f>338</f>
        <v>338.0</v>
      </c>
      <c r="K193" s="26" t="n">
        <f>296</f>
        <v>296.0</v>
      </c>
      <c r="L193" s="4" t="s">
        <v>608</v>
      </c>
      <c r="M193" s="27" t="n">
        <f>5000</f>
        <v>5000.0</v>
      </c>
      <c r="N193" s="5" t="s">
        <v>514</v>
      </c>
      <c r="O193" s="28" t="str">
        <f>"－"</f>
        <v>－</v>
      </c>
      <c r="P193" s="3" t="s">
        <v>609</v>
      </c>
      <c r="Q193" s="26"/>
      <c r="R193" s="3" t="s">
        <v>610</v>
      </c>
      <c r="S193" s="26" t="n">
        <f>59390676</f>
        <v>5.9390676E7</v>
      </c>
      <c r="T193" s="26" t="n">
        <f>52096836</f>
        <v>5.2096836E7</v>
      </c>
      <c r="U193" s="5" t="s">
        <v>434</v>
      </c>
      <c r="V193" s="28" t="n">
        <f>935000000</f>
        <v>9.35E8</v>
      </c>
      <c r="W193" s="5" t="s">
        <v>514</v>
      </c>
      <c r="X193" s="28" t="str">
        <f>"－"</f>
        <v>－</v>
      </c>
      <c r="Y193" s="28"/>
      <c r="Z193" s="26" t="str">
        <f>"－"</f>
        <v>－</v>
      </c>
      <c r="AA193" s="26" t="n">
        <f>28600</f>
        <v>28600.0</v>
      </c>
      <c r="AB193" s="4" t="s">
        <v>149</v>
      </c>
      <c r="AC193" s="27" t="n">
        <f>28600</f>
        <v>28600.0</v>
      </c>
      <c r="AD193" s="5" t="s">
        <v>611</v>
      </c>
      <c r="AE193" s="28" t="n">
        <f>40</f>
        <v>40.0</v>
      </c>
    </row>
    <row r="194">
      <c r="A194" s="20" t="s">
        <v>606</v>
      </c>
      <c r="B194" s="21" t="s">
        <v>607</v>
      </c>
      <c r="C194" s="22"/>
      <c r="D194" s="23"/>
      <c r="E194" s="24" t="s">
        <v>258</v>
      </c>
      <c r="F194" s="25" t="n">
        <f>246</f>
        <v>246.0</v>
      </c>
      <c r="G194" s="26" t="n">
        <f>24650</f>
        <v>24650.0</v>
      </c>
      <c r="H194" s="26"/>
      <c r="I194" s="26" t="n">
        <f>23650</f>
        <v>23650.0</v>
      </c>
      <c r="J194" s="26" t="n">
        <f>100</f>
        <v>100.0</v>
      </c>
      <c r="K194" s="26" t="n">
        <f>96</f>
        <v>96.0</v>
      </c>
      <c r="L194" s="4" t="s">
        <v>268</v>
      </c>
      <c r="M194" s="27" t="n">
        <f>4000</f>
        <v>4000.0</v>
      </c>
      <c r="N194" s="5" t="s">
        <v>213</v>
      </c>
      <c r="O194" s="28" t="str">
        <f>"－"</f>
        <v>－</v>
      </c>
      <c r="P194" s="3" t="s">
        <v>612</v>
      </c>
      <c r="Q194" s="26"/>
      <c r="R194" s="3" t="s">
        <v>613</v>
      </c>
      <c r="S194" s="26" t="n">
        <f>16874390</f>
        <v>1.687439E7</v>
      </c>
      <c r="T194" s="26" t="n">
        <f>16185366</f>
        <v>1.6185366E7</v>
      </c>
      <c r="U194" s="5" t="s">
        <v>614</v>
      </c>
      <c r="V194" s="28" t="n">
        <f>690000000</f>
        <v>6.9E8</v>
      </c>
      <c r="W194" s="5" t="s">
        <v>213</v>
      </c>
      <c r="X194" s="28" t="str">
        <f>"－"</f>
        <v>－</v>
      </c>
      <c r="Y194" s="28"/>
      <c r="Z194" s="26" t="n">
        <f>10250</f>
        <v>10250.0</v>
      </c>
      <c r="AA194" s="26" t="n">
        <f>37630</f>
        <v>37630.0</v>
      </c>
      <c r="AB194" s="4" t="s">
        <v>615</v>
      </c>
      <c r="AC194" s="27" t="n">
        <f>37630</f>
        <v>37630.0</v>
      </c>
      <c r="AD194" s="5" t="s">
        <v>213</v>
      </c>
      <c r="AE194" s="28" t="n">
        <f>28480</f>
        <v>28480.0</v>
      </c>
    </row>
    <row r="195">
      <c r="A195" s="20" t="s">
        <v>606</v>
      </c>
      <c r="B195" s="21" t="s">
        <v>607</v>
      </c>
      <c r="C195" s="22"/>
      <c r="D195" s="23"/>
      <c r="E195" s="24" t="s">
        <v>261</v>
      </c>
      <c r="F195" s="25" t="n">
        <f>245</f>
        <v>245.0</v>
      </c>
      <c r="G195" s="26" t="n">
        <f>162086</f>
        <v>162086.0</v>
      </c>
      <c r="H195" s="26"/>
      <c r="I195" s="26" t="n">
        <f>161586</f>
        <v>161586.0</v>
      </c>
      <c r="J195" s="26" t="n">
        <f>662</f>
        <v>662.0</v>
      </c>
      <c r="K195" s="26" t="n">
        <f>660</f>
        <v>660.0</v>
      </c>
      <c r="L195" s="4" t="s">
        <v>616</v>
      </c>
      <c r="M195" s="27" t="n">
        <f>48299</f>
        <v>48299.0</v>
      </c>
      <c r="N195" s="5" t="s">
        <v>389</v>
      </c>
      <c r="O195" s="28" t="str">
        <f>"－"</f>
        <v>－</v>
      </c>
      <c r="P195" s="3" t="s">
        <v>617</v>
      </c>
      <c r="Q195" s="26"/>
      <c r="R195" s="3" t="s">
        <v>618</v>
      </c>
      <c r="S195" s="26" t="n">
        <f>134902951</f>
        <v>1.34902951E8</v>
      </c>
      <c r="T195" s="26" t="n">
        <f>134525808</f>
        <v>1.34525808E8</v>
      </c>
      <c r="U195" s="5" t="s">
        <v>616</v>
      </c>
      <c r="V195" s="28" t="n">
        <f>9799867100</f>
        <v>9.7998671E9</v>
      </c>
      <c r="W195" s="5" t="s">
        <v>389</v>
      </c>
      <c r="X195" s="28" t="str">
        <f>"－"</f>
        <v>－</v>
      </c>
      <c r="Y195" s="28"/>
      <c r="Z195" s="26" t="n">
        <f>65561</f>
        <v>65561.0</v>
      </c>
      <c r="AA195" s="26" t="n">
        <f>176506</f>
        <v>176506.0</v>
      </c>
      <c r="AB195" s="4" t="s">
        <v>274</v>
      </c>
      <c r="AC195" s="27" t="n">
        <f>176506</f>
        <v>176506.0</v>
      </c>
      <c r="AD195" s="5" t="s">
        <v>619</v>
      </c>
      <c r="AE195" s="28" t="n">
        <f>28631</f>
        <v>28631.0</v>
      </c>
    </row>
    <row r="196">
      <c r="A196" s="20" t="s">
        <v>606</v>
      </c>
      <c r="B196" s="21" t="s">
        <v>607</v>
      </c>
      <c r="C196" s="22"/>
      <c r="D196" s="23"/>
      <c r="E196" s="24" t="s">
        <v>265</v>
      </c>
      <c r="F196" s="25" t="n">
        <f>245</f>
        <v>245.0</v>
      </c>
      <c r="G196" s="26" t="n">
        <f>77450</f>
        <v>77450.0</v>
      </c>
      <c r="H196" s="26"/>
      <c r="I196" s="26" t="n">
        <f>77185</f>
        <v>77185.0</v>
      </c>
      <c r="J196" s="26" t="n">
        <f>316</f>
        <v>316.0</v>
      </c>
      <c r="K196" s="26" t="n">
        <f>315</f>
        <v>315.0</v>
      </c>
      <c r="L196" s="4" t="s">
        <v>317</v>
      </c>
      <c r="M196" s="27" t="n">
        <f>34925</f>
        <v>34925.0</v>
      </c>
      <c r="N196" s="5" t="s">
        <v>213</v>
      </c>
      <c r="O196" s="28" t="str">
        <f>"－"</f>
        <v>－</v>
      </c>
      <c r="P196" s="3" t="s">
        <v>620</v>
      </c>
      <c r="Q196" s="26"/>
      <c r="R196" s="3" t="s">
        <v>621</v>
      </c>
      <c r="S196" s="26" t="n">
        <f>77093239</f>
        <v>7.7093239E7</v>
      </c>
      <c r="T196" s="26" t="n">
        <f>76845688</f>
        <v>7.6845688E7</v>
      </c>
      <c r="U196" s="5" t="s">
        <v>317</v>
      </c>
      <c r="V196" s="28" t="n">
        <f>8415305000</f>
        <v>8.415305E9</v>
      </c>
      <c r="W196" s="5" t="s">
        <v>213</v>
      </c>
      <c r="X196" s="28" t="str">
        <f>"－"</f>
        <v>－</v>
      </c>
      <c r="Y196" s="28"/>
      <c r="Z196" s="26" t="n">
        <f>62695</f>
        <v>62695.0</v>
      </c>
      <c r="AA196" s="26" t="n">
        <f>111751</f>
        <v>111751.0</v>
      </c>
      <c r="AB196" s="4" t="s">
        <v>622</v>
      </c>
      <c r="AC196" s="27" t="n">
        <f>167345</f>
        <v>167345.0</v>
      </c>
      <c r="AD196" s="5" t="s">
        <v>623</v>
      </c>
      <c r="AE196" s="28" t="n">
        <f>110751</f>
        <v>110751.0</v>
      </c>
    </row>
    <row r="197">
      <c r="A197" s="20" t="s">
        <v>606</v>
      </c>
      <c r="B197" s="21" t="s">
        <v>607</v>
      </c>
      <c r="C197" s="22"/>
      <c r="D197" s="23"/>
      <c r="E197" s="24" t="s">
        <v>48</v>
      </c>
      <c r="F197" s="25" t="n">
        <f>246</f>
        <v>246.0</v>
      </c>
      <c r="G197" s="26" t="n">
        <f>8802</f>
        <v>8802.0</v>
      </c>
      <c r="H197" s="26"/>
      <c r="I197" s="26" t="n">
        <f>8767</f>
        <v>8767.0</v>
      </c>
      <c r="J197" s="26" t="n">
        <f>36</f>
        <v>36.0</v>
      </c>
      <c r="K197" s="26" t="n">
        <f>36</f>
        <v>36.0</v>
      </c>
      <c r="L197" s="4" t="s">
        <v>624</v>
      </c>
      <c r="M197" s="27" t="n">
        <f>2180</f>
        <v>2180.0</v>
      </c>
      <c r="N197" s="5" t="s">
        <v>213</v>
      </c>
      <c r="O197" s="28" t="str">
        <f>"－"</f>
        <v>－</v>
      </c>
      <c r="P197" s="3" t="s">
        <v>625</v>
      </c>
      <c r="Q197" s="26"/>
      <c r="R197" s="3" t="s">
        <v>626</v>
      </c>
      <c r="S197" s="26" t="n">
        <f>9383392</f>
        <v>9383392.0</v>
      </c>
      <c r="T197" s="26" t="n">
        <f>9336868</f>
        <v>9336868.0</v>
      </c>
      <c r="U197" s="5" t="s">
        <v>624</v>
      </c>
      <c r="V197" s="28" t="n">
        <f>573776000</f>
        <v>5.73776E8</v>
      </c>
      <c r="W197" s="5" t="s">
        <v>213</v>
      </c>
      <c r="X197" s="28" t="str">
        <f>"－"</f>
        <v>－</v>
      </c>
      <c r="Y197" s="28"/>
      <c r="Z197" s="26" t="str">
        <f>"－"</f>
        <v>－</v>
      </c>
      <c r="AA197" s="26" t="n">
        <f>47239</f>
        <v>47239.0</v>
      </c>
      <c r="AB197" s="4" t="s">
        <v>213</v>
      </c>
      <c r="AC197" s="27" t="n">
        <f>55971</f>
        <v>55971.0</v>
      </c>
      <c r="AD197" s="5" t="s">
        <v>85</v>
      </c>
      <c r="AE197" s="28" t="n">
        <f>47229</f>
        <v>47229.0</v>
      </c>
    </row>
    <row r="198">
      <c r="A198" s="20" t="s">
        <v>606</v>
      </c>
      <c r="B198" s="21" t="s">
        <v>607</v>
      </c>
      <c r="C198" s="22"/>
      <c r="D198" s="23"/>
      <c r="E198" s="24" t="s">
        <v>56</v>
      </c>
      <c r="F198" s="25" t="n">
        <f>245</f>
        <v>245.0</v>
      </c>
      <c r="G198" s="26" t="n">
        <f>100</f>
        <v>100.0</v>
      </c>
      <c r="H198" s="26"/>
      <c r="I198" s="26" t="n">
        <f>10</f>
        <v>10.0</v>
      </c>
      <c r="J198" s="26" t="n">
        <f>0</f>
        <v>0.0</v>
      </c>
      <c r="K198" s="26" t="n">
        <f>0</f>
        <v>0.0</v>
      </c>
      <c r="L198" s="4" t="s">
        <v>627</v>
      </c>
      <c r="M198" s="27" t="n">
        <f>55</f>
        <v>55.0</v>
      </c>
      <c r="N198" s="5" t="s">
        <v>213</v>
      </c>
      <c r="O198" s="28" t="str">
        <f>"－"</f>
        <v>－</v>
      </c>
      <c r="P198" s="3" t="s">
        <v>628</v>
      </c>
      <c r="Q198" s="26"/>
      <c r="R198" s="3" t="s">
        <v>629</v>
      </c>
      <c r="S198" s="26" t="n">
        <f>139855</f>
        <v>139855.0</v>
      </c>
      <c r="T198" s="26" t="n">
        <f>12122</f>
        <v>12122.0</v>
      </c>
      <c r="U198" s="5" t="s">
        <v>627</v>
      </c>
      <c r="V198" s="28" t="n">
        <f>18575500</f>
        <v>1.85755E7</v>
      </c>
      <c r="W198" s="5" t="s">
        <v>213</v>
      </c>
      <c r="X198" s="28" t="str">
        <f>"－"</f>
        <v>－</v>
      </c>
      <c r="Y198" s="28"/>
      <c r="Z198" s="26" t="str">
        <f>"－"</f>
        <v>－</v>
      </c>
      <c r="AA198" s="26" t="n">
        <f>6515</f>
        <v>6515.0</v>
      </c>
      <c r="AB198" s="4" t="s">
        <v>630</v>
      </c>
      <c r="AC198" s="27" t="n">
        <f>6570</f>
        <v>6570.0</v>
      </c>
      <c r="AD198" s="5" t="s">
        <v>627</v>
      </c>
      <c r="AE198" s="28" t="n">
        <f>6515</f>
        <v>6515.0</v>
      </c>
    </row>
    <row r="199">
      <c r="A199" s="20" t="s">
        <v>606</v>
      </c>
      <c r="B199" s="21" t="s">
        <v>607</v>
      </c>
      <c r="C199" s="22"/>
      <c r="D199" s="23"/>
      <c r="E199" s="24" t="s">
        <v>63</v>
      </c>
      <c r="F199" s="25" t="n">
        <f>245</f>
        <v>245.0</v>
      </c>
      <c r="G199" s="26" t="n">
        <f>19735</f>
        <v>19735.0</v>
      </c>
      <c r="H199" s="26"/>
      <c r="I199" s="26" t="n">
        <f>19735</f>
        <v>19735.0</v>
      </c>
      <c r="J199" s="26" t="n">
        <f>81</f>
        <v>81.0</v>
      </c>
      <c r="K199" s="26" t="n">
        <f>81</f>
        <v>81.0</v>
      </c>
      <c r="L199" s="4" t="s">
        <v>175</v>
      </c>
      <c r="M199" s="27" t="n">
        <f>16300</f>
        <v>16300.0</v>
      </c>
      <c r="N199" s="5" t="s">
        <v>213</v>
      </c>
      <c r="O199" s="28" t="str">
        <f>"－"</f>
        <v>－</v>
      </c>
      <c r="P199" s="3" t="s">
        <v>631</v>
      </c>
      <c r="Q199" s="26"/>
      <c r="R199" s="3" t="s">
        <v>631</v>
      </c>
      <c r="S199" s="26" t="n">
        <f>27744122</f>
        <v>2.7744122E7</v>
      </c>
      <c r="T199" s="26" t="n">
        <f>27744122</f>
        <v>2.7744122E7</v>
      </c>
      <c r="U199" s="5" t="s">
        <v>175</v>
      </c>
      <c r="V199" s="28" t="n">
        <f>5553410000</f>
        <v>5.55341E9</v>
      </c>
      <c r="W199" s="5" t="s">
        <v>213</v>
      </c>
      <c r="X199" s="28" t="str">
        <f>"－"</f>
        <v>－</v>
      </c>
      <c r="Y199" s="28"/>
      <c r="Z199" s="26" t="str">
        <f>"－"</f>
        <v>－</v>
      </c>
      <c r="AA199" s="26" t="n">
        <f>16415</f>
        <v>16415.0</v>
      </c>
      <c r="AB199" s="4" t="s">
        <v>175</v>
      </c>
      <c r="AC199" s="27" t="n">
        <f>19815</f>
        <v>19815.0</v>
      </c>
      <c r="AD199" s="5" t="s">
        <v>213</v>
      </c>
      <c r="AE199" s="28" t="n">
        <f>3515</f>
        <v>3515.0</v>
      </c>
    </row>
    <row r="200">
      <c r="A200" s="20" t="s">
        <v>606</v>
      </c>
      <c r="B200" s="21" t="s">
        <v>607</v>
      </c>
      <c r="C200" s="22"/>
      <c r="D200" s="23"/>
      <c r="E200" s="24" t="s">
        <v>70</v>
      </c>
      <c r="F200" s="25" t="n">
        <f>245</f>
        <v>245.0</v>
      </c>
      <c r="G200" s="26" t="n">
        <f>6492</f>
        <v>6492.0</v>
      </c>
      <c r="H200" s="26"/>
      <c r="I200" s="26" t="n">
        <f>6490</f>
        <v>6490.0</v>
      </c>
      <c r="J200" s="26" t="n">
        <f>26</f>
        <v>26.0</v>
      </c>
      <c r="K200" s="26" t="n">
        <f>26</f>
        <v>26.0</v>
      </c>
      <c r="L200" s="4" t="s">
        <v>448</v>
      </c>
      <c r="M200" s="27" t="n">
        <f>2800</f>
        <v>2800.0</v>
      </c>
      <c r="N200" s="5" t="s">
        <v>399</v>
      </c>
      <c r="O200" s="28" t="str">
        <f>"－"</f>
        <v>－</v>
      </c>
      <c r="P200" s="3" t="s">
        <v>632</v>
      </c>
      <c r="Q200" s="26"/>
      <c r="R200" s="3" t="s">
        <v>633</v>
      </c>
      <c r="S200" s="26" t="n">
        <f>10294143</f>
        <v>1.0294143E7</v>
      </c>
      <c r="T200" s="26" t="n">
        <f>10290531</f>
        <v>1.0290531E7</v>
      </c>
      <c r="U200" s="5" t="s">
        <v>448</v>
      </c>
      <c r="V200" s="28" t="n">
        <f>1052800000</f>
        <v>1.0528E9</v>
      </c>
      <c r="W200" s="5" t="s">
        <v>399</v>
      </c>
      <c r="X200" s="28" t="str">
        <f>"－"</f>
        <v>－</v>
      </c>
      <c r="Y200" s="28"/>
      <c r="Z200" s="26" t="str">
        <f>"－"</f>
        <v>－</v>
      </c>
      <c r="AA200" s="26" t="n">
        <f>7412</f>
        <v>7412.0</v>
      </c>
      <c r="AB200" s="4" t="s">
        <v>399</v>
      </c>
      <c r="AC200" s="27" t="n">
        <f>13900</f>
        <v>13900.0</v>
      </c>
      <c r="AD200" s="5" t="s">
        <v>167</v>
      </c>
      <c r="AE200" s="28" t="n">
        <f>7412</f>
        <v>7412.0</v>
      </c>
    </row>
    <row r="201">
      <c r="A201" s="20" t="s">
        <v>606</v>
      </c>
      <c r="B201" s="21" t="s">
        <v>607</v>
      </c>
      <c r="C201" s="22"/>
      <c r="D201" s="23"/>
      <c r="E201" s="24" t="s">
        <v>76</v>
      </c>
      <c r="F201" s="25" t="n">
        <f>244</f>
        <v>244.0</v>
      </c>
      <c r="G201" s="26" t="n">
        <f>2790</f>
        <v>2790.0</v>
      </c>
      <c r="H201" s="26"/>
      <c r="I201" s="26" t="n">
        <f>2784</f>
        <v>2784.0</v>
      </c>
      <c r="J201" s="26" t="n">
        <f>11</f>
        <v>11.0</v>
      </c>
      <c r="K201" s="26" t="n">
        <f>11</f>
        <v>11.0</v>
      </c>
      <c r="L201" s="4" t="s">
        <v>140</v>
      </c>
      <c r="M201" s="27" t="n">
        <f>1230</f>
        <v>1230.0</v>
      </c>
      <c r="N201" s="5" t="s">
        <v>389</v>
      </c>
      <c r="O201" s="28" t="str">
        <f>"－"</f>
        <v>－</v>
      </c>
      <c r="P201" s="3" t="s">
        <v>634</v>
      </c>
      <c r="Q201" s="26"/>
      <c r="R201" s="3" t="s">
        <v>635</v>
      </c>
      <c r="S201" s="26" t="n">
        <f>4943395</f>
        <v>4943395.0</v>
      </c>
      <c r="T201" s="26" t="n">
        <f>4932197</f>
        <v>4932197.0</v>
      </c>
      <c r="U201" s="5" t="s">
        <v>636</v>
      </c>
      <c r="V201" s="28" t="n">
        <f>522585000</f>
        <v>5.22585E8</v>
      </c>
      <c r="W201" s="5" t="s">
        <v>389</v>
      </c>
      <c r="X201" s="28" t="str">
        <f>"－"</f>
        <v>－</v>
      </c>
      <c r="Y201" s="28"/>
      <c r="Z201" s="26" t="str">
        <f>"－"</f>
        <v>－</v>
      </c>
      <c r="AA201" s="26" t="n">
        <f>3634</f>
        <v>3634.0</v>
      </c>
      <c r="AB201" s="4" t="s">
        <v>389</v>
      </c>
      <c r="AC201" s="27" t="n">
        <f>6412</f>
        <v>6412.0</v>
      </c>
      <c r="AD201" s="5" t="s">
        <v>637</v>
      </c>
      <c r="AE201" s="28" t="n">
        <f>3634</f>
        <v>3634.0</v>
      </c>
    </row>
    <row r="202">
      <c r="A202" s="20" t="s">
        <v>606</v>
      </c>
      <c r="B202" s="21" t="s">
        <v>607</v>
      </c>
      <c r="C202" s="22"/>
      <c r="D202" s="23"/>
      <c r="E202" s="24" t="s">
        <v>81</v>
      </c>
      <c r="F202" s="25" t="n">
        <f>241</f>
        <v>241.0</v>
      </c>
      <c r="G202" s="26" t="n">
        <f>37054</f>
        <v>37054.0</v>
      </c>
      <c r="H202" s="26"/>
      <c r="I202" s="26" t="n">
        <f>37050</f>
        <v>37050.0</v>
      </c>
      <c r="J202" s="26" t="n">
        <f>154</f>
        <v>154.0</v>
      </c>
      <c r="K202" s="26" t="n">
        <f>154</f>
        <v>154.0</v>
      </c>
      <c r="L202" s="4" t="s">
        <v>638</v>
      </c>
      <c r="M202" s="27" t="n">
        <f>10700</f>
        <v>10700.0</v>
      </c>
      <c r="N202" s="5" t="s">
        <v>213</v>
      </c>
      <c r="O202" s="28" t="str">
        <f>"－"</f>
        <v>－</v>
      </c>
      <c r="P202" s="3" t="s">
        <v>639</v>
      </c>
      <c r="Q202" s="26"/>
      <c r="R202" s="3" t="s">
        <v>640</v>
      </c>
      <c r="S202" s="26" t="n">
        <f>72437353</f>
        <v>7.2437353E7</v>
      </c>
      <c r="T202" s="26" t="n">
        <f>72429710</f>
        <v>7.242971E7</v>
      </c>
      <c r="U202" s="5" t="s">
        <v>638</v>
      </c>
      <c r="V202" s="28" t="n">
        <f>5152050000</f>
        <v>5.15205E9</v>
      </c>
      <c r="W202" s="5" t="s">
        <v>213</v>
      </c>
      <c r="X202" s="28" t="str">
        <f>"－"</f>
        <v>－</v>
      </c>
      <c r="Y202" s="28"/>
      <c r="Z202" s="26" t="str">
        <f>"－"</f>
        <v>－</v>
      </c>
      <c r="AA202" s="26" t="n">
        <f>35817</f>
        <v>35817.0</v>
      </c>
      <c r="AB202" s="4" t="s">
        <v>71</v>
      </c>
      <c r="AC202" s="27" t="n">
        <f>36437</f>
        <v>36437.0</v>
      </c>
      <c r="AD202" s="5" t="s">
        <v>213</v>
      </c>
      <c r="AE202" s="28" t="n">
        <f>7</f>
        <v>7.0</v>
      </c>
    </row>
    <row r="203">
      <c r="A203" s="20" t="s">
        <v>606</v>
      </c>
      <c r="B203" s="21" t="s">
        <v>607</v>
      </c>
      <c r="C203" s="22"/>
      <c r="D203" s="23"/>
      <c r="E203" s="24" t="s">
        <v>87</v>
      </c>
      <c r="F203" s="25" t="n">
        <f>245</f>
        <v>245.0</v>
      </c>
      <c r="G203" s="26" t="n">
        <f>6755</f>
        <v>6755.0</v>
      </c>
      <c r="H203" s="26"/>
      <c r="I203" s="26" t="n">
        <f>6635</f>
        <v>6635.0</v>
      </c>
      <c r="J203" s="26" t="n">
        <f>28</f>
        <v>28.0</v>
      </c>
      <c r="K203" s="26" t="n">
        <f>27</f>
        <v>27.0</v>
      </c>
      <c r="L203" s="4" t="s">
        <v>545</v>
      </c>
      <c r="M203" s="27" t="n">
        <f>2070</f>
        <v>2070.0</v>
      </c>
      <c r="N203" s="5" t="s">
        <v>213</v>
      </c>
      <c r="O203" s="28" t="str">
        <f>"－"</f>
        <v>－</v>
      </c>
      <c r="P203" s="3" t="s">
        <v>641</v>
      </c>
      <c r="Q203" s="26"/>
      <c r="R203" s="3" t="s">
        <v>642</v>
      </c>
      <c r="S203" s="26" t="n">
        <f>10173729</f>
        <v>1.0173729E7</v>
      </c>
      <c r="T203" s="26" t="n">
        <f>9990751</f>
        <v>9990751.0</v>
      </c>
      <c r="U203" s="5" t="s">
        <v>545</v>
      </c>
      <c r="V203" s="28" t="n">
        <f>636525000</f>
        <v>6.36525E8</v>
      </c>
      <c r="W203" s="5" t="s">
        <v>213</v>
      </c>
      <c r="X203" s="28" t="str">
        <f>"－"</f>
        <v>－</v>
      </c>
      <c r="Y203" s="28"/>
      <c r="Z203" s="26" t="str">
        <f>"－"</f>
        <v>－</v>
      </c>
      <c r="AA203" s="26" t="n">
        <f>29280</f>
        <v>29280.0</v>
      </c>
      <c r="AB203" s="4" t="s">
        <v>213</v>
      </c>
      <c r="AC203" s="27" t="n">
        <f>35815</f>
        <v>35815.0</v>
      </c>
      <c r="AD203" s="5" t="s">
        <v>643</v>
      </c>
      <c r="AE203" s="28" t="n">
        <f>29280</f>
        <v>29280.0</v>
      </c>
    </row>
    <row r="204">
      <c r="A204" s="20" t="s">
        <v>606</v>
      </c>
      <c r="B204" s="21" t="s">
        <v>607</v>
      </c>
      <c r="C204" s="22"/>
      <c r="D204" s="23"/>
      <c r="E204" s="24" t="s">
        <v>92</v>
      </c>
      <c r="F204" s="25" t="n">
        <f>244</f>
        <v>244.0</v>
      </c>
      <c r="G204" s="26" t="n">
        <f>8969</f>
        <v>8969.0</v>
      </c>
      <c r="H204" s="26"/>
      <c r="I204" s="26" t="n">
        <f>8939</f>
        <v>8939.0</v>
      </c>
      <c r="J204" s="26" t="n">
        <f>37</f>
        <v>37.0</v>
      </c>
      <c r="K204" s="26" t="n">
        <f>37</f>
        <v>37.0</v>
      </c>
      <c r="L204" s="4" t="s">
        <v>644</v>
      </c>
      <c r="M204" s="27" t="n">
        <f>7062</f>
        <v>7062.0</v>
      </c>
      <c r="N204" s="5" t="s">
        <v>213</v>
      </c>
      <c r="O204" s="28" t="str">
        <f>"－"</f>
        <v>－</v>
      </c>
      <c r="P204" s="3" t="s">
        <v>645</v>
      </c>
      <c r="Q204" s="26"/>
      <c r="R204" s="3" t="s">
        <v>646</v>
      </c>
      <c r="S204" s="26" t="n">
        <f>20184710</f>
        <v>2.018471E7</v>
      </c>
      <c r="T204" s="26" t="n">
        <f>20120505</f>
        <v>2.0120505E7</v>
      </c>
      <c r="U204" s="5" t="s">
        <v>644</v>
      </c>
      <c r="V204" s="28" t="n">
        <f>3997092000</f>
        <v>3.997092E9</v>
      </c>
      <c r="W204" s="5" t="s">
        <v>213</v>
      </c>
      <c r="X204" s="28" t="str">
        <f>"－"</f>
        <v>－</v>
      </c>
      <c r="Y204" s="28"/>
      <c r="Z204" s="26" t="str">
        <f>"－"</f>
        <v>－</v>
      </c>
      <c r="AA204" s="26" t="n">
        <f>34422</f>
        <v>34422.0</v>
      </c>
      <c r="AB204" s="4" t="s">
        <v>644</v>
      </c>
      <c r="AC204" s="27" t="n">
        <f>36269</f>
        <v>36269.0</v>
      </c>
      <c r="AD204" s="5" t="s">
        <v>234</v>
      </c>
      <c r="AE204" s="28" t="n">
        <f>29207</f>
        <v>29207.0</v>
      </c>
    </row>
    <row r="205">
      <c r="A205" s="20" t="s">
        <v>606</v>
      </c>
      <c r="B205" s="21" t="s">
        <v>607</v>
      </c>
      <c r="C205" s="22"/>
      <c r="D205" s="23"/>
      <c r="E205" s="24" t="s">
        <v>98</v>
      </c>
      <c r="F205" s="25" t="n">
        <f>245</f>
        <v>245.0</v>
      </c>
      <c r="G205" s="26" t="n">
        <f>5211</f>
        <v>5211.0</v>
      </c>
      <c r="H205" s="26"/>
      <c r="I205" s="26" t="n">
        <f>5211</f>
        <v>5211.0</v>
      </c>
      <c r="J205" s="26" t="n">
        <f>21</f>
        <v>21.0</v>
      </c>
      <c r="K205" s="26" t="n">
        <f>21</f>
        <v>21.0</v>
      </c>
      <c r="L205" s="4" t="s">
        <v>86</v>
      </c>
      <c r="M205" s="27" t="n">
        <f>5125</f>
        <v>5125.0</v>
      </c>
      <c r="N205" s="5" t="s">
        <v>213</v>
      </c>
      <c r="O205" s="28" t="str">
        <f>"－"</f>
        <v>－</v>
      </c>
      <c r="P205" s="3" t="s">
        <v>647</v>
      </c>
      <c r="Q205" s="26"/>
      <c r="R205" s="3" t="s">
        <v>647</v>
      </c>
      <c r="S205" s="26" t="n">
        <f>12405449</f>
        <v>1.2405449E7</v>
      </c>
      <c r="T205" s="26" t="n">
        <f>12405449</f>
        <v>1.2405449E7</v>
      </c>
      <c r="U205" s="5" t="s">
        <v>86</v>
      </c>
      <c r="V205" s="28" t="n">
        <f>2987875000</f>
        <v>2.987875E9</v>
      </c>
      <c r="W205" s="5" t="s">
        <v>213</v>
      </c>
      <c r="X205" s="28" t="str">
        <f>"－"</f>
        <v>－</v>
      </c>
      <c r="Y205" s="28"/>
      <c r="Z205" s="26" t="str">
        <f>"－"</f>
        <v>－</v>
      </c>
      <c r="AA205" s="26" t="n">
        <f>12053</f>
        <v>12053.0</v>
      </c>
      <c r="AB205" s="4" t="s">
        <v>86</v>
      </c>
      <c r="AC205" s="27" t="n">
        <f>12139</f>
        <v>12139.0</v>
      </c>
      <c r="AD205" s="5" t="s">
        <v>213</v>
      </c>
      <c r="AE205" s="28" t="n">
        <f>7014</f>
        <v>7014.0</v>
      </c>
    </row>
    <row r="206">
      <c r="A206" s="20" t="s">
        <v>606</v>
      </c>
      <c r="B206" s="21" t="s">
        <v>607</v>
      </c>
      <c r="C206" s="22"/>
      <c r="D206" s="23"/>
      <c r="E206" s="24" t="s">
        <v>103</v>
      </c>
      <c r="F206" s="25" t="n">
        <f>244</f>
        <v>244.0</v>
      </c>
      <c r="G206" s="26" t="n">
        <f>3710</f>
        <v>3710.0</v>
      </c>
      <c r="H206" s="26"/>
      <c r="I206" s="26" t="n">
        <f>3695</f>
        <v>3695.0</v>
      </c>
      <c r="J206" s="26" t="n">
        <f>15</f>
        <v>15.0</v>
      </c>
      <c r="K206" s="26" t="n">
        <f>15</f>
        <v>15.0</v>
      </c>
      <c r="L206" s="4" t="s">
        <v>648</v>
      </c>
      <c r="M206" s="27" t="n">
        <f>1548</f>
        <v>1548.0</v>
      </c>
      <c r="N206" s="5" t="s">
        <v>399</v>
      </c>
      <c r="O206" s="28" t="str">
        <f>"－"</f>
        <v>－</v>
      </c>
      <c r="P206" s="3" t="s">
        <v>649</v>
      </c>
      <c r="Q206" s="26"/>
      <c r="R206" s="3" t="s">
        <v>650</v>
      </c>
      <c r="S206" s="26" t="n">
        <f>9950570</f>
        <v>9950570.0</v>
      </c>
      <c r="T206" s="26" t="n">
        <f>9912148</f>
        <v>9912148.0</v>
      </c>
      <c r="U206" s="5" t="s">
        <v>648</v>
      </c>
      <c r="V206" s="28" t="n">
        <f>992784000</f>
        <v>9.92784E8</v>
      </c>
      <c r="W206" s="5" t="s">
        <v>399</v>
      </c>
      <c r="X206" s="28" t="str">
        <f>"－"</f>
        <v>－</v>
      </c>
      <c r="Y206" s="28"/>
      <c r="Z206" s="26" t="str">
        <f>"－"</f>
        <v>－</v>
      </c>
      <c r="AA206" s="26" t="n">
        <f>14845</f>
        <v>14845.0</v>
      </c>
      <c r="AB206" s="4" t="s">
        <v>594</v>
      </c>
      <c r="AC206" s="27" t="n">
        <f>14946</f>
        <v>14946.0</v>
      </c>
      <c r="AD206" s="5" t="s">
        <v>546</v>
      </c>
      <c r="AE206" s="28" t="n">
        <f>12029</f>
        <v>12029.0</v>
      </c>
    </row>
    <row r="207">
      <c r="A207" s="20" t="s">
        <v>651</v>
      </c>
      <c r="B207" s="21" t="s">
        <v>652</v>
      </c>
      <c r="C207" s="22"/>
      <c r="D207" s="23"/>
      <c r="E207" s="24" t="s">
        <v>48</v>
      </c>
      <c r="F207" s="25" t="n">
        <f>81</f>
        <v>81.0</v>
      </c>
      <c r="G207" s="26" t="n">
        <f>80133</f>
        <v>80133.0</v>
      </c>
      <c r="H207" s="26"/>
      <c r="I207" s="26" t="n">
        <f>38849</f>
        <v>38849.0</v>
      </c>
      <c r="J207" s="26" t="n">
        <f>989</f>
        <v>989.0</v>
      </c>
      <c r="K207" s="26" t="n">
        <f>480</f>
        <v>480.0</v>
      </c>
      <c r="L207" s="4" t="s">
        <v>53</v>
      </c>
      <c r="M207" s="27" t="n">
        <f>2098</f>
        <v>2098.0</v>
      </c>
      <c r="N207" s="5" t="s">
        <v>188</v>
      </c>
      <c r="O207" s="28" t="n">
        <f>325</f>
        <v>325.0</v>
      </c>
      <c r="P207" s="3" t="s">
        <v>653</v>
      </c>
      <c r="Q207" s="26"/>
      <c r="R207" s="3" t="s">
        <v>654</v>
      </c>
      <c r="S207" s="26" t="n">
        <f>231975241</f>
        <v>2.31975241E8</v>
      </c>
      <c r="T207" s="26" t="n">
        <f>109457617</f>
        <v>1.09457617E8</v>
      </c>
      <c r="U207" s="5" t="s">
        <v>53</v>
      </c>
      <c r="V207" s="28" t="n">
        <f>429099500</f>
        <v>4.290995E8</v>
      </c>
      <c r="W207" s="5" t="s">
        <v>188</v>
      </c>
      <c r="X207" s="28" t="n">
        <f>88143500</f>
        <v>8.81435E7</v>
      </c>
      <c r="Y207" s="28"/>
      <c r="Z207" s="26" t="str">
        <f>"－"</f>
        <v>－</v>
      </c>
      <c r="AA207" s="26" t="n">
        <f>10390</f>
        <v>10390.0</v>
      </c>
      <c r="AB207" s="4" t="s">
        <v>274</v>
      </c>
      <c r="AC207" s="27" t="n">
        <f>11199</f>
        <v>11199.0</v>
      </c>
      <c r="AD207" s="5" t="s">
        <v>655</v>
      </c>
      <c r="AE207" s="28" t="n">
        <f>5500</f>
        <v>5500.0</v>
      </c>
    </row>
    <row r="208">
      <c r="A208" s="20" t="s">
        <v>651</v>
      </c>
      <c r="B208" s="21" t="s">
        <v>652</v>
      </c>
      <c r="C208" s="22"/>
      <c r="D208" s="23"/>
      <c r="E208" s="24" t="s">
        <v>56</v>
      </c>
      <c r="F208" s="25" t="n">
        <f>245</f>
        <v>245.0</v>
      </c>
      <c r="G208" s="26" t="n">
        <f>196933</f>
        <v>196933.0</v>
      </c>
      <c r="H208" s="26"/>
      <c r="I208" s="26" t="n">
        <f>51586</f>
        <v>51586.0</v>
      </c>
      <c r="J208" s="26" t="n">
        <f>804</f>
        <v>804.0</v>
      </c>
      <c r="K208" s="26" t="n">
        <f>211</f>
        <v>211.0</v>
      </c>
      <c r="L208" s="4" t="s">
        <v>656</v>
      </c>
      <c r="M208" s="27" t="n">
        <f>4109</f>
        <v>4109.0</v>
      </c>
      <c r="N208" s="5" t="s">
        <v>537</v>
      </c>
      <c r="O208" s="28" t="n">
        <f>26</f>
        <v>26.0</v>
      </c>
      <c r="P208" s="3" t="s">
        <v>657</v>
      </c>
      <c r="Q208" s="26"/>
      <c r="R208" s="3" t="s">
        <v>658</v>
      </c>
      <c r="S208" s="26" t="n">
        <f>195771167</f>
        <v>1.95771167E8</v>
      </c>
      <c r="T208" s="26" t="n">
        <f>46026820</f>
        <v>4.602682E7</v>
      </c>
      <c r="U208" s="5" t="s">
        <v>656</v>
      </c>
      <c r="V208" s="28" t="n">
        <f>1228131000</f>
        <v>1.228131E9</v>
      </c>
      <c r="W208" s="5" t="s">
        <v>537</v>
      </c>
      <c r="X208" s="28" t="n">
        <f>9414500</f>
        <v>9414500.0</v>
      </c>
      <c r="Y208" s="28"/>
      <c r="Z208" s="26" t="n">
        <f>20700</f>
        <v>20700.0</v>
      </c>
      <c r="AA208" s="26" t="n">
        <f>1564</f>
        <v>1564.0</v>
      </c>
      <c r="AB208" s="4" t="s">
        <v>213</v>
      </c>
      <c r="AC208" s="27" t="n">
        <f>10411</f>
        <v>10411.0</v>
      </c>
      <c r="AD208" s="5" t="s">
        <v>417</v>
      </c>
      <c r="AE208" s="28" t="n">
        <f>1515</f>
        <v>1515.0</v>
      </c>
    </row>
    <row r="209">
      <c r="A209" s="20" t="s">
        <v>651</v>
      </c>
      <c r="B209" s="21" t="s">
        <v>652</v>
      </c>
      <c r="C209" s="22"/>
      <c r="D209" s="23"/>
      <c r="E209" s="24" t="s">
        <v>63</v>
      </c>
      <c r="F209" s="25" t="n">
        <f>245</f>
        <v>245.0</v>
      </c>
      <c r="G209" s="26" t="n">
        <f>43377</f>
        <v>43377.0</v>
      </c>
      <c r="H209" s="26"/>
      <c r="I209" s="26" t="n">
        <f>7000</f>
        <v>7000.0</v>
      </c>
      <c r="J209" s="26" t="n">
        <f>177</f>
        <v>177.0</v>
      </c>
      <c r="K209" s="26" t="n">
        <f>29</f>
        <v>29.0</v>
      </c>
      <c r="L209" s="4" t="s">
        <v>659</v>
      </c>
      <c r="M209" s="27" t="n">
        <f>2102</f>
        <v>2102.0</v>
      </c>
      <c r="N209" s="5" t="s">
        <v>300</v>
      </c>
      <c r="O209" s="28" t="n">
        <f>1</f>
        <v>1.0</v>
      </c>
      <c r="P209" s="3" t="s">
        <v>660</v>
      </c>
      <c r="Q209" s="26"/>
      <c r="R209" s="3" t="s">
        <v>661</v>
      </c>
      <c r="S209" s="26" t="n">
        <f>42780206</f>
        <v>4.2780206E7</v>
      </c>
      <c r="T209" s="26" t="n">
        <f>5600000</f>
        <v>5600000.0</v>
      </c>
      <c r="U209" s="5" t="s">
        <v>659</v>
      </c>
      <c r="V209" s="28" t="n">
        <f>468481500</f>
        <v>4.684815E8</v>
      </c>
      <c r="W209" s="5" t="s">
        <v>300</v>
      </c>
      <c r="X209" s="28" t="n">
        <f>226000</f>
        <v>226000.0</v>
      </c>
      <c r="Y209" s="28"/>
      <c r="Z209" s="26" t="n">
        <f>10499</f>
        <v>10499.0</v>
      </c>
      <c r="AA209" s="26" t="n">
        <f>428</f>
        <v>428.0</v>
      </c>
      <c r="AB209" s="4" t="s">
        <v>116</v>
      </c>
      <c r="AC209" s="27" t="n">
        <f>3482</f>
        <v>3482.0</v>
      </c>
      <c r="AD209" s="5" t="s">
        <v>662</v>
      </c>
      <c r="AE209" s="28" t="n">
        <f>108</f>
        <v>108.0</v>
      </c>
    </row>
    <row r="210">
      <c r="A210" s="20" t="s">
        <v>651</v>
      </c>
      <c r="B210" s="21" t="s">
        <v>652</v>
      </c>
      <c r="C210" s="22"/>
      <c r="D210" s="23"/>
      <c r="E210" s="24" t="s">
        <v>70</v>
      </c>
      <c r="F210" s="25" t="n">
        <f>245</f>
        <v>245.0</v>
      </c>
      <c r="G210" s="26" t="n">
        <f>12526</f>
        <v>12526.0</v>
      </c>
      <c r="H210" s="26"/>
      <c r="I210" s="26" t="n">
        <f>1197</f>
        <v>1197.0</v>
      </c>
      <c r="J210" s="26" t="n">
        <f>51</f>
        <v>51.0</v>
      </c>
      <c r="K210" s="26" t="n">
        <f>5</f>
        <v>5.0</v>
      </c>
      <c r="L210" s="4" t="s">
        <v>336</v>
      </c>
      <c r="M210" s="27" t="n">
        <f>305</f>
        <v>305.0</v>
      </c>
      <c r="N210" s="5" t="s">
        <v>663</v>
      </c>
      <c r="O210" s="28" t="n">
        <f>1</f>
        <v>1.0</v>
      </c>
      <c r="P210" s="3" t="s">
        <v>664</v>
      </c>
      <c r="Q210" s="26"/>
      <c r="R210" s="3" t="s">
        <v>665</v>
      </c>
      <c r="S210" s="26" t="n">
        <f>8783018</f>
        <v>8783018.0</v>
      </c>
      <c r="T210" s="26" t="n">
        <f>769063</f>
        <v>769063.0</v>
      </c>
      <c r="U210" s="5" t="s">
        <v>96</v>
      </c>
      <c r="V210" s="28" t="n">
        <f>51731000</f>
        <v>5.1731E7</v>
      </c>
      <c r="W210" s="5" t="s">
        <v>663</v>
      </c>
      <c r="X210" s="28" t="n">
        <f>210500</f>
        <v>210500.0</v>
      </c>
      <c r="Y210" s="28"/>
      <c r="Z210" s="26" t="n">
        <f>5</f>
        <v>5.0</v>
      </c>
      <c r="AA210" s="26" t="n">
        <f>506</f>
        <v>506.0</v>
      </c>
      <c r="AB210" s="4" t="s">
        <v>238</v>
      </c>
      <c r="AC210" s="27" t="n">
        <f>989</f>
        <v>989.0</v>
      </c>
      <c r="AD210" s="5" t="s">
        <v>91</v>
      </c>
      <c r="AE210" s="28" t="n">
        <f>147</f>
        <v>147.0</v>
      </c>
    </row>
    <row r="211">
      <c r="A211" s="20" t="s">
        <v>651</v>
      </c>
      <c r="B211" s="21" t="s">
        <v>652</v>
      </c>
      <c r="C211" s="22"/>
      <c r="D211" s="23"/>
      <c r="E211" s="24" t="s">
        <v>76</v>
      </c>
      <c r="F211" s="25" t="n">
        <f>244</f>
        <v>244.0</v>
      </c>
      <c r="G211" s="26" t="n">
        <f>11015</f>
        <v>11015.0</v>
      </c>
      <c r="H211" s="26"/>
      <c r="I211" s="26" t="str">
        <f>"－"</f>
        <v>－</v>
      </c>
      <c r="J211" s="26" t="n">
        <f>45</f>
        <v>45.0</v>
      </c>
      <c r="K211" s="26" t="str">
        <f>"－"</f>
        <v>－</v>
      </c>
      <c r="L211" s="4" t="s">
        <v>85</v>
      </c>
      <c r="M211" s="27" t="n">
        <f>328</f>
        <v>328.0</v>
      </c>
      <c r="N211" s="5" t="s">
        <v>200</v>
      </c>
      <c r="O211" s="28" t="str">
        <f>"－"</f>
        <v>－</v>
      </c>
      <c r="P211" s="3" t="s">
        <v>666</v>
      </c>
      <c r="Q211" s="26"/>
      <c r="R211" s="3" t="s">
        <v>160</v>
      </c>
      <c r="S211" s="26" t="n">
        <f>8430367</f>
        <v>8430367.0</v>
      </c>
      <c r="T211" s="26" t="str">
        <f>"－"</f>
        <v>－</v>
      </c>
      <c r="U211" s="5" t="s">
        <v>85</v>
      </c>
      <c r="V211" s="28" t="n">
        <f>57414000</f>
        <v>5.7414E7</v>
      </c>
      <c r="W211" s="5" t="s">
        <v>200</v>
      </c>
      <c r="X211" s="28" t="str">
        <f>"－"</f>
        <v>－</v>
      </c>
      <c r="Y211" s="28"/>
      <c r="Z211" s="26" t="str">
        <f>"－"</f>
        <v>－</v>
      </c>
      <c r="AA211" s="26" t="n">
        <f>833</f>
        <v>833.0</v>
      </c>
      <c r="AB211" s="4" t="s">
        <v>667</v>
      </c>
      <c r="AC211" s="27" t="n">
        <f>957</f>
        <v>957.0</v>
      </c>
      <c r="AD211" s="5" t="s">
        <v>668</v>
      </c>
      <c r="AE211" s="28" t="n">
        <f>76</f>
        <v>76.0</v>
      </c>
    </row>
    <row r="212">
      <c r="A212" s="20" t="s">
        <v>651</v>
      </c>
      <c r="B212" s="21" t="s">
        <v>652</v>
      </c>
      <c r="C212" s="22"/>
      <c r="D212" s="23"/>
      <c r="E212" s="24" t="s">
        <v>81</v>
      </c>
      <c r="F212" s="25" t="n">
        <f>241</f>
        <v>241.0</v>
      </c>
      <c r="G212" s="26" t="n">
        <f>43208</f>
        <v>43208.0</v>
      </c>
      <c r="H212" s="26"/>
      <c r="I212" s="26" t="str">
        <f>"－"</f>
        <v>－</v>
      </c>
      <c r="J212" s="26" t="n">
        <f>179</f>
        <v>179.0</v>
      </c>
      <c r="K212" s="26" t="str">
        <f>"－"</f>
        <v>－</v>
      </c>
      <c r="L212" s="4" t="s">
        <v>61</v>
      </c>
      <c r="M212" s="27" t="n">
        <f>777</f>
        <v>777.0</v>
      </c>
      <c r="N212" s="5" t="s">
        <v>177</v>
      </c>
      <c r="O212" s="28" t="n">
        <f>2</f>
        <v>2.0</v>
      </c>
      <c r="P212" s="3" t="s">
        <v>669</v>
      </c>
      <c r="Q212" s="26"/>
      <c r="R212" s="3" t="s">
        <v>160</v>
      </c>
      <c r="S212" s="26" t="n">
        <f>37596629</f>
        <v>3.7596629E7</v>
      </c>
      <c r="T212" s="26" t="str">
        <f>"－"</f>
        <v>－</v>
      </c>
      <c r="U212" s="5" t="s">
        <v>61</v>
      </c>
      <c r="V212" s="28" t="n">
        <f>335720500</f>
        <v>3.357205E8</v>
      </c>
      <c r="W212" s="5" t="s">
        <v>177</v>
      </c>
      <c r="X212" s="28" t="n">
        <f>381000</f>
        <v>381000.0</v>
      </c>
      <c r="Y212" s="28"/>
      <c r="Z212" s="26" t="str">
        <f>"－"</f>
        <v>－</v>
      </c>
      <c r="AA212" s="26" t="n">
        <f>785</f>
        <v>785.0</v>
      </c>
      <c r="AB212" s="4" t="s">
        <v>324</v>
      </c>
      <c r="AC212" s="27" t="n">
        <f>2854</f>
        <v>2854.0</v>
      </c>
      <c r="AD212" s="5" t="s">
        <v>239</v>
      </c>
      <c r="AE212" s="28" t="n">
        <f>133</f>
        <v>133.0</v>
      </c>
    </row>
    <row r="213">
      <c r="A213" s="20" t="s">
        <v>651</v>
      </c>
      <c r="B213" s="21" t="s">
        <v>652</v>
      </c>
      <c r="C213" s="22"/>
      <c r="D213" s="23"/>
      <c r="E213" s="24" t="s">
        <v>87</v>
      </c>
      <c r="F213" s="25" t="n">
        <f>245</f>
        <v>245.0</v>
      </c>
      <c r="G213" s="26" t="n">
        <f>28053</f>
        <v>28053.0</v>
      </c>
      <c r="H213" s="26"/>
      <c r="I213" s="26" t="str">
        <f>"－"</f>
        <v>－</v>
      </c>
      <c r="J213" s="26" t="n">
        <f>115</f>
        <v>115.0</v>
      </c>
      <c r="K213" s="26" t="str">
        <f>"－"</f>
        <v>－</v>
      </c>
      <c r="L213" s="4" t="s">
        <v>670</v>
      </c>
      <c r="M213" s="27" t="n">
        <f>693</f>
        <v>693.0</v>
      </c>
      <c r="N213" s="5" t="s">
        <v>148</v>
      </c>
      <c r="O213" s="28" t="n">
        <f>4</f>
        <v>4.0</v>
      </c>
      <c r="P213" s="3" t="s">
        <v>671</v>
      </c>
      <c r="Q213" s="26"/>
      <c r="R213" s="3" t="s">
        <v>160</v>
      </c>
      <c r="S213" s="26" t="n">
        <f>28211694</f>
        <v>2.8211694E7</v>
      </c>
      <c r="T213" s="26" t="str">
        <f>"－"</f>
        <v>－</v>
      </c>
      <c r="U213" s="5" t="s">
        <v>670</v>
      </c>
      <c r="V213" s="28" t="n">
        <f>180194500</f>
        <v>1.801945E8</v>
      </c>
      <c r="W213" s="5" t="s">
        <v>148</v>
      </c>
      <c r="X213" s="28" t="n">
        <f>1110000</f>
        <v>1110000.0</v>
      </c>
      <c r="Y213" s="28"/>
      <c r="Z213" s="26" t="str">
        <f>"－"</f>
        <v>－</v>
      </c>
      <c r="AA213" s="26" t="n">
        <f>948</f>
        <v>948.0</v>
      </c>
      <c r="AB213" s="4" t="s">
        <v>238</v>
      </c>
      <c r="AC213" s="27" t="n">
        <f>1189</f>
        <v>1189.0</v>
      </c>
      <c r="AD213" s="5" t="s">
        <v>672</v>
      </c>
      <c r="AE213" s="28" t="n">
        <f>120</f>
        <v>120.0</v>
      </c>
    </row>
    <row r="214">
      <c r="A214" s="20" t="s">
        <v>651</v>
      </c>
      <c r="B214" s="21" t="s">
        <v>652</v>
      </c>
      <c r="C214" s="22"/>
      <c r="D214" s="23"/>
      <c r="E214" s="24" t="s">
        <v>92</v>
      </c>
      <c r="F214" s="25" t="n">
        <f>244</f>
        <v>244.0</v>
      </c>
      <c r="G214" s="26" t="n">
        <f>45035</f>
        <v>45035.0</v>
      </c>
      <c r="H214" s="26"/>
      <c r="I214" s="26" t="str">
        <f>"－"</f>
        <v>－</v>
      </c>
      <c r="J214" s="26" t="n">
        <f>185</f>
        <v>185.0</v>
      </c>
      <c r="K214" s="26" t="str">
        <f>"－"</f>
        <v>－</v>
      </c>
      <c r="L214" s="4" t="s">
        <v>673</v>
      </c>
      <c r="M214" s="27" t="n">
        <f>805</f>
        <v>805.0</v>
      </c>
      <c r="N214" s="5" t="s">
        <v>350</v>
      </c>
      <c r="O214" s="28" t="n">
        <f>2</f>
        <v>2.0</v>
      </c>
      <c r="P214" s="3" t="s">
        <v>674</v>
      </c>
      <c r="Q214" s="26"/>
      <c r="R214" s="3" t="s">
        <v>160</v>
      </c>
      <c r="S214" s="26" t="n">
        <f>38834875</f>
        <v>3.8834875E7</v>
      </c>
      <c r="T214" s="26" t="str">
        <f>"－"</f>
        <v>－</v>
      </c>
      <c r="U214" s="5" t="s">
        <v>622</v>
      </c>
      <c r="V214" s="28" t="n">
        <f>171069000</f>
        <v>1.71069E8</v>
      </c>
      <c r="W214" s="5" t="s">
        <v>350</v>
      </c>
      <c r="X214" s="28" t="n">
        <f>471500</f>
        <v>471500.0</v>
      </c>
      <c r="Y214" s="28"/>
      <c r="Z214" s="26" t="str">
        <f>"－"</f>
        <v>－</v>
      </c>
      <c r="AA214" s="26" t="n">
        <f>254</f>
        <v>254.0</v>
      </c>
      <c r="AB214" s="4" t="s">
        <v>217</v>
      </c>
      <c r="AC214" s="27" t="n">
        <f>2704</f>
        <v>2704.0</v>
      </c>
      <c r="AD214" s="5" t="s">
        <v>441</v>
      </c>
      <c r="AE214" s="28" t="n">
        <f>167</f>
        <v>167.0</v>
      </c>
    </row>
    <row r="215">
      <c r="A215" s="20" t="s">
        <v>651</v>
      </c>
      <c r="B215" s="21" t="s">
        <v>652</v>
      </c>
      <c r="C215" s="22"/>
      <c r="D215" s="23"/>
      <c r="E215" s="24" t="s">
        <v>98</v>
      </c>
      <c r="F215" s="25" t="n">
        <f>245</f>
        <v>245.0</v>
      </c>
      <c r="G215" s="26" t="n">
        <f>5673</f>
        <v>5673.0</v>
      </c>
      <c r="H215" s="26"/>
      <c r="I215" s="26" t="str">
        <f>"－"</f>
        <v>－</v>
      </c>
      <c r="J215" s="26" t="n">
        <f>23</f>
        <v>23.0</v>
      </c>
      <c r="K215" s="26" t="str">
        <f>"－"</f>
        <v>－</v>
      </c>
      <c r="L215" s="4" t="s">
        <v>675</v>
      </c>
      <c r="M215" s="27" t="n">
        <f>103</f>
        <v>103.0</v>
      </c>
      <c r="N215" s="5" t="s">
        <v>676</v>
      </c>
      <c r="O215" s="28" t="str">
        <f>"－"</f>
        <v>－</v>
      </c>
      <c r="P215" s="3" t="s">
        <v>677</v>
      </c>
      <c r="Q215" s="26"/>
      <c r="R215" s="3" t="s">
        <v>160</v>
      </c>
      <c r="S215" s="26" t="n">
        <f>5052216</f>
        <v>5052216.0</v>
      </c>
      <c r="T215" s="26" t="str">
        <f>"－"</f>
        <v>－</v>
      </c>
      <c r="U215" s="5" t="s">
        <v>286</v>
      </c>
      <c r="V215" s="28" t="n">
        <f>21520500</f>
        <v>2.15205E7</v>
      </c>
      <c r="W215" s="5" t="s">
        <v>676</v>
      </c>
      <c r="X215" s="28" t="str">
        <f>"－"</f>
        <v>－</v>
      </c>
      <c r="Y215" s="28"/>
      <c r="Z215" s="26" t="n">
        <f>2</f>
        <v>2.0</v>
      </c>
      <c r="AA215" s="26" t="n">
        <f>82</f>
        <v>82.0</v>
      </c>
      <c r="AB215" s="4" t="s">
        <v>678</v>
      </c>
      <c r="AC215" s="27" t="n">
        <f>472</f>
        <v>472.0</v>
      </c>
      <c r="AD215" s="5" t="s">
        <v>135</v>
      </c>
      <c r="AE215" s="28" t="n">
        <f>36</f>
        <v>36.0</v>
      </c>
    </row>
    <row r="216">
      <c r="A216" s="20" t="s">
        <v>651</v>
      </c>
      <c r="B216" s="21" t="s">
        <v>652</v>
      </c>
      <c r="C216" s="22"/>
      <c r="D216" s="23"/>
      <c r="E216" s="24" t="s">
        <v>103</v>
      </c>
      <c r="F216" s="25" t="n">
        <f>244</f>
        <v>244.0</v>
      </c>
      <c r="G216" s="26" t="n">
        <f>3015</f>
        <v>3015.0</v>
      </c>
      <c r="H216" s="26"/>
      <c r="I216" s="26" t="str">
        <f>"－"</f>
        <v>－</v>
      </c>
      <c r="J216" s="26" t="n">
        <f>12</f>
        <v>12.0</v>
      </c>
      <c r="K216" s="26" t="str">
        <f>"－"</f>
        <v>－</v>
      </c>
      <c r="L216" s="4" t="s">
        <v>679</v>
      </c>
      <c r="M216" s="27" t="n">
        <f>109</f>
        <v>109.0</v>
      </c>
      <c r="N216" s="5" t="s">
        <v>680</v>
      </c>
      <c r="O216" s="28" t="str">
        <f>"－"</f>
        <v>－</v>
      </c>
      <c r="P216" s="3" t="s">
        <v>681</v>
      </c>
      <c r="Q216" s="26"/>
      <c r="R216" s="3" t="s">
        <v>160</v>
      </c>
      <c r="S216" s="26" t="n">
        <f>2426555</f>
        <v>2426555.0</v>
      </c>
      <c r="T216" s="26" t="str">
        <f>"－"</f>
        <v>－</v>
      </c>
      <c r="U216" s="5" t="s">
        <v>679</v>
      </c>
      <c r="V216" s="28" t="n">
        <f>21638500</f>
        <v>2.16385E7</v>
      </c>
      <c r="W216" s="5" t="s">
        <v>680</v>
      </c>
      <c r="X216" s="28" t="str">
        <f>"－"</f>
        <v>－</v>
      </c>
      <c r="Y216" s="28"/>
      <c r="Z216" s="26" t="str">
        <f>"－"</f>
        <v>－</v>
      </c>
      <c r="AA216" s="26" t="n">
        <f>83</f>
        <v>83.0</v>
      </c>
      <c r="AB216" s="4" t="s">
        <v>682</v>
      </c>
      <c r="AC216" s="27" t="n">
        <f>335</f>
        <v>335.0</v>
      </c>
      <c r="AD216" s="5" t="s">
        <v>562</v>
      </c>
      <c r="AE216" s="28" t="n">
        <f>30</f>
        <v>30.0</v>
      </c>
    </row>
    <row r="217">
      <c r="A217" s="20" t="s">
        <v>683</v>
      </c>
      <c r="B217" s="21" t="s">
        <v>684</v>
      </c>
      <c r="C217" s="22"/>
      <c r="D217" s="23"/>
      <c r="E217" s="24"/>
      <c r="F217" s="25"/>
      <c r="G217" s="26"/>
      <c r="H217" s="26"/>
      <c r="I217" s="26"/>
      <c r="J217" s="26"/>
      <c r="K217" s="26"/>
      <c r="L217" s="4"/>
      <c r="M217" s="27"/>
      <c r="N217" s="5"/>
      <c r="O217" s="28"/>
      <c r="P217" s="3"/>
      <c r="Q217" s="26"/>
      <c r="R217" s="3"/>
      <c r="S217" s="26"/>
      <c r="T217" s="26"/>
      <c r="U217" s="5"/>
      <c r="V217" s="28"/>
      <c r="W217" s="5"/>
      <c r="X217" s="28"/>
      <c r="Y217" s="28"/>
      <c r="Z217" s="26"/>
      <c r="AA217" s="26"/>
      <c r="AB217" s="4"/>
      <c r="AC217" s="27"/>
      <c r="AD217" s="5"/>
      <c r="AE217" s="28"/>
    </row>
    <row r="218">
      <c r="A218" s="20" t="s">
        <v>685</v>
      </c>
      <c r="B218" s="21" t="s">
        <v>686</v>
      </c>
      <c r="C218" s="22"/>
      <c r="D218" s="23"/>
      <c r="E218" s="24" t="s">
        <v>103</v>
      </c>
      <c r="F218" s="25" t="n">
        <f>207</f>
        <v>207.0</v>
      </c>
      <c r="G218" s="26" t="str">
        <f>"－"</f>
        <v>－</v>
      </c>
      <c r="H218" s="26"/>
      <c r="I218" s="26" t="str">
        <f>"－"</f>
        <v>－</v>
      </c>
      <c r="J218" s="26" t="str">
        <f>"－"</f>
        <v>－</v>
      </c>
      <c r="K218" s="26" t="str">
        <f>"－"</f>
        <v>－</v>
      </c>
      <c r="L218" s="4" t="s">
        <v>152</v>
      </c>
      <c r="M218" s="27" t="str">
        <f>"－"</f>
        <v>－</v>
      </c>
      <c r="N218" s="5" t="s">
        <v>152</v>
      </c>
      <c r="O218" s="28" t="str">
        <f>"－"</f>
        <v>－</v>
      </c>
      <c r="P218" s="3" t="s">
        <v>160</v>
      </c>
      <c r="Q218" s="26"/>
      <c r="R218" s="3" t="s">
        <v>160</v>
      </c>
      <c r="S218" s="26" t="str">
        <f>"－"</f>
        <v>－</v>
      </c>
      <c r="T218" s="26" t="str">
        <f>"－"</f>
        <v>－</v>
      </c>
      <c r="U218" s="5" t="s">
        <v>152</v>
      </c>
      <c r="V218" s="28" t="str">
        <f>"－"</f>
        <v>－</v>
      </c>
      <c r="W218" s="5" t="s">
        <v>152</v>
      </c>
      <c r="X218" s="28" t="str">
        <f>"－"</f>
        <v>－</v>
      </c>
      <c r="Y218" s="28"/>
      <c r="Z218" s="26" t="str">
        <f>"－"</f>
        <v>－</v>
      </c>
      <c r="AA218" s="26" t="str">
        <f>"－"</f>
        <v>－</v>
      </c>
      <c r="AB218" s="4" t="s">
        <v>152</v>
      </c>
      <c r="AC218" s="27" t="str">
        <f>"－"</f>
        <v>－</v>
      </c>
      <c r="AD218" s="5" t="s">
        <v>152</v>
      </c>
      <c r="AE218" s="28" t="str">
        <f>"－"</f>
        <v>－</v>
      </c>
    </row>
    <row r="219">
      <c r="A219" s="20" t="s">
        <v>687</v>
      </c>
      <c r="B219" s="21" t="s">
        <v>688</v>
      </c>
      <c r="C219" s="22"/>
      <c r="D219" s="23"/>
      <c r="E219" s="24" t="s">
        <v>103</v>
      </c>
      <c r="F219" s="25" t="n">
        <f>207</f>
        <v>207.0</v>
      </c>
      <c r="G219" s="26" t="str">
        <f>"－"</f>
        <v>－</v>
      </c>
      <c r="H219" s="26"/>
      <c r="I219" s="26" t="str">
        <f>"－"</f>
        <v>－</v>
      </c>
      <c r="J219" s="26" t="str">
        <f>"－"</f>
        <v>－</v>
      </c>
      <c r="K219" s="26" t="str">
        <f>"－"</f>
        <v>－</v>
      </c>
      <c r="L219" s="4" t="s">
        <v>152</v>
      </c>
      <c r="M219" s="27" t="str">
        <f>"－"</f>
        <v>－</v>
      </c>
      <c r="N219" s="5" t="s">
        <v>152</v>
      </c>
      <c r="O219" s="28" t="str">
        <f>"－"</f>
        <v>－</v>
      </c>
      <c r="P219" s="3" t="s">
        <v>160</v>
      </c>
      <c r="Q219" s="26"/>
      <c r="R219" s="3" t="s">
        <v>160</v>
      </c>
      <c r="S219" s="26" t="str">
        <f>"－"</f>
        <v>－</v>
      </c>
      <c r="T219" s="26" t="str">
        <f>"－"</f>
        <v>－</v>
      </c>
      <c r="U219" s="5" t="s">
        <v>152</v>
      </c>
      <c r="V219" s="28" t="str">
        <f>"－"</f>
        <v>－</v>
      </c>
      <c r="W219" s="5" t="s">
        <v>152</v>
      </c>
      <c r="X219" s="28" t="str">
        <f>"－"</f>
        <v>－</v>
      </c>
      <c r="Y219" s="28"/>
      <c r="Z219" s="26" t="str">
        <f>"－"</f>
        <v>－</v>
      </c>
      <c r="AA219" s="26" t="str">
        <f>"－"</f>
        <v>－</v>
      </c>
      <c r="AB219" s="4" t="s">
        <v>152</v>
      </c>
      <c r="AC219" s="27" t="str">
        <f>"－"</f>
        <v>－</v>
      </c>
      <c r="AD219" s="5" t="s">
        <v>152</v>
      </c>
      <c r="AE219" s="28" t="str">
        <f>"－"</f>
        <v>－</v>
      </c>
    </row>
    <row r="220">
      <c r="A220" s="20" t="s">
        <v>689</v>
      </c>
      <c r="B220" s="21" t="s">
        <v>690</v>
      </c>
      <c r="C220" s="22"/>
      <c r="D220" s="23"/>
      <c r="E220" s="24" t="s">
        <v>103</v>
      </c>
      <c r="F220" s="25" t="n">
        <f>207</f>
        <v>207.0</v>
      </c>
      <c r="G220" s="26" t="str">
        <f>"－"</f>
        <v>－</v>
      </c>
      <c r="H220" s="26"/>
      <c r="I220" s="26" t="str">
        <f>"－"</f>
        <v>－</v>
      </c>
      <c r="J220" s="26" t="str">
        <f>"－"</f>
        <v>－</v>
      </c>
      <c r="K220" s="26" t="str">
        <f>"－"</f>
        <v>－</v>
      </c>
      <c r="L220" s="4" t="s">
        <v>152</v>
      </c>
      <c r="M220" s="27" t="str">
        <f>"－"</f>
        <v>－</v>
      </c>
      <c r="N220" s="5" t="s">
        <v>152</v>
      </c>
      <c r="O220" s="28" t="str">
        <f>"－"</f>
        <v>－</v>
      </c>
      <c r="P220" s="3" t="s">
        <v>160</v>
      </c>
      <c r="Q220" s="26"/>
      <c r="R220" s="3" t="s">
        <v>160</v>
      </c>
      <c r="S220" s="26" t="str">
        <f>"－"</f>
        <v>－</v>
      </c>
      <c r="T220" s="26" t="str">
        <f>"－"</f>
        <v>－</v>
      </c>
      <c r="U220" s="5" t="s">
        <v>152</v>
      </c>
      <c r="V220" s="28" t="str">
        <f>"－"</f>
        <v>－</v>
      </c>
      <c r="W220" s="5" t="s">
        <v>152</v>
      </c>
      <c r="X220" s="28" t="str">
        <f>"－"</f>
        <v>－</v>
      </c>
      <c r="Y220" s="28"/>
      <c r="Z220" s="26" t="str">
        <f>"－"</f>
        <v>－</v>
      </c>
      <c r="AA220" s="26" t="str">
        <f>"－"</f>
        <v>－</v>
      </c>
      <c r="AB220" s="4" t="s">
        <v>152</v>
      </c>
      <c r="AC220" s="27" t="str">
        <f>"－"</f>
        <v>－</v>
      </c>
      <c r="AD220" s="5" t="s">
        <v>152</v>
      </c>
      <c r="AE220" s="28" t="str">
        <f>"－"</f>
        <v>－</v>
      </c>
    </row>
    <row r="221">
      <c r="A221" s="20" t="s">
        <v>691</v>
      </c>
      <c r="B221" s="21" t="s">
        <v>692</v>
      </c>
      <c r="C221" s="22"/>
      <c r="D221" s="23"/>
      <c r="E221" s="24" t="s">
        <v>190</v>
      </c>
      <c r="F221" s="25" t="n">
        <f>30</f>
        <v>30.0</v>
      </c>
      <c r="G221" s="26" t="n">
        <f>79437</f>
        <v>79437.0</v>
      </c>
      <c r="H221" s="26"/>
      <c r="I221" s="26" t="str">
        <f>"－"</f>
        <v>－</v>
      </c>
      <c r="J221" s="26" t="n">
        <f>2648</f>
        <v>2648.0</v>
      </c>
      <c r="K221" s="26" t="str">
        <f>"－"</f>
        <v>－</v>
      </c>
      <c r="L221" s="4" t="s">
        <v>693</v>
      </c>
      <c r="M221" s="27" t="n">
        <f>18458</f>
        <v>18458.0</v>
      </c>
      <c r="N221" s="5" t="s">
        <v>552</v>
      </c>
      <c r="O221" s="28" t="n">
        <f>1171</f>
        <v>1171.0</v>
      </c>
      <c r="P221" s="3" t="s">
        <v>694</v>
      </c>
      <c r="Q221" s="26"/>
      <c r="R221" s="3" t="s">
        <v>160</v>
      </c>
      <c r="S221" s="26" t="n">
        <f>297300045333</f>
        <v>2.97300045333E11</v>
      </c>
      <c r="T221" s="26" t="str">
        <f>"－"</f>
        <v>－</v>
      </c>
      <c r="U221" s="5" t="s">
        <v>693</v>
      </c>
      <c r="V221" s="28" t="n">
        <f>2068805920000</f>
        <v>2.06880592E12</v>
      </c>
      <c r="W221" s="5" t="s">
        <v>552</v>
      </c>
      <c r="X221" s="28" t="n">
        <f>131813560000</f>
        <v>1.3181356E11</v>
      </c>
      <c r="Y221" s="28"/>
      <c r="Z221" s="26" t="str">
        <f>"－"</f>
        <v>－</v>
      </c>
      <c r="AA221" s="26" t="n">
        <f>20238</f>
        <v>20238.0</v>
      </c>
      <c r="AB221" s="4" t="s">
        <v>351</v>
      </c>
      <c r="AC221" s="27" t="n">
        <f>21126</f>
        <v>21126.0</v>
      </c>
      <c r="AD221" s="5" t="s">
        <v>537</v>
      </c>
      <c r="AE221" s="28" t="n">
        <f>9988</f>
        <v>9988.0</v>
      </c>
    </row>
    <row r="222">
      <c r="A222" s="20" t="s">
        <v>691</v>
      </c>
      <c r="B222" s="21" t="s">
        <v>692</v>
      </c>
      <c r="C222" s="22"/>
      <c r="D222" s="23"/>
      <c r="E222" s="24" t="s">
        <v>194</v>
      </c>
      <c r="F222" s="25" t="n">
        <f>246</f>
        <v>246.0</v>
      </c>
      <c r="G222" s="26" t="n">
        <f>216433</f>
        <v>216433.0</v>
      </c>
      <c r="H222" s="26"/>
      <c r="I222" s="26" t="str">
        <f>"－"</f>
        <v>－</v>
      </c>
      <c r="J222" s="26" t="n">
        <f>880</f>
        <v>880.0</v>
      </c>
      <c r="K222" s="26" t="str">
        <f>"－"</f>
        <v>－</v>
      </c>
      <c r="L222" s="4" t="s">
        <v>331</v>
      </c>
      <c r="M222" s="27" t="n">
        <f>6072</f>
        <v>6072.0</v>
      </c>
      <c r="N222" s="5" t="s">
        <v>695</v>
      </c>
      <c r="O222" s="28" t="n">
        <f>138</f>
        <v>138.0</v>
      </c>
      <c r="P222" s="3" t="s">
        <v>696</v>
      </c>
      <c r="Q222" s="26"/>
      <c r="R222" s="3" t="s">
        <v>160</v>
      </c>
      <c r="S222" s="26" t="n">
        <f>99550931382</f>
        <v>9.9550931382E10</v>
      </c>
      <c r="T222" s="26" t="str">
        <f>"－"</f>
        <v>－</v>
      </c>
      <c r="U222" s="5" t="s">
        <v>331</v>
      </c>
      <c r="V222" s="28" t="n">
        <f>679890270000</f>
        <v>6.7989027E11</v>
      </c>
      <c r="W222" s="5" t="s">
        <v>695</v>
      </c>
      <c r="X222" s="28" t="n">
        <f>15702060000</f>
        <v>1.570206E10</v>
      </c>
      <c r="Y222" s="28"/>
      <c r="Z222" s="26" t="str">
        <f>"－"</f>
        <v>－</v>
      </c>
      <c r="AA222" s="26" t="n">
        <f>1607</f>
        <v>1607.0</v>
      </c>
      <c r="AB222" s="4" t="s">
        <v>389</v>
      </c>
      <c r="AC222" s="27" t="n">
        <f>20570</f>
        <v>20570.0</v>
      </c>
      <c r="AD222" s="5" t="s">
        <v>147</v>
      </c>
      <c r="AE222" s="28" t="n">
        <f>1088</f>
        <v>1088.0</v>
      </c>
    </row>
    <row r="223">
      <c r="A223" s="20" t="s">
        <v>691</v>
      </c>
      <c r="B223" s="21" t="s">
        <v>692</v>
      </c>
      <c r="C223" s="22"/>
      <c r="D223" s="23"/>
      <c r="E223" s="24" t="s">
        <v>199</v>
      </c>
      <c r="F223" s="25" t="n">
        <f>247</f>
        <v>247.0</v>
      </c>
      <c r="G223" s="26" t="n">
        <f>124046</f>
        <v>124046.0</v>
      </c>
      <c r="H223" s="26"/>
      <c r="I223" s="26" t="str">
        <f>"－"</f>
        <v>－</v>
      </c>
      <c r="J223" s="26" t="n">
        <f>502</f>
        <v>502.0</v>
      </c>
      <c r="K223" s="26" t="str">
        <f>"－"</f>
        <v>－</v>
      </c>
      <c r="L223" s="4" t="s">
        <v>234</v>
      </c>
      <c r="M223" s="27" t="n">
        <f>1856</f>
        <v>1856.0</v>
      </c>
      <c r="N223" s="5" t="s">
        <v>697</v>
      </c>
      <c r="O223" s="28" t="n">
        <f>137</f>
        <v>137.0</v>
      </c>
      <c r="P223" s="3" t="s">
        <v>698</v>
      </c>
      <c r="Q223" s="26"/>
      <c r="R223" s="3" t="s">
        <v>160</v>
      </c>
      <c r="S223" s="26" t="n">
        <f>57471806316</f>
        <v>5.7471806316E10</v>
      </c>
      <c r="T223" s="26" t="str">
        <f>"－"</f>
        <v>－</v>
      </c>
      <c r="U223" s="5" t="s">
        <v>234</v>
      </c>
      <c r="V223" s="28" t="n">
        <f>210409540000</f>
        <v>2.1040954E11</v>
      </c>
      <c r="W223" s="5" t="s">
        <v>697</v>
      </c>
      <c r="X223" s="28" t="n">
        <f>15559180000</f>
        <v>1.555918E10</v>
      </c>
      <c r="Y223" s="28"/>
      <c r="Z223" s="26" t="str">
        <f>"－"</f>
        <v>－</v>
      </c>
      <c r="AA223" s="26" t="n">
        <f>2856</f>
        <v>2856.0</v>
      </c>
      <c r="AB223" s="4" t="s">
        <v>624</v>
      </c>
      <c r="AC223" s="27" t="n">
        <f>3789</f>
        <v>3789.0</v>
      </c>
      <c r="AD223" s="5" t="s">
        <v>157</v>
      </c>
      <c r="AE223" s="28" t="n">
        <f>950</f>
        <v>950.0</v>
      </c>
    </row>
    <row r="224">
      <c r="A224" s="20" t="s">
        <v>691</v>
      </c>
      <c r="B224" s="21" t="s">
        <v>692</v>
      </c>
      <c r="C224" s="22"/>
      <c r="D224" s="23"/>
      <c r="E224" s="24" t="s">
        <v>205</v>
      </c>
      <c r="F224" s="25" t="n">
        <f>247</f>
        <v>247.0</v>
      </c>
      <c r="G224" s="26" t="n">
        <f>200407</f>
        <v>200407.0</v>
      </c>
      <c r="H224" s="26"/>
      <c r="I224" s="26" t="str">
        <f>"－"</f>
        <v>－</v>
      </c>
      <c r="J224" s="26" t="n">
        <f>811</f>
        <v>811.0</v>
      </c>
      <c r="K224" s="26" t="str">
        <f>"－"</f>
        <v>－</v>
      </c>
      <c r="L224" s="4" t="s">
        <v>434</v>
      </c>
      <c r="M224" s="27" t="n">
        <f>2004</f>
        <v>2004.0</v>
      </c>
      <c r="N224" s="5" t="s">
        <v>637</v>
      </c>
      <c r="O224" s="28" t="n">
        <f>4</f>
        <v>4.0</v>
      </c>
      <c r="P224" s="3" t="s">
        <v>699</v>
      </c>
      <c r="Q224" s="26"/>
      <c r="R224" s="3" t="s">
        <v>160</v>
      </c>
      <c r="S224" s="26" t="n">
        <f>93892579636</f>
        <v>9.3892579636E10</v>
      </c>
      <c r="T224" s="26" t="str">
        <f>"－"</f>
        <v>－</v>
      </c>
      <c r="U224" s="5" t="s">
        <v>434</v>
      </c>
      <c r="V224" s="28" t="n">
        <f>233140440000</f>
        <v>2.3314044E11</v>
      </c>
      <c r="W224" s="5" t="s">
        <v>637</v>
      </c>
      <c r="X224" s="28" t="n">
        <f>459720000</f>
        <v>4.5972E8</v>
      </c>
      <c r="Y224" s="28"/>
      <c r="Z224" s="26" t="str">
        <f>"－"</f>
        <v>－</v>
      </c>
      <c r="AA224" s="26" t="n">
        <f>4853</f>
        <v>4853.0</v>
      </c>
      <c r="AB224" s="4" t="s">
        <v>627</v>
      </c>
      <c r="AC224" s="27" t="n">
        <f>5183</f>
        <v>5183.0</v>
      </c>
      <c r="AD224" s="5" t="s">
        <v>339</v>
      </c>
      <c r="AE224" s="28" t="n">
        <f>1921</f>
        <v>1921.0</v>
      </c>
    </row>
    <row r="225">
      <c r="A225" s="20" t="s">
        <v>691</v>
      </c>
      <c r="B225" s="21" t="s">
        <v>692</v>
      </c>
      <c r="C225" s="22"/>
      <c r="D225" s="23"/>
      <c r="E225" s="24" t="s">
        <v>210</v>
      </c>
      <c r="F225" s="25" t="n">
        <f>246</f>
        <v>246.0</v>
      </c>
      <c r="G225" s="26" t="n">
        <f>69296</f>
        <v>69296.0</v>
      </c>
      <c r="H225" s="26"/>
      <c r="I225" s="26" t="str">
        <f>"－"</f>
        <v>－</v>
      </c>
      <c r="J225" s="26" t="n">
        <f>282</f>
        <v>282.0</v>
      </c>
      <c r="K225" s="26" t="str">
        <f>"－"</f>
        <v>－</v>
      </c>
      <c r="L225" s="4" t="s">
        <v>700</v>
      </c>
      <c r="M225" s="27" t="n">
        <f>1325</f>
        <v>1325.0</v>
      </c>
      <c r="N225" s="5" t="s">
        <v>85</v>
      </c>
      <c r="O225" s="28" t="str">
        <f>"－"</f>
        <v>－</v>
      </c>
      <c r="P225" s="3" t="s">
        <v>701</v>
      </c>
      <c r="Q225" s="26"/>
      <c r="R225" s="3" t="s">
        <v>160</v>
      </c>
      <c r="S225" s="26" t="n">
        <f>32805350163</f>
        <v>3.2805350163E10</v>
      </c>
      <c r="T225" s="26" t="str">
        <f>"－"</f>
        <v>－</v>
      </c>
      <c r="U225" s="5" t="s">
        <v>700</v>
      </c>
      <c r="V225" s="28" t="n">
        <f>155262830000</f>
        <v>1.5526283E11</v>
      </c>
      <c r="W225" s="5" t="s">
        <v>85</v>
      </c>
      <c r="X225" s="28" t="str">
        <f>"－"</f>
        <v>－</v>
      </c>
      <c r="Y225" s="28"/>
      <c r="Z225" s="26" t="str">
        <f>"－"</f>
        <v>－</v>
      </c>
      <c r="AA225" s="26" t="n">
        <f>2</f>
        <v>2.0</v>
      </c>
      <c r="AB225" s="4" t="s">
        <v>514</v>
      </c>
      <c r="AC225" s="27" t="n">
        <f>6738</f>
        <v>6738.0</v>
      </c>
      <c r="AD225" s="5" t="s">
        <v>702</v>
      </c>
      <c r="AE225" s="28" t="n">
        <f>2</f>
        <v>2.0</v>
      </c>
    </row>
    <row r="226">
      <c r="A226" s="20" t="s">
        <v>691</v>
      </c>
      <c r="B226" s="21" t="s">
        <v>692</v>
      </c>
      <c r="C226" s="22"/>
      <c r="D226" s="23"/>
      <c r="E226" s="24" t="s">
        <v>214</v>
      </c>
      <c r="F226" s="25" t="n">
        <f>246</f>
        <v>246.0</v>
      </c>
      <c r="G226" s="26" t="n">
        <f>111201</f>
        <v>111201.0</v>
      </c>
      <c r="H226" s="26"/>
      <c r="I226" s="26" t="str">
        <f>"－"</f>
        <v>－</v>
      </c>
      <c r="J226" s="26" t="n">
        <f>452</f>
        <v>452.0</v>
      </c>
      <c r="K226" s="26" t="str">
        <f>"－"</f>
        <v>－</v>
      </c>
      <c r="L226" s="4" t="s">
        <v>387</v>
      </c>
      <c r="M226" s="27" t="n">
        <f>3802</f>
        <v>3802.0</v>
      </c>
      <c r="N226" s="5" t="s">
        <v>399</v>
      </c>
      <c r="O226" s="28" t="str">
        <f>"－"</f>
        <v>－</v>
      </c>
      <c r="P226" s="3" t="s">
        <v>703</v>
      </c>
      <c r="Q226" s="26"/>
      <c r="R226" s="3" t="s">
        <v>160</v>
      </c>
      <c r="S226" s="26" t="n">
        <f>49055177154</f>
        <v>4.9055177154E10</v>
      </c>
      <c r="T226" s="26" t="str">
        <f>"－"</f>
        <v>－</v>
      </c>
      <c r="U226" s="5" t="s">
        <v>387</v>
      </c>
      <c r="V226" s="28" t="n">
        <f>411039450000</f>
        <v>4.1103945E11</v>
      </c>
      <c r="W226" s="5" t="s">
        <v>399</v>
      </c>
      <c r="X226" s="28" t="str">
        <f>"－"</f>
        <v>－</v>
      </c>
      <c r="Y226" s="28"/>
      <c r="Z226" s="26" t="str">
        <f>"－"</f>
        <v>－</v>
      </c>
      <c r="AA226" s="26" t="n">
        <f>166</f>
        <v>166.0</v>
      </c>
      <c r="AB226" s="4" t="s">
        <v>704</v>
      </c>
      <c r="AC226" s="27" t="n">
        <f>10479</f>
        <v>10479.0</v>
      </c>
      <c r="AD226" s="5" t="s">
        <v>399</v>
      </c>
      <c r="AE226" s="28" t="n">
        <f>2</f>
        <v>2.0</v>
      </c>
    </row>
    <row r="227">
      <c r="A227" s="20" t="s">
        <v>691</v>
      </c>
      <c r="B227" s="21" t="s">
        <v>692</v>
      </c>
      <c r="C227" s="22"/>
      <c r="D227" s="23"/>
      <c r="E227" s="24" t="s">
        <v>219</v>
      </c>
      <c r="F227" s="25" t="n">
        <f>245</f>
        <v>245.0</v>
      </c>
      <c r="G227" s="26" t="n">
        <f>444</f>
        <v>444.0</v>
      </c>
      <c r="H227" s="26"/>
      <c r="I227" s="26" t="str">
        <f>"－"</f>
        <v>－</v>
      </c>
      <c r="J227" s="26" t="n">
        <f>2</f>
        <v>2.0</v>
      </c>
      <c r="K227" s="26" t="str">
        <f>"－"</f>
        <v>－</v>
      </c>
      <c r="L227" s="4" t="s">
        <v>107</v>
      </c>
      <c r="M227" s="27" t="n">
        <f>93</f>
        <v>93.0</v>
      </c>
      <c r="N227" s="5" t="s">
        <v>389</v>
      </c>
      <c r="O227" s="28" t="str">
        <f>"－"</f>
        <v>－</v>
      </c>
      <c r="P227" s="3" t="s">
        <v>705</v>
      </c>
      <c r="Q227" s="26"/>
      <c r="R227" s="3" t="s">
        <v>160</v>
      </c>
      <c r="S227" s="26" t="n">
        <f>200580082</f>
        <v>2.00580082E8</v>
      </c>
      <c r="T227" s="26" t="str">
        <f>"－"</f>
        <v>－</v>
      </c>
      <c r="U227" s="5" t="s">
        <v>107</v>
      </c>
      <c r="V227" s="28" t="n">
        <f>10314770000</f>
        <v>1.031477E10</v>
      </c>
      <c r="W227" s="5" t="s">
        <v>389</v>
      </c>
      <c r="X227" s="28" t="str">
        <f>"－"</f>
        <v>－</v>
      </c>
      <c r="Y227" s="28"/>
      <c r="Z227" s="26" t="str">
        <f>"－"</f>
        <v>－</v>
      </c>
      <c r="AA227" s="26" t="str">
        <f>"－"</f>
        <v>－</v>
      </c>
      <c r="AB227" s="4" t="s">
        <v>491</v>
      </c>
      <c r="AC227" s="27" t="n">
        <f>171</f>
        <v>171.0</v>
      </c>
      <c r="AD227" s="5" t="s">
        <v>706</v>
      </c>
      <c r="AE227" s="28" t="str">
        <f>"－"</f>
        <v>－</v>
      </c>
    </row>
    <row r="228">
      <c r="A228" s="20" t="s">
        <v>691</v>
      </c>
      <c r="B228" s="21" t="s">
        <v>692</v>
      </c>
      <c r="C228" s="22"/>
      <c r="D228" s="23"/>
      <c r="E228" s="24" t="s">
        <v>223</v>
      </c>
      <c r="F228" s="25" t="n">
        <f>246</f>
        <v>246.0</v>
      </c>
      <c r="G228" s="26" t="str">
        <f>"－"</f>
        <v>－</v>
      </c>
      <c r="H228" s="26"/>
      <c r="I228" s="26" t="str">
        <f>"－"</f>
        <v>－</v>
      </c>
      <c r="J228" s="26" t="str">
        <f>"－"</f>
        <v>－</v>
      </c>
      <c r="K228" s="26" t="str">
        <f>"－"</f>
        <v>－</v>
      </c>
      <c r="L228" s="4" t="s">
        <v>213</v>
      </c>
      <c r="M228" s="27" t="str">
        <f>"－"</f>
        <v>－</v>
      </c>
      <c r="N228" s="5" t="s">
        <v>213</v>
      </c>
      <c r="O228" s="28" t="str">
        <f>"－"</f>
        <v>－</v>
      </c>
      <c r="P228" s="3" t="s">
        <v>160</v>
      </c>
      <c r="Q228" s="26"/>
      <c r="R228" s="3" t="s">
        <v>160</v>
      </c>
      <c r="S228" s="26" t="str">
        <f>"－"</f>
        <v>－</v>
      </c>
      <c r="T228" s="26" t="str">
        <f>"－"</f>
        <v>－</v>
      </c>
      <c r="U228" s="5" t="s">
        <v>213</v>
      </c>
      <c r="V228" s="28" t="str">
        <f>"－"</f>
        <v>－</v>
      </c>
      <c r="W228" s="5" t="s">
        <v>213</v>
      </c>
      <c r="X228" s="28" t="str">
        <f>"－"</f>
        <v>－</v>
      </c>
      <c r="Y228" s="28"/>
      <c r="Z228" s="26" t="str">
        <f>"－"</f>
        <v>－</v>
      </c>
      <c r="AA228" s="26" t="str">
        <f>"－"</f>
        <v>－</v>
      </c>
      <c r="AB228" s="4" t="s">
        <v>213</v>
      </c>
      <c r="AC228" s="27" t="str">
        <f>"－"</f>
        <v>－</v>
      </c>
      <c r="AD228" s="5" t="s">
        <v>213</v>
      </c>
      <c r="AE228" s="28" t="str">
        <f>"－"</f>
        <v>－</v>
      </c>
    </row>
    <row r="229">
      <c r="A229" s="20" t="s">
        <v>691</v>
      </c>
      <c r="B229" s="21" t="s">
        <v>692</v>
      </c>
      <c r="C229" s="22"/>
      <c r="D229" s="23"/>
      <c r="E229" s="24" t="s">
        <v>227</v>
      </c>
      <c r="F229" s="25" t="n">
        <f>248</f>
        <v>248.0</v>
      </c>
      <c r="G229" s="26" t="str">
        <f>"－"</f>
        <v>－</v>
      </c>
      <c r="H229" s="26"/>
      <c r="I229" s="26" t="str">
        <f>"－"</f>
        <v>－</v>
      </c>
      <c r="J229" s="26" t="str">
        <f>"－"</f>
        <v>－</v>
      </c>
      <c r="K229" s="26" t="str">
        <f>"－"</f>
        <v>－</v>
      </c>
      <c r="L229" s="4" t="s">
        <v>213</v>
      </c>
      <c r="M229" s="27" t="str">
        <f>"－"</f>
        <v>－</v>
      </c>
      <c r="N229" s="5" t="s">
        <v>213</v>
      </c>
      <c r="O229" s="28" t="str">
        <f>"－"</f>
        <v>－</v>
      </c>
      <c r="P229" s="3" t="s">
        <v>160</v>
      </c>
      <c r="Q229" s="26"/>
      <c r="R229" s="3" t="s">
        <v>160</v>
      </c>
      <c r="S229" s="26" t="str">
        <f>"－"</f>
        <v>－</v>
      </c>
      <c r="T229" s="26" t="str">
        <f>"－"</f>
        <v>－</v>
      </c>
      <c r="U229" s="5" t="s">
        <v>213</v>
      </c>
      <c r="V229" s="28" t="str">
        <f>"－"</f>
        <v>－</v>
      </c>
      <c r="W229" s="5" t="s">
        <v>213</v>
      </c>
      <c r="X229" s="28" t="str">
        <f>"－"</f>
        <v>－</v>
      </c>
      <c r="Y229" s="28"/>
      <c r="Z229" s="26" t="str">
        <f>"－"</f>
        <v>－</v>
      </c>
      <c r="AA229" s="26" t="str">
        <f>"－"</f>
        <v>－</v>
      </c>
      <c r="AB229" s="4" t="s">
        <v>213</v>
      </c>
      <c r="AC229" s="27" t="str">
        <f>"－"</f>
        <v>－</v>
      </c>
      <c r="AD229" s="5" t="s">
        <v>213</v>
      </c>
      <c r="AE229" s="28" t="str">
        <f>"－"</f>
        <v>－</v>
      </c>
    </row>
    <row r="230">
      <c r="A230" s="20" t="s">
        <v>691</v>
      </c>
      <c r="B230" s="21" t="s">
        <v>692</v>
      </c>
      <c r="C230" s="22"/>
      <c r="D230" s="23"/>
      <c r="E230" s="24" t="s">
        <v>230</v>
      </c>
      <c r="F230" s="25" t="n">
        <f>245</f>
        <v>245.0</v>
      </c>
      <c r="G230" s="26" t="str">
        <f>"－"</f>
        <v>－</v>
      </c>
      <c r="H230" s="26"/>
      <c r="I230" s="26" t="str">
        <f>"－"</f>
        <v>－</v>
      </c>
      <c r="J230" s="26" t="str">
        <f>"－"</f>
        <v>－</v>
      </c>
      <c r="K230" s="26" t="str">
        <f>"－"</f>
        <v>－</v>
      </c>
      <c r="L230" s="4" t="s">
        <v>213</v>
      </c>
      <c r="M230" s="27" t="str">
        <f>"－"</f>
        <v>－</v>
      </c>
      <c r="N230" s="5" t="s">
        <v>213</v>
      </c>
      <c r="O230" s="28" t="str">
        <f>"－"</f>
        <v>－</v>
      </c>
      <c r="P230" s="3" t="s">
        <v>160</v>
      </c>
      <c r="Q230" s="26"/>
      <c r="R230" s="3" t="s">
        <v>160</v>
      </c>
      <c r="S230" s="26" t="str">
        <f>"－"</f>
        <v>－</v>
      </c>
      <c r="T230" s="26" t="str">
        <f>"－"</f>
        <v>－</v>
      </c>
      <c r="U230" s="5" t="s">
        <v>213</v>
      </c>
      <c r="V230" s="28" t="str">
        <f>"－"</f>
        <v>－</v>
      </c>
      <c r="W230" s="5" t="s">
        <v>213</v>
      </c>
      <c r="X230" s="28" t="str">
        <f>"－"</f>
        <v>－</v>
      </c>
      <c r="Y230" s="28"/>
      <c r="Z230" s="26" t="str">
        <f>"－"</f>
        <v>－</v>
      </c>
      <c r="AA230" s="26" t="str">
        <f>"－"</f>
        <v>－</v>
      </c>
      <c r="AB230" s="4" t="s">
        <v>213</v>
      </c>
      <c r="AC230" s="27" t="str">
        <f>"－"</f>
        <v>－</v>
      </c>
      <c r="AD230" s="5" t="s">
        <v>213</v>
      </c>
      <c r="AE230" s="28" t="str">
        <f>"－"</f>
        <v>－</v>
      </c>
    </row>
    <row r="231">
      <c r="A231" s="20" t="s">
        <v>691</v>
      </c>
      <c r="B231" s="21" t="s">
        <v>692</v>
      </c>
      <c r="C231" s="22"/>
      <c r="D231" s="23"/>
      <c r="E231" s="24" t="s">
        <v>235</v>
      </c>
      <c r="F231" s="25" t="n">
        <f>246</f>
        <v>246.0</v>
      </c>
      <c r="G231" s="26" t="str">
        <f>"－"</f>
        <v>－</v>
      </c>
      <c r="H231" s="26"/>
      <c r="I231" s="26" t="str">
        <f>"－"</f>
        <v>－</v>
      </c>
      <c r="J231" s="26" t="str">
        <f>"－"</f>
        <v>－</v>
      </c>
      <c r="K231" s="26" t="str">
        <f>"－"</f>
        <v>－</v>
      </c>
      <c r="L231" s="4" t="s">
        <v>213</v>
      </c>
      <c r="M231" s="27" t="str">
        <f>"－"</f>
        <v>－</v>
      </c>
      <c r="N231" s="5" t="s">
        <v>213</v>
      </c>
      <c r="O231" s="28" t="str">
        <f>"－"</f>
        <v>－</v>
      </c>
      <c r="P231" s="3" t="s">
        <v>160</v>
      </c>
      <c r="Q231" s="26"/>
      <c r="R231" s="3" t="s">
        <v>160</v>
      </c>
      <c r="S231" s="26" t="str">
        <f>"－"</f>
        <v>－</v>
      </c>
      <c r="T231" s="26" t="str">
        <f>"－"</f>
        <v>－</v>
      </c>
      <c r="U231" s="5" t="s">
        <v>213</v>
      </c>
      <c r="V231" s="28" t="str">
        <f>"－"</f>
        <v>－</v>
      </c>
      <c r="W231" s="5" t="s">
        <v>213</v>
      </c>
      <c r="X231" s="28" t="str">
        <f>"－"</f>
        <v>－</v>
      </c>
      <c r="Y231" s="28"/>
      <c r="Z231" s="26" t="str">
        <f>"－"</f>
        <v>－</v>
      </c>
      <c r="AA231" s="26" t="str">
        <f>"－"</f>
        <v>－</v>
      </c>
      <c r="AB231" s="4" t="s">
        <v>213</v>
      </c>
      <c r="AC231" s="27" t="str">
        <f>"－"</f>
        <v>－</v>
      </c>
      <c r="AD231" s="5" t="s">
        <v>213</v>
      </c>
      <c r="AE231" s="28" t="str">
        <f>"－"</f>
        <v>－</v>
      </c>
    </row>
    <row r="232">
      <c r="A232" s="20" t="s">
        <v>691</v>
      </c>
      <c r="B232" s="21" t="s">
        <v>692</v>
      </c>
      <c r="C232" s="22"/>
      <c r="D232" s="23"/>
      <c r="E232" s="24" t="s">
        <v>240</v>
      </c>
      <c r="F232" s="25" t="n">
        <f>246</f>
        <v>246.0</v>
      </c>
      <c r="G232" s="26" t="str">
        <f>"－"</f>
        <v>－</v>
      </c>
      <c r="H232" s="26"/>
      <c r="I232" s="26" t="str">
        <f>"－"</f>
        <v>－</v>
      </c>
      <c r="J232" s="26" t="str">
        <f>"－"</f>
        <v>－</v>
      </c>
      <c r="K232" s="26" t="str">
        <f>"－"</f>
        <v>－</v>
      </c>
      <c r="L232" s="4" t="s">
        <v>399</v>
      </c>
      <c r="M232" s="27" t="str">
        <f>"－"</f>
        <v>－</v>
      </c>
      <c r="N232" s="5" t="s">
        <v>399</v>
      </c>
      <c r="O232" s="28" t="str">
        <f>"－"</f>
        <v>－</v>
      </c>
      <c r="P232" s="3" t="s">
        <v>160</v>
      </c>
      <c r="Q232" s="26"/>
      <c r="R232" s="3" t="s">
        <v>160</v>
      </c>
      <c r="S232" s="26" t="str">
        <f>"－"</f>
        <v>－</v>
      </c>
      <c r="T232" s="26" t="str">
        <f>"－"</f>
        <v>－</v>
      </c>
      <c r="U232" s="5" t="s">
        <v>399</v>
      </c>
      <c r="V232" s="28" t="str">
        <f>"－"</f>
        <v>－</v>
      </c>
      <c r="W232" s="5" t="s">
        <v>399</v>
      </c>
      <c r="X232" s="28" t="str">
        <f>"－"</f>
        <v>－</v>
      </c>
      <c r="Y232" s="28"/>
      <c r="Z232" s="26" t="str">
        <f>"－"</f>
        <v>－</v>
      </c>
      <c r="AA232" s="26" t="str">
        <f>"－"</f>
        <v>－</v>
      </c>
      <c r="AB232" s="4" t="s">
        <v>399</v>
      </c>
      <c r="AC232" s="27" t="str">
        <f>"－"</f>
        <v>－</v>
      </c>
      <c r="AD232" s="5" t="s">
        <v>399</v>
      </c>
      <c r="AE232" s="28" t="str">
        <f>"－"</f>
        <v>－</v>
      </c>
    </row>
    <row r="233">
      <c r="A233" s="20" t="s">
        <v>691</v>
      </c>
      <c r="B233" s="21" t="s">
        <v>692</v>
      </c>
      <c r="C233" s="22"/>
      <c r="D233" s="23"/>
      <c r="E233" s="24" t="s">
        <v>244</v>
      </c>
      <c r="F233" s="25" t="n">
        <f>245</f>
        <v>245.0</v>
      </c>
      <c r="G233" s="26" t="str">
        <f>"－"</f>
        <v>－</v>
      </c>
      <c r="H233" s="26"/>
      <c r="I233" s="26" t="str">
        <f>"－"</f>
        <v>－</v>
      </c>
      <c r="J233" s="26" t="str">
        <f>"－"</f>
        <v>－</v>
      </c>
      <c r="K233" s="26" t="str">
        <f>"－"</f>
        <v>－</v>
      </c>
      <c r="L233" s="4" t="s">
        <v>389</v>
      </c>
      <c r="M233" s="27" t="str">
        <f>"－"</f>
        <v>－</v>
      </c>
      <c r="N233" s="5" t="s">
        <v>389</v>
      </c>
      <c r="O233" s="28" t="str">
        <f>"－"</f>
        <v>－</v>
      </c>
      <c r="P233" s="3" t="s">
        <v>160</v>
      </c>
      <c r="Q233" s="26"/>
      <c r="R233" s="3" t="s">
        <v>160</v>
      </c>
      <c r="S233" s="26" t="str">
        <f>"－"</f>
        <v>－</v>
      </c>
      <c r="T233" s="26" t="str">
        <f>"－"</f>
        <v>－</v>
      </c>
      <c r="U233" s="5" t="s">
        <v>389</v>
      </c>
      <c r="V233" s="28" t="str">
        <f>"－"</f>
        <v>－</v>
      </c>
      <c r="W233" s="5" t="s">
        <v>389</v>
      </c>
      <c r="X233" s="28" t="str">
        <f>"－"</f>
        <v>－</v>
      </c>
      <c r="Y233" s="28"/>
      <c r="Z233" s="26" t="str">
        <f>"－"</f>
        <v>－</v>
      </c>
      <c r="AA233" s="26" t="str">
        <f>"－"</f>
        <v>－</v>
      </c>
      <c r="AB233" s="4" t="s">
        <v>389</v>
      </c>
      <c r="AC233" s="27" t="str">
        <f>"－"</f>
        <v>－</v>
      </c>
      <c r="AD233" s="5" t="s">
        <v>389</v>
      </c>
      <c r="AE233" s="28" t="str">
        <f>"－"</f>
        <v>－</v>
      </c>
    </row>
    <row r="234">
      <c r="A234" s="20" t="s">
        <v>691</v>
      </c>
      <c r="B234" s="21" t="s">
        <v>692</v>
      </c>
      <c r="C234" s="22"/>
      <c r="D234" s="23"/>
      <c r="E234" s="24" t="s">
        <v>247</v>
      </c>
      <c r="F234" s="25" t="n">
        <f>245</f>
        <v>245.0</v>
      </c>
      <c r="G234" s="26" t="str">
        <f>"－"</f>
        <v>－</v>
      </c>
      <c r="H234" s="26"/>
      <c r="I234" s="26" t="str">
        <f>"－"</f>
        <v>－</v>
      </c>
      <c r="J234" s="26" t="str">
        <f>"－"</f>
        <v>－</v>
      </c>
      <c r="K234" s="26" t="str">
        <f>"－"</f>
        <v>－</v>
      </c>
      <c r="L234" s="4" t="s">
        <v>213</v>
      </c>
      <c r="M234" s="27" t="str">
        <f>"－"</f>
        <v>－</v>
      </c>
      <c r="N234" s="5" t="s">
        <v>213</v>
      </c>
      <c r="O234" s="28" t="str">
        <f>"－"</f>
        <v>－</v>
      </c>
      <c r="P234" s="3" t="s">
        <v>160</v>
      </c>
      <c r="Q234" s="26"/>
      <c r="R234" s="3" t="s">
        <v>160</v>
      </c>
      <c r="S234" s="26" t="str">
        <f>"－"</f>
        <v>－</v>
      </c>
      <c r="T234" s="26" t="str">
        <f>"－"</f>
        <v>－</v>
      </c>
      <c r="U234" s="5" t="s">
        <v>213</v>
      </c>
      <c r="V234" s="28" t="str">
        <f>"－"</f>
        <v>－</v>
      </c>
      <c r="W234" s="5" t="s">
        <v>213</v>
      </c>
      <c r="X234" s="28" t="str">
        <f>"－"</f>
        <v>－</v>
      </c>
      <c r="Y234" s="28"/>
      <c r="Z234" s="26" t="str">
        <f>"－"</f>
        <v>－</v>
      </c>
      <c r="AA234" s="26" t="str">
        <f>"－"</f>
        <v>－</v>
      </c>
      <c r="AB234" s="4" t="s">
        <v>213</v>
      </c>
      <c r="AC234" s="27" t="str">
        <f>"－"</f>
        <v>－</v>
      </c>
      <c r="AD234" s="5" t="s">
        <v>213</v>
      </c>
      <c r="AE234" s="28" t="str">
        <f>"－"</f>
        <v>－</v>
      </c>
    </row>
    <row r="235">
      <c r="A235" s="20" t="s">
        <v>691</v>
      </c>
      <c r="B235" s="21" t="s">
        <v>692</v>
      </c>
      <c r="C235" s="22"/>
      <c r="D235" s="23"/>
      <c r="E235" s="24" t="s">
        <v>251</v>
      </c>
      <c r="F235" s="25" t="n">
        <f>244</f>
        <v>244.0</v>
      </c>
      <c r="G235" s="26" t="str">
        <f>"－"</f>
        <v>－</v>
      </c>
      <c r="H235" s="26"/>
      <c r="I235" s="26" t="str">
        <f>"－"</f>
        <v>－</v>
      </c>
      <c r="J235" s="26" t="str">
        <f>"－"</f>
        <v>－</v>
      </c>
      <c r="K235" s="26" t="str">
        <f>"－"</f>
        <v>－</v>
      </c>
      <c r="L235" s="4" t="s">
        <v>213</v>
      </c>
      <c r="M235" s="27" t="str">
        <f>"－"</f>
        <v>－</v>
      </c>
      <c r="N235" s="5" t="s">
        <v>213</v>
      </c>
      <c r="O235" s="28" t="str">
        <f>"－"</f>
        <v>－</v>
      </c>
      <c r="P235" s="3" t="s">
        <v>160</v>
      </c>
      <c r="Q235" s="26"/>
      <c r="R235" s="3" t="s">
        <v>160</v>
      </c>
      <c r="S235" s="26" t="str">
        <f>"－"</f>
        <v>－</v>
      </c>
      <c r="T235" s="26" t="str">
        <f>"－"</f>
        <v>－</v>
      </c>
      <c r="U235" s="5" t="s">
        <v>213</v>
      </c>
      <c r="V235" s="28" t="str">
        <f>"－"</f>
        <v>－</v>
      </c>
      <c r="W235" s="5" t="s">
        <v>213</v>
      </c>
      <c r="X235" s="28" t="str">
        <f>"－"</f>
        <v>－</v>
      </c>
      <c r="Y235" s="28"/>
      <c r="Z235" s="26" t="str">
        <f>"－"</f>
        <v>－</v>
      </c>
      <c r="AA235" s="26" t="str">
        <f>"－"</f>
        <v>－</v>
      </c>
      <c r="AB235" s="4" t="s">
        <v>213</v>
      </c>
      <c r="AC235" s="27" t="str">
        <f>"－"</f>
        <v>－</v>
      </c>
      <c r="AD235" s="5" t="s">
        <v>213</v>
      </c>
      <c r="AE235" s="28" t="str">
        <f>"－"</f>
        <v>－</v>
      </c>
    </row>
    <row r="236">
      <c r="A236" s="20" t="s">
        <v>691</v>
      </c>
      <c r="B236" s="21" t="s">
        <v>692</v>
      </c>
      <c r="C236" s="22"/>
      <c r="D236" s="23"/>
      <c r="E236" s="24" t="s">
        <v>255</v>
      </c>
      <c r="F236" s="25" t="n">
        <f>245</f>
        <v>245.0</v>
      </c>
      <c r="G236" s="26" t="str">
        <f>"－"</f>
        <v>－</v>
      </c>
      <c r="H236" s="26"/>
      <c r="I236" s="26" t="str">
        <f>"－"</f>
        <v>－</v>
      </c>
      <c r="J236" s="26" t="str">
        <f>"－"</f>
        <v>－</v>
      </c>
      <c r="K236" s="26" t="str">
        <f>"－"</f>
        <v>－</v>
      </c>
      <c r="L236" s="4" t="s">
        <v>213</v>
      </c>
      <c r="M236" s="27" t="str">
        <f>"－"</f>
        <v>－</v>
      </c>
      <c r="N236" s="5" t="s">
        <v>213</v>
      </c>
      <c r="O236" s="28" t="str">
        <f>"－"</f>
        <v>－</v>
      </c>
      <c r="P236" s="3" t="s">
        <v>160</v>
      </c>
      <c r="Q236" s="26"/>
      <c r="R236" s="3" t="s">
        <v>160</v>
      </c>
      <c r="S236" s="26" t="str">
        <f>"－"</f>
        <v>－</v>
      </c>
      <c r="T236" s="26" t="str">
        <f>"－"</f>
        <v>－</v>
      </c>
      <c r="U236" s="5" t="s">
        <v>213</v>
      </c>
      <c r="V236" s="28" t="str">
        <f>"－"</f>
        <v>－</v>
      </c>
      <c r="W236" s="5" t="s">
        <v>213</v>
      </c>
      <c r="X236" s="28" t="str">
        <f>"－"</f>
        <v>－</v>
      </c>
      <c r="Y236" s="28"/>
      <c r="Z236" s="26" t="str">
        <f>"－"</f>
        <v>－</v>
      </c>
      <c r="AA236" s="26" t="str">
        <f>"－"</f>
        <v>－</v>
      </c>
      <c r="AB236" s="4" t="s">
        <v>213</v>
      </c>
      <c r="AC236" s="27" t="str">
        <f>"－"</f>
        <v>－</v>
      </c>
      <c r="AD236" s="5" t="s">
        <v>213</v>
      </c>
      <c r="AE236" s="28" t="str">
        <f>"－"</f>
        <v>－</v>
      </c>
    </row>
    <row r="237">
      <c r="A237" s="20" t="s">
        <v>691</v>
      </c>
      <c r="B237" s="21" t="s">
        <v>692</v>
      </c>
      <c r="C237" s="22"/>
      <c r="D237" s="23"/>
      <c r="E237" s="24" t="s">
        <v>258</v>
      </c>
      <c r="F237" s="25" t="n">
        <f>246</f>
        <v>246.0</v>
      </c>
      <c r="G237" s="26" t="str">
        <f>"－"</f>
        <v>－</v>
      </c>
      <c r="H237" s="26"/>
      <c r="I237" s="26" t="str">
        <f>"－"</f>
        <v>－</v>
      </c>
      <c r="J237" s="26" t="str">
        <f>"－"</f>
        <v>－</v>
      </c>
      <c r="K237" s="26" t="str">
        <f>"－"</f>
        <v>－</v>
      </c>
      <c r="L237" s="4" t="s">
        <v>213</v>
      </c>
      <c r="M237" s="27" t="str">
        <f>"－"</f>
        <v>－</v>
      </c>
      <c r="N237" s="5" t="s">
        <v>213</v>
      </c>
      <c r="O237" s="28" t="str">
        <f>"－"</f>
        <v>－</v>
      </c>
      <c r="P237" s="3" t="s">
        <v>160</v>
      </c>
      <c r="Q237" s="26"/>
      <c r="R237" s="3" t="s">
        <v>160</v>
      </c>
      <c r="S237" s="26" t="str">
        <f>"－"</f>
        <v>－</v>
      </c>
      <c r="T237" s="26" t="str">
        <f>"－"</f>
        <v>－</v>
      </c>
      <c r="U237" s="5" t="s">
        <v>213</v>
      </c>
      <c r="V237" s="28" t="str">
        <f>"－"</f>
        <v>－</v>
      </c>
      <c r="W237" s="5" t="s">
        <v>213</v>
      </c>
      <c r="X237" s="28" t="str">
        <f>"－"</f>
        <v>－</v>
      </c>
      <c r="Y237" s="28"/>
      <c r="Z237" s="26" t="str">
        <f>"－"</f>
        <v>－</v>
      </c>
      <c r="AA237" s="26" t="str">
        <f>"－"</f>
        <v>－</v>
      </c>
      <c r="AB237" s="4" t="s">
        <v>213</v>
      </c>
      <c r="AC237" s="27" t="str">
        <f>"－"</f>
        <v>－</v>
      </c>
      <c r="AD237" s="5" t="s">
        <v>213</v>
      </c>
      <c r="AE237" s="28" t="str">
        <f>"－"</f>
        <v>－</v>
      </c>
    </row>
    <row r="238">
      <c r="A238" s="20" t="s">
        <v>691</v>
      </c>
      <c r="B238" s="21" t="s">
        <v>692</v>
      </c>
      <c r="C238" s="22"/>
      <c r="D238" s="23"/>
      <c r="E238" s="24" t="s">
        <v>261</v>
      </c>
      <c r="F238" s="25" t="n">
        <f>245</f>
        <v>245.0</v>
      </c>
      <c r="G238" s="26" t="str">
        <f>"－"</f>
        <v>－</v>
      </c>
      <c r="H238" s="26"/>
      <c r="I238" s="26" t="str">
        <f>"－"</f>
        <v>－</v>
      </c>
      <c r="J238" s="26" t="str">
        <f>"－"</f>
        <v>－</v>
      </c>
      <c r="K238" s="26" t="str">
        <f>"－"</f>
        <v>－</v>
      </c>
      <c r="L238" s="4" t="s">
        <v>389</v>
      </c>
      <c r="M238" s="27" t="str">
        <f>"－"</f>
        <v>－</v>
      </c>
      <c r="N238" s="5" t="s">
        <v>389</v>
      </c>
      <c r="O238" s="28" t="str">
        <f>"－"</f>
        <v>－</v>
      </c>
      <c r="P238" s="3" t="s">
        <v>160</v>
      </c>
      <c r="Q238" s="26"/>
      <c r="R238" s="3" t="s">
        <v>160</v>
      </c>
      <c r="S238" s="26" t="str">
        <f>"－"</f>
        <v>－</v>
      </c>
      <c r="T238" s="26" t="str">
        <f>"－"</f>
        <v>－</v>
      </c>
      <c r="U238" s="5" t="s">
        <v>389</v>
      </c>
      <c r="V238" s="28" t="str">
        <f>"－"</f>
        <v>－</v>
      </c>
      <c r="W238" s="5" t="s">
        <v>389</v>
      </c>
      <c r="X238" s="28" t="str">
        <f>"－"</f>
        <v>－</v>
      </c>
      <c r="Y238" s="28"/>
      <c r="Z238" s="26" t="str">
        <f>"－"</f>
        <v>－</v>
      </c>
      <c r="AA238" s="26" t="str">
        <f>"－"</f>
        <v>－</v>
      </c>
      <c r="AB238" s="4" t="s">
        <v>389</v>
      </c>
      <c r="AC238" s="27" t="str">
        <f>"－"</f>
        <v>－</v>
      </c>
      <c r="AD238" s="5" t="s">
        <v>389</v>
      </c>
      <c r="AE238" s="28" t="str">
        <f>"－"</f>
        <v>－</v>
      </c>
    </row>
    <row r="239">
      <c r="A239" s="20" t="s">
        <v>691</v>
      </c>
      <c r="B239" s="21" t="s">
        <v>692</v>
      </c>
      <c r="C239" s="22"/>
      <c r="D239" s="23"/>
      <c r="E239" s="24" t="s">
        <v>265</v>
      </c>
      <c r="F239" s="25" t="n">
        <f>245</f>
        <v>245.0</v>
      </c>
      <c r="G239" s="26" t="str">
        <f>"－"</f>
        <v>－</v>
      </c>
      <c r="H239" s="26"/>
      <c r="I239" s="26" t="str">
        <f>"－"</f>
        <v>－</v>
      </c>
      <c r="J239" s="26" t="str">
        <f>"－"</f>
        <v>－</v>
      </c>
      <c r="K239" s="26" t="str">
        <f>"－"</f>
        <v>－</v>
      </c>
      <c r="L239" s="4" t="s">
        <v>213</v>
      </c>
      <c r="M239" s="27" t="str">
        <f>"－"</f>
        <v>－</v>
      </c>
      <c r="N239" s="5" t="s">
        <v>213</v>
      </c>
      <c r="O239" s="28" t="str">
        <f>"－"</f>
        <v>－</v>
      </c>
      <c r="P239" s="3" t="s">
        <v>160</v>
      </c>
      <c r="Q239" s="26"/>
      <c r="R239" s="3" t="s">
        <v>160</v>
      </c>
      <c r="S239" s="26" t="str">
        <f>"－"</f>
        <v>－</v>
      </c>
      <c r="T239" s="26" t="str">
        <f>"－"</f>
        <v>－</v>
      </c>
      <c r="U239" s="5" t="s">
        <v>213</v>
      </c>
      <c r="V239" s="28" t="str">
        <f>"－"</f>
        <v>－</v>
      </c>
      <c r="W239" s="5" t="s">
        <v>213</v>
      </c>
      <c r="X239" s="28" t="str">
        <f>"－"</f>
        <v>－</v>
      </c>
      <c r="Y239" s="28"/>
      <c r="Z239" s="26" t="str">
        <f>"－"</f>
        <v>－</v>
      </c>
      <c r="AA239" s="26" t="str">
        <f>"－"</f>
        <v>－</v>
      </c>
      <c r="AB239" s="4" t="s">
        <v>213</v>
      </c>
      <c r="AC239" s="27" t="str">
        <f>"－"</f>
        <v>－</v>
      </c>
      <c r="AD239" s="5" t="s">
        <v>213</v>
      </c>
      <c r="AE239" s="28" t="str">
        <f>"－"</f>
        <v>－</v>
      </c>
    </row>
    <row r="240">
      <c r="A240" s="20" t="s">
        <v>691</v>
      </c>
      <c r="B240" s="21" t="s">
        <v>692</v>
      </c>
      <c r="C240" s="22"/>
      <c r="D240" s="23"/>
      <c r="E240" s="24" t="s">
        <v>48</v>
      </c>
      <c r="F240" s="25" t="n">
        <f>246</f>
        <v>246.0</v>
      </c>
      <c r="G240" s="26" t="str">
        <f>"－"</f>
        <v>－</v>
      </c>
      <c r="H240" s="26"/>
      <c r="I240" s="26" t="str">
        <f>"－"</f>
        <v>－</v>
      </c>
      <c r="J240" s="26" t="str">
        <f>"－"</f>
        <v>－</v>
      </c>
      <c r="K240" s="26" t="str">
        <f>"－"</f>
        <v>－</v>
      </c>
      <c r="L240" s="4" t="s">
        <v>213</v>
      </c>
      <c r="M240" s="27" t="str">
        <f>"－"</f>
        <v>－</v>
      </c>
      <c r="N240" s="5" t="s">
        <v>213</v>
      </c>
      <c r="O240" s="28" t="str">
        <f>"－"</f>
        <v>－</v>
      </c>
      <c r="P240" s="3" t="s">
        <v>160</v>
      </c>
      <c r="Q240" s="26"/>
      <c r="R240" s="3" t="s">
        <v>160</v>
      </c>
      <c r="S240" s="26" t="str">
        <f>"－"</f>
        <v>－</v>
      </c>
      <c r="T240" s="26" t="str">
        <f>"－"</f>
        <v>－</v>
      </c>
      <c r="U240" s="5" t="s">
        <v>213</v>
      </c>
      <c r="V240" s="28" t="str">
        <f>"－"</f>
        <v>－</v>
      </c>
      <c r="W240" s="5" t="s">
        <v>213</v>
      </c>
      <c r="X240" s="28" t="str">
        <f>"－"</f>
        <v>－</v>
      </c>
      <c r="Y240" s="28"/>
      <c r="Z240" s="26" t="str">
        <f>"－"</f>
        <v>－</v>
      </c>
      <c r="AA240" s="26" t="str">
        <f>"－"</f>
        <v>－</v>
      </c>
      <c r="AB240" s="4" t="s">
        <v>213</v>
      </c>
      <c r="AC240" s="27" t="str">
        <f>"－"</f>
        <v>－</v>
      </c>
      <c r="AD240" s="5" t="s">
        <v>213</v>
      </c>
      <c r="AE240" s="28" t="str">
        <f>"－"</f>
        <v>－</v>
      </c>
    </row>
    <row r="241">
      <c r="A241" s="20" t="s">
        <v>691</v>
      </c>
      <c r="B241" s="21" t="s">
        <v>692</v>
      </c>
      <c r="C241" s="22"/>
      <c r="D241" s="23"/>
      <c r="E241" s="24" t="s">
        <v>56</v>
      </c>
      <c r="F241" s="25" t="n">
        <f>245</f>
        <v>245.0</v>
      </c>
      <c r="G241" s="26" t="str">
        <f>"－"</f>
        <v>－</v>
      </c>
      <c r="H241" s="26"/>
      <c r="I241" s="26" t="str">
        <f>"－"</f>
        <v>－</v>
      </c>
      <c r="J241" s="26" t="str">
        <f>"－"</f>
        <v>－</v>
      </c>
      <c r="K241" s="26" t="str">
        <f>"－"</f>
        <v>－</v>
      </c>
      <c r="L241" s="4" t="s">
        <v>213</v>
      </c>
      <c r="M241" s="27" t="str">
        <f>"－"</f>
        <v>－</v>
      </c>
      <c r="N241" s="5" t="s">
        <v>213</v>
      </c>
      <c r="O241" s="28" t="str">
        <f>"－"</f>
        <v>－</v>
      </c>
      <c r="P241" s="3" t="s">
        <v>160</v>
      </c>
      <c r="Q241" s="26"/>
      <c r="R241" s="3" t="s">
        <v>160</v>
      </c>
      <c r="S241" s="26" t="str">
        <f>"－"</f>
        <v>－</v>
      </c>
      <c r="T241" s="26" t="str">
        <f>"－"</f>
        <v>－</v>
      </c>
      <c r="U241" s="5" t="s">
        <v>213</v>
      </c>
      <c r="V241" s="28" t="str">
        <f>"－"</f>
        <v>－</v>
      </c>
      <c r="W241" s="5" t="s">
        <v>213</v>
      </c>
      <c r="X241" s="28" t="str">
        <f>"－"</f>
        <v>－</v>
      </c>
      <c r="Y241" s="28"/>
      <c r="Z241" s="26" t="str">
        <f>"－"</f>
        <v>－</v>
      </c>
      <c r="AA241" s="26" t="str">
        <f>"－"</f>
        <v>－</v>
      </c>
      <c r="AB241" s="4" t="s">
        <v>213</v>
      </c>
      <c r="AC241" s="27" t="str">
        <f>"－"</f>
        <v>－</v>
      </c>
      <c r="AD241" s="5" t="s">
        <v>213</v>
      </c>
      <c r="AE241" s="28" t="str">
        <f>"－"</f>
        <v>－</v>
      </c>
    </row>
    <row r="242">
      <c r="A242" s="20" t="s">
        <v>691</v>
      </c>
      <c r="B242" s="21" t="s">
        <v>692</v>
      </c>
      <c r="C242" s="22"/>
      <c r="D242" s="23"/>
      <c r="E242" s="24" t="s">
        <v>63</v>
      </c>
      <c r="F242" s="25" t="n">
        <f>245</f>
        <v>245.0</v>
      </c>
      <c r="G242" s="26" t="str">
        <f>"－"</f>
        <v>－</v>
      </c>
      <c r="H242" s="26"/>
      <c r="I242" s="26" t="str">
        <f>"－"</f>
        <v>－</v>
      </c>
      <c r="J242" s="26" t="str">
        <f>"－"</f>
        <v>－</v>
      </c>
      <c r="K242" s="26" t="str">
        <f>"－"</f>
        <v>－</v>
      </c>
      <c r="L242" s="4" t="s">
        <v>213</v>
      </c>
      <c r="M242" s="27" t="str">
        <f>"－"</f>
        <v>－</v>
      </c>
      <c r="N242" s="5" t="s">
        <v>213</v>
      </c>
      <c r="O242" s="28" t="str">
        <f>"－"</f>
        <v>－</v>
      </c>
      <c r="P242" s="3" t="s">
        <v>160</v>
      </c>
      <c r="Q242" s="26"/>
      <c r="R242" s="3" t="s">
        <v>160</v>
      </c>
      <c r="S242" s="26" t="str">
        <f>"－"</f>
        <v>－</v>
      </c>
      <c r="T242" s="26" t="str">
        <f>"－"</f>
        <v>－</v>
      </c>
      <c r="U242" s="5" t="s">
        <v>213</v>
      </c>
      <c r="V242" s="28" t="str">
        <f>"－"</f>
        <v>－</v>
      </c>
      <c r="W242" s="5" t="s">
        <v>213</v>
      </c>
      <c r="X242" s="28" t="str">
        <f>"－"</f>
        <v>－</v>
      </c>
      <c r="Y242" s="28"/>
      <c r="Z242" s="26" t="str">
        <f>"－"</f>
        <v>－</v>
      </c>
      <c r="AA242" s="26" t="str">
        <f>"－"</f>
        <v>－</v>
      </c>
      <c r="AB242" s="4" t="s">
        <v>213</v>
      </c>
      <c r="AC242" s="27" t="str">
        <f>"－"</f>
        <v>－</v>
      </c>
      <c r="AD242" s="5" t="s">
        <v>213</v>
      </c>
      <c r="AE242" s="28" t="str">
        <f>"－"</f>
        <v>－</v>
      </c>
    </row>
    <row r="243">
      <c r="A243" s="20" t="s">
        <v>691</v>
      </c>
      <c r="B243" s="21" t="s">
        <v>692</v>
      </c>
      <c r="C243" s="22"/>
      <c r="D243" s="23"/>
      <c r="E243" s="24" t="s">
        <v>70</v>
      </c>
      <c r="F243" s="25" t="n">
        <f>245</f>
        <v>245.0</v>
      </c>
      <c r="G243" s="26" t="str">
        <f>"－"</f>
        <v>－</v>
      </c>
      <c r="H243" s="26"/>
      <c r="I243" s="26" t="str">
        <f>"－"</f>
        <v>－</v>
      </c>
      <c r="J243" s="26" t="str">
        <f>"－"</f>
        <v>－</v>
      </c>
      <c r="K243" s="26" t="str">
        <f>"－"</f>
        <v>－</v>
      </c>
      <c r="L243" s="4" t="s">
        <v>399</v>
      </c>
      <c r="M243" s="27" t="str">
        <f>"－"</f>
        <v>－</v>
      </c>
      <c r="N243" s="5" t="s">
        <v>399</v>
      </c>
      <c r="O243" s="28" t="str">
        <f>"－"</f>
        <v>－</v>
      </c>
      <c r="P243" s="3" t="s">
        <v>160</v>
      </c>
      <c r="Q243" s="26"/>
      <c r="R243" s="3" t="s">
        <v>160</v>
      </c>
      <c r="S243" s="26" t="str">
        <f>"－"</f>
        <v>－</v>
      </c>
      <c r="T243" s="26" t="str">
        <f>"－"</f>
        <v>－</v>
      </c>
      <c r="U243" s="5" t="s">
        <v>399</v>
      </c>
      <c r="V243" s="28" t="str">
        <f>"－"</f>
        <v>－</v>
      </c>
      <c r="W243" s="5" t="s">
        <v>399</v>
      </c>
      <c r="X243" s="28" t="str">
        <f>"－"</f>
        <v>－</v>
      </c>
      <c r="Y243" s="28"/>
      <c r="Z243" s="26" t="str">
        <f>"－"</f>
        <v>－</v>
      </c>
      <c r="AA243" s="26" t="str">
        <f>"－"</f>
        <v>－</v>
      </c>
      <c r="AB243" s="4" t="s">
        <v>399</v>
      </c>
      <c r="AC243" s="27" t="str">
        <f>"－"</f>
        <v>－</v>
      </c>
      <c r="AD243" s="5" t="s">
        <v>399</v>
      </c>
      <c r="AE243" s="28" t="str">
        <f>"－"</f>
        <v>－</v>
      </c>
    </row>
    <row r="244">
      <c r="A244" s="20" t="s">
        <v>691</v>
      </c>
      <c r="B244" s="21" t="s">
        <v>692</v>
      </c>
      <c r="C244" s="22"/>
      <c r="D244" s="23"/>
      <c r="E244" s="24" t="s">
        <v>76</v>
      </c>
      <c r="F244" s="25" t="n">
        <f>244</f>
        <v>244.0</v>
      </c>
      <c r="G244" s="26" t="str">
        <f>"－"</f>
        <v>－</v>
      </c>
      <c r="H244" s="26"/>
      <c r="I244" s="26" t="str">
        <f>"－"</f>
        <v>－</v>
      </c>
      <c r="J244" s="26" t="str">
        <f>"－"</f>
        <v>－</v>
      </c>
      <c r="K244" s="26" t="str">
        <f>"－"</f>
        <v>－</v>
      </c>
      <c r="L244" s="4" t="s">
        <v>389</v>
      </c>
      <c r="M244" s="27" t="str">
        <f>"－"</f>
        <v>－</v>
      </c>
      <c r="N244" s="5" t="s">
        <v>389</v>
      </c>
      <c r="O244" s="28" t="str">
        <f>"－"</f>
        <v>－</v>
      </c>
      <c r="P244" s="3" t="s">
        <v>160</v>
      </c>
      <c r="Q244" s="26"/>
      <c r="R244" s="3" t="s">
        <v>160</v>
      </c>
      <c r="S244" s="26" t="str">
        <f>"－"</f>
        <v>－</v>
      </c>
      <c r="T244" s="26" t="str">
        <f>"－"</f>
        <v>－</v>
      </c>
      <c r="U244" s="5" t="s">
        <v>389</v>
      </c>
      <c r="V244" s="28" t="str">
        <f>"－"</f>
        <v>－</v>
      </c>
      <c r="W244" s="5" t="s">
        <v>389</v>
      </c>
      <c r="X244" s="28" t="str">
        <f>"－"</f>
        <v>－</v>
      </c>
      <c r="Y244" s="28"/>
      <c r="Z244" s="26" t="str">
        <f>"－"</f>
        <v>－</v>
      </c>
      <c r="AA244" s="26" t="str">
        <f>"－"</f>
        <v>－</v>
      </c>
      <c r="AB244" s="4" t="s">
        <v>389</v>
      </c>
      <c r="AC244" s="27" t="str">
        <f>"－"</f>
        <v>－</v>
      </c>
      <c r="AD244" s="5" t="s">
        <v>389</v>
      </c>
      <c r="AE244" s="28" t="str">
        <f>"－"</f>
        <v>－</v>
      </c>
    </row>
    <row r="245">
      <c r="A245" s="20" t="s">
        <v>691</v>
      </c>
      <c r="B245" s="21" t="s">
        <v>692</v>
      </c>
      <c r="C245" s="22"/>
      <c r="D245" s="23"/>
      <c r="E245" s="24" t="s">
        <v>81</v>
      </c>
      <c r="F245" s="25" t="n">
        <f>241</f>
        <v>241.0</v>
      </c>
      <c r="G245" s="26" t="str">
        <f>"－"</f>
        <v>－</v>
      </c>
      <c r="H245" s="26"/>
      <c r="I245" s="26" t="str">
        <f>"－"</f>
        <v>－</v>
      </c>
      <c r="J245" s="26" t="str">
        <f>"－"</f>
        <v>－</v>
      </c>
      <c r="K245" s="26" t="str">
        <f>"－"</f>
        <v>－</v>
      </c>
      <c r="L245" s="4" t="s">
        <v>213</v>
      </c>
      <c r="M245" s="27" t="str">
        <f>"－"</f>
        <v>－</v>
      </c>
      <c r="N245" s="5" t="s">
        <v>213</v>
      </c>
      <c r="O245" s="28" t="str">
        <f>"－"</f>
        <v>－</v>
      </c>
      <c r="P245" s="3" t="s">
        <v>160</v>
      </c>
      <c r="Q245" s="26"/>
      <c r="R245" s="3" t="s">
        <v>160</v>
      </c>
      <c r="S245" s="26" t="str">
        <f>"－"</f>
        <v>－</v>
      </c>
      <c r="T245" s="26" t="str">
        <f>"－"</f>
        <v>－</v>
      </c>
      <c r="U245" s="5" t="s">
        <v>213</v>
      </c>
      <c r="V245" s="28" t="str">
        <f>"－"</f>
        <v>－</v>
      </c>
      <c r="W245" s="5" t="s">
        <v>213</v>
      </c>
      <c r="X245" s="28" t="str">
        <f>"－"</f>
        <v>－</v>
      </c>
      <c r="Y245" s="28"/>
      <c r="Z245" s="26" t="str">
        <f>"－"</f>
        <v>－</v>
      </c>
      <c r="AA245" s="26" t="str">
        <f>"－"</f>
        <v>－</v>
      </c>
      <c r="AB245" s="4" t="s">
        <v>213</v>
      </c>
      <c r="AC245" s="27" t="str">
        <f>"－"</f>
        <v>－</v>
      </c>
      <c r="AD245" s="5" t="s">
        <v>213</v>
      </c>
      <c r="AE245" s="28" t="str">
        <f>"－"</f>
        <v>－</v>
      </c>
    </row>
    <row r="246">
      <c r="A246" s="20" t="s">
        <v>691</v>
      </c>
      <c r="B246" s="21" t="s">
        <v>692</v>
      </c>
      <c r="C246" s="22"/>
      <c r="D246" s="23"/>
      <c r="E246" s="24" t="s">
        <v>87</v>
      </c>
      <c r="F246" s="25" t="n">
        <f>245</f>
        <v>245.0</v>
      </c>
      <c r="G246" s="26" t="str">
        <f>"－"</f>
        <v>－</v>
      </c>
      <c r="H246" s="26"/>
      <c r="I246" s="26" t="str">
        <f>"－"</f>
        <v>－</v>
      </c>
      <c r="J246" s="26" t="str">
        <f>"－"</f>
        <v>－</v>
      </c>
      <c r="K246" s="26" t="str">
        <f>"－"</f>
        <v>－</v>
      </c>
      <c r="L246" s="4" t="s">
        <v>213</v>
      </c>
      <c r="M246" s="27" t="str">
        <f>"－"</f>
        <v>－</v>
      </c>
      <c r="N246" s="5" t="s">
        <v>213</v>
      </c>
      <c r="O246" s="28" t="str">
        <f>"－"</f>
        <v>－</v>
      </c>
      <c r="P246" s="3" t="s">
        <v>160</v>
      </c>
      <c r="Q246" s="26"/>
      <c r="R246" s="3" t="s">
        <v>160</v>
      </c>
      <c r="S246" s="26" t="str">
        <f>"－"</f>
        <v>－</v>
      </c>
      <c r="T246" s="26" t="str">
        <f>"－"</f>
        <v>－</v>
      </c>
      <c r="U246" s="5" t="s">
        <v>213</v>
      </c>
      <c r="V246" s="28" t="str">
        <f>"－"</f>
        <v>－</v>
      </c>
      <c r="W246" s="5" t="s">
        <v>213</v>
      </c>
      <c r="X246" s="28" t="str">
        <f>"－"</f>
        <v>－</v>
      </c>
      <c r="Y246" s="28"/>
      <c r="Z246" s="26" t="str">
        <f>"－"</f>
        <v>－</v>
      </c>
      <c r="AA246" s="26" t="str">
        <f>"－"</f>
        <v>－</v>
      </c>
      <c r="AB246" s="4" t="s">
        <v>213</v>
      </c>
      <c r="AC246" s="27" t="str">
        <f>"－"</f>
        <v>－</v>
      </c>
      <c r="AD246" s="5" t="s">
        <v>213</v>
      </c>
      <c r="AE246" s="28" t="str">
        <f>"－"</f>
        <v>－</v>
      </c>
    </row>
    <row r="247">
      <c r="A247" s="20" t="s">
        <v>691</v>
      </c>
      <c r="B247" s="21" t="s">
        <v>692</v>
      </c>
      <c r="C247" s="22"/>
      <c r="D247" s="23"/>
      <c r="E247" s="24" t="s">
        <v>92</v>
      </c>
      <c r="F247" s="25" t="n">
        <f>244</f>
        <v>244.0</v>
      </c>
      <c r="G247" s="26" t="str">
        <f>"－"</f>
        <v>－</v>
      </c>
      <c r="H247" s="26"/>
      <c r="I247" s="26" t="str">
        <f>"－"</f>
        <v>－</v>
      </c>
      <c r="J247" s="26" t="str">
        <f>"－"</f>
        <v>－</v>
      </c>
      <c r="K247" s="26" t="str">
        <f>"－"</f>
        <v>－</v>
      </c>
      <c r="L247" s="4" t="s">
        <v>213</v>
      </c>
      <c r="M247" s="27" t="str">
        <f>"－"</f>
        <v>－</v>
      </c>
      <c r="N247" s="5" t="s">
        <v>213</v>
      </c>
      <c r="O247" s="28" t="str">
        <f>"－"</f>
        <v>－</v>
      </c>
      <c r="P247" s="3" t="s">
        <v>160</v>
      </c>
      <c r="Q247" s="26"/>
      <c r="R247" s="3" t="s">
        <v>160</v>
      </c>
      <c r="S247" s="26" t="str">
        <f>"－"</f>
        <v>－</v>
      </c>
      <c r="T247" s="26" t="str">
        <f>"－"</f>
        <v>－</v>
      </c>
      <c r="U247" s="5" t="s">
        <v>213</v>
      </c>
      <c r="V247" s="28" t="str">
        <f>"－"</f>
        <v>－</v>
      </c>
      <c r="W247" s="5" t="s">
        <v>213</v>
      </c>
      <c r="X247" s="28" t="str">
        <f>"－"</f>
        <v>－</v>
      </c>
      <c r="Y247" s="28"/>
      <c r="Z247" s="26" t="str">
        <f>"－"</f>
        <v>－</v>
      </c>
      <c r="AA247" s="26" t="str">
        <f>"－"</f>
        <v>－</v>
      </c>
      <c r="AB247" s="4" t="s">
        <v>213</v>
      </c>
      <c r="AC247" s="27" t="str">
        <f>"－"</f>
        <v>－</v>
      </c>
      <c r="AD247" s="5" t="s">
        <v>213</v>
      </c>
      <c r="AE247" s="28" t="str">
        <f>"－"</f>
        <v>－</v>
      </c>
    </row>
    <row r="248">
      <c r="A248" s="20" t="s">
        <v>691</v>
      </c>
      <c r="B248" s="21" t="s">
        <v>692</v>
      </c>
      <c r="C248" s="22"/>
      <c r="D248" s="23"/>
      <c r="E248" s="24" t="s">
        <v>98</v>
      </c>
      <c r="F248" s="25" t="n">
        <f>245</f>
        <v>245.0</v>
      </c>
      <c r="G248" s="26" t="str">
        <f>"－"</f>
        <v>－</v>
      </c>
      <c r="H248" s="26"/>
      <c r="I248" s="26" t="str">
        <f>"－"</f>
        <v>－</v>
      </c>
      <c r="J248" s="26" t="str">
        <f>"－"</f>
        <v>－</v>
      </c>
      <c r="K248" s="26" t="str">
        <f>"－"</f>
        <v>－</v>
      </c>
      <c r="L248" s="4" t="s">
        <v>213</v>
      </c>
      <c r="M248" s="27" t="str">
        <f>"－"</f>
        <v>－</v>
      </c>
      <c r="N248" s="5" t="s">
        <v>213</v>
      </c>
      <c r="O248" s="28" t="str">
        <f>"－"</f>
        <v>－</v>
      </c>
      <c r="P248" s="3" t="s">
        <v>160</v>
      </c>
      <c r="Q248" s="26"/>
      <c r="R248" s="3" t="s">
        <v>160</v>
      </c>
      <c r="S248" s="26" t="str">
        <f>"－"</f>
        <v>－</v>
      </c>
      <c r="T248" s="26" t="str">
        <f>"－"</f>
        <v>－</v>
      </c>
      <c r="U248" s="5" t="s">
        <v>213</v>
      </c>
      <c r="V248" s="28" t="str">
        <f>"－"</f>
        <v>－</v>
      </c>
      <c r="W248" s="5" t="s">
        <v>213</v>
      </c>
      <c r="X248" s="28" t="str">
        <f>"－"</f>
        <v>－</v>
      </c>
      <c r="Y248" s="28"/>
      <c r="Z248" s="26" t="str">
        <f>"－"</f>
        <v>－</v>
      </c>
      <c r="AA248" s="26" t="str">
        <f>"－"</f>
        <v>－</v>
      </c>
      <c r="AB248" s="4" t="s">
        <v>213</v>
      </c>
      <c r="AC248" s="27" t="str">
        <f>"－"</f>
        <v>－</v>
      </c>
      <c r="AD248" s="5" t="s">
        <v>213</v>
      </c>
      <c r="AE248" s="28" t="str">
        <f>"－"</f>
        <v>－</v>
      </c>
    </row>
    <row r="249">
      <c r="A249" s="20" t="s">
        <v>691</v>
      </c>
      <c r="B249" s="21" t="s">
        <v>692</v>
      </c>
      <c r="C249" s="22"/>
      <c r="D249" s="23"/>
      <c r="E249" s="24" t="s">
        <v>103</v>
      </c>
      <c r="F249" s="25" t="n">
        <f>244</f>
        <v>244.0</v>
      </c>
      <c r="G249" s="26" t="str">
        <f>"－"</f>
        <v>－</v>
      </c>
      <c r="H249" s="26"/>
      <c r="I249" s="26" t="str">
        <f>"－"</f>
        <v>－</v>
      </c>
      <c r="J249" s="26" t="str">
        <f>"－"</f>
        <v>－</v>
      </c>
      <c r="K249" s="26" t="str">
        <f>"－"</f>
        <v>－</v>
      </c>
      <c r="L249" s="4" t="s">
        <v>399</v>
      </c>
      <c r="M249" s="27" t="str">
        <f>"－"</f>
        <v>－</v>
      </c>
      <c r="N249" s="5" t="s">
        <v>399</v>
      </c>
      <c r="O249" s="28" t="str">
        <f>"－"</f>
        <v>－</v>
      </c>
      <c r="P249" s="3" t="s">
        <v>160</v>
      </c>
      <c r="Q249" s="26"/>
      <c r="R249" s="3" t="s">
        <v>160</v>
      </c>
      <c r="S249" s="26" t="str">
        <f>"－"</f>
        <v>－</v>
      </c>
      <c r="T249" s="26" t="str">
        <f>"－"</f>
        <v>－</v>
      </c>
      <c r="U249" s="5" t="s">
        <v>399</v>
      </c>
      <c r="V249" s="28" t="str">
        <f>"－"</f>
        <v>－</v>
      </c>
      <c r="W249" s="5" t="s">
        <v>399</v>
      </c>
      <c r="X249" s="28" t="str">
        <f>"－"</f>
        <v>－</v>
      </c>
      <c r="Y249" s="28"/>
      <c r="Z249" s="26" t="str">
        <f>"－"</f>
        <v>－</v>
      </c>
      <c r="AA249" s="26" t="str">
        <f>"－"</f>
        <v>－</v>
      </c>
      <c r="AB249" s="4" t="s">
        <v>399</v>
      </c>
      <c r="AC249" s="27" t="str">
        <f>"－"</f>
        <v>－</v>
      </c>
      <c r="AD249" s="5" t="s">
        <v>399</v>
      </c>
      <c r="AE249" s="28" t="str">
        <f>"－"</f>
        <v>－</v>
      </c>
    </row>
    <row r="250">
      <c r="A250" s="20" t="s">
        <v>707</v>
      </c>
      <c r="B250" s="21" t="s">
        <v>708</v>
      </c>
      <c r="C250" s="22"/>
      <c r="D250" s="23"/>
      <c r="E250" s="24" t="s">
        <v>709</v>
      </c>
      <c r="F250" s="25" t="n">
        <f>125</f>
        <v>125.0</v>
      </c>
      <c r="G250" s="26" t="n">
        <f>1577989</f>
        <v>1577989.0</v>
      </c>
      <c r="H250" s="26" t="str">
        <f>"－"</f>
        <v>－</v>
      </c>
      <c r="I250" s="26" t="str">
        <f>"－"</f>
        <v>－</v>
      </c>
      <c r="J250" s="26" t="n">
        <f>12624</f>
        <v>12624.0</v>
      </c>
      <c r="K250" s="26" t="str">
        <f>"－"</f>
        <v>－</v>
      </c>
      <c r="L250" s="4" t="s">
        <v>608</v>
      </c>
      <c r="M250" s="27" t="n">
        <f>76631</f>
        <v>76631.0</v>
      </c>
      <c r="N250" s="5" t="s">
        <v>710</v>
      </c>
      <c r="O250" s="28" t="str">
        <f>"－"</f>
        <v>－</v>
      </c>
      <c r="P250" s="3" t="s">
        <v>711</v>
      </c>
      <c r="Q250" s="26" t="str">
        <f>"－"</f>
        <v>－</v>
      </c>
      <c r="R250" s="3" t="s">
        <v>160</v>
      </c>
      <c r="S250" s="26" t="n">
        <f>1283728577520</f>
        <v>1.28372857752E12</v>
      </c>
      <c r="T250" s="26" t="str">
        <f>"－"</f>
        <v>－</v>
      </c>
      <c r="U250" s="5" t="s">
        <v>608</v>
      </c>
      <c r="V250" s="28" t="n">
        <f>7816686280000</f>
        <v>7.81668628E12</v>
      </c>
      <c r="W250" s="5" t="s">
        <v>710</v>
      </c>
      <c r="X250" s="28" t="str">
        <f>"－"</f>
        <v>－</v>
      </c>
      <c r="Y250" s="28"/>
      <c r="Z250" s="26" t="str">
        <f>"－"</f>
        <v>－</v>
      </c>
      <c r="AA250" s="26" t="n">
        <f>46063</f>
        <v>46063.0</v>
      </c>
      <c r="AB250" s="4" t="s">
        <v>702</v>
      </c>
      <c r="AC250" s="27" t="n">
        <f>59485</f>
        <v>59485.0</v>
      </c>
      <c r="AD250" s="5" t="s">
        <v>54</v>
      </c>
      <c r="AE250" s="28" t="n">
        <f>14585</f>
        <v>14585.0</v>
      </c>
    </row>
    <row r="251">
      <c r="A251" s="20" t="s">
        <v>707</v>
      </c>
      <c r="B251" s="21" t="s">
        <v>708</v>
      </c>
      <c r="C251" s="22"/>
      <c r="D251" s="23"/>
      <c r="E251" s="24" t="s">
        <v>712</v>
      </c>
      <c r="F251" s="25" t="n">
        <f>277</f>
        <v>277.0</v>
      </c>
      <c r="G251" s="26" t="n">
        <f>13663279</f>
        <v>1.3663279E7</v>
      </c>
      <c r="H251" s="26" t="str">
        <f>"－"</f>
        <v>－</v>
      </c>
      <c r="I251" s="26" t="str">
        <f>"－"</f>
        <v>－</v>
      </c>
      <c r="J251" s="26" t="n">
        <f>49326</f>
        <v>49326.0</v>
      </c>
      <c r="K251" s="26" t="str">
        <f>"－"</f>
        <v>－</v>
      </c>
      <c r="L251" s="4" t="s">
        <v>182</v>
      </c>
      <c r="M251" s="27" t="n">
        <f>125956</f>
        <v>125956.0</v>
      </c>
      <c r="N251" s="5" t="s">
        <v>317</v>
      </c>
      <c r="O251" s="28" t="n">
        <f>11215</f>
        <v>11215.0</v>
      </c>
      <c r="P251" s="3" t="s">
        <v>713</v>
      </c>
      <c r="Q251" s="26" t="str">
        <f>"－"</f>
        <v>－</v>
      </c>
      <c r="R251" s="3" t="s">
        <v>160</v>
      </c>
      <c r="S251" s="26" t="n">
        <f>5166272345379</f>
        <v>5.166272345379E12</v>
      </c>
      <c r="T251" s="26" t="str">
        <f>"－"</f>
        <v>－</v>
      </c>
      <c r="U251" s="5" t="s">
        <v>182</v>
      </c>
      <c r="V251" s="28" t="n">
        <f>13535327180000</f>
        <v>1.353532718E13</v>
      </c>
      <c r="W251" s="5" t="s">
        <v>317</v>
      </c>
      <c r="X251" s="28" t="n">
        <f>1159068630000</f>
        <v>1.15906863E12</v>
      </c>
      <c r="Y251" s="28"/>
      <c r="Z251" s="26" t="str">
        <f>"－"</f>
        <v>－</v>
      </c>
      <c r="AA251" s="26" t="n">
        <f>133004</f>
        <v>133004.0</v>
      </c>
      <c r="AB251" s="4" t="s">
        <v>182</v>
      </c>
      <c r="AC251" s="27" t="n">
        <f>189338</f>
        <v>189338.0</v>
      </c>
      <c r="AD251" s="5" t="s">
        <v>213</v>
      </c>
      <c r="AE251" s="28" t="n">
        <f>49976</f>
        <v>49976.0</v>
      </c>
    </row>
    <row r="252">
      <c r="A252" s="20" t="s">
        <v>707</v>
      </c>
      <c r="B252" s="21" t="s">
        <v>708</v>
      </c>
      <c r="C252" s="22"/>
      <c r="D252" s="23"/>
      <c r="E252" s="24" t="s">
        <v>714</v>
      </c>
      <c r="F252" s="25" t="n">
        <f>275</f>
        <v>275.0</v>
      </c>
      <c r="G252" s="26" t="n">
        <f>17047654</f>
        <v>1.7047654E7</v>
      </c>
      <c r="H252" s="26" t="str">
        <f>"－"</f>
        <v>－</v>
      </c>
      <c r="I252" s="26" t="str">
        <f>"－"</f>
        <v>－</v>
      </c>
      <c r="J252" s="26" t="n">
        <f>61991</f>
        <v>61991.0</v>
      </c>
      <c r="K252" s="26" t="str">
        <f>"－"</f>
        <v>－</v>
      </c>
      <c r="L252" s="4" t="s">
        <v>309</v>
      </c>
      <c r="M252" s="27" t="n">
        <f>112992</f>
        <v>112992.0</v>
      </c>
      <c r="N252" s="5" t="s">
        <v>715</v>
      </c>
      <c r="O252" s="28" t="n">
        <f>15985</f>
        <v>15985.0</v>
      </c>
      <c r="P252" s="3" t="s">
        <v>716</v>
      </c>
      <c r="Q252" s="26" t="str">
        <f>"－"</f>
        <v>－</v>
      </c>
      <c r="R252" s="3" t="s">
        <v>160</v>
      </c>
      <c r="S252" s="26" t="n">
        <f>6697093277200</f>
        <v>6.6970932772E12</v>
      </c>
      <c r="T252" s="26" t="str">
        <f>"－"</f>
        <v>－</v>
      </c>
      <c r="U252" s="5" t="s">
        <v>309</v>
      </c>
      <c r="V252" s="28" t="n">
        <f>12488112480000</f>
        <v>1.248811248E13</v>
      </c>
      <c r="W252" s="5" t="s">
        <v>715</v>
      </c>
      <c r="X252" s="28" t="n">
        <f>1842264270000</f>
        <v>1.84226427E12</v>
      </c>
      <c r="Y252" s="28"/>
      <c r="Z252" s="26" t="str">
        <f>"－"</f>
        <v>－</v>
      </c>
      <c r="AA252" s="26" t="n">
        <f>120792</f>
        <v>120792.0</v>
      </c>
      <c r="AB252" s="4" t="s">
        <v>157</v>
      </c>
      <c r="AC252" s="27" t="n">
        <f>197649</f>
        <v>197649.0</v>
      </c>
      <c r="AD252" s="5" t="s">
        <v>598</v>
      </c>
      <c r="AE252" s="28" t="n">
        <f>101436</f>
        <v>101436.0</v>
      </c>
    </row>
    <row r="253">
      <c r="A253" s="20" t="s">
        <v>707</v>
      </c>
      <c r="B253" s="21" t="s">
        <v>708</v>
      </c>
      <c r="C253" s="22"/>
      <c r="D253" s="23"/>
      <c r="E253" s="24" t="s">
        <v>156</v>
      </c>
      <c r="F253" s="25" t="n">
        <f>267</f>
        <v>267.0</v>
      </c>
      <c r="G253" s="26" t="n">
        <f>19173354</f>
        <v>1.9173354E7</v>
      </c>
      <c r="H253" s="26" t="str">
        <f>"－"</f>
        <v>－</v>
      </c>
      <c r="I253" s="26" t="str">
        <f>"－"</f>
        <v>－</v>
      </c>
      <c r="J253" s="26" t="n">
        <f>71810</f>
        <v>71810.0</v>
      </c>
      <c r="K253" s="26" t="str">
        <f>"－"</f>
        <v>－</v>
      </c>
      <c r="L253" s="4" t="s">
        <v>71</v>
      </c>
      <c r="M253" s="27" t="n">
        <f>127615</f>
        <v>127615.0</v>
      </c>
      <c r="N253" s="5" t="s">
        <v>58</v>
      </c>
      <c r="O253" s="28" t="n">
        <f>22278</f>
        <v>22278.0</v>
      </c>
      <c r="P253" s="3" t="s">
        <v>717</v>
      </c>
      <c r="Q253" s="26" t="str">
        <f>"－"</f>
        <v>－</v>
      </c>
      <c r="R253" s="3" t="s">
        <v>160</v>
      </c>
      <c r="S253" s="26" t="n">
        <f>7520628974307</f>
        <v>7.520628974307E12</v>
      </c>
      <c r="T253" s="26" t="str">
        <f>"－"</f>
        <v>－</v>
      </c>
      <c r="U253" s="5" t="s">
        <v>71</v>
      </c>
      <c r="V253" s="28" t="n">
        <f>13271500010000</f>
        <v>1.327150001E13</v>
      </c>
      <c r="W253" s="5" t="s">
        <v>58</v>
      </c>
      <c r="X253" s="28" t="n">
        <f>2379001790000</f>
        <v>2.37900179E12</v>
      </c>
      <c r="Y253" s="28"/>
      <c r="Z253" s="26" t="str">
        <f>"－"</f>
        <v>－</v>
      </c>
      <c r="AA253" s="26" t="n">
        <f>138678</f>
        <v>138678.0</v>
      </c>
      <c r="AB253" s="4" t="s">
        <v>549</v>
      </c>
      <c r="AC253" s="27" t="n">
        <f>205572</f>
        <v>205572.0</v>
      </c>
      <c r="AD253" s="5" t="s">
        <v>99</v>
      </c>
      <c r="AE253" s="28" t="n">
        <f>94367</f>
        <v>94367.0</v>
      </c>
    </row>
    <row r="254">
      <c r="A254" s="20" t="s">
        <v>707</v>
      </c>
      <c r="B254" s="21" t="s">
        <v>708</v>
      </c>
      <c r="C254" s="22"/>
      <c r="D254" s="23"/>
      <c r="E254" s="24" t="s">
        <v>163</v>
      </c>
      <c r="F254" s="25" t="n">
        <f>247</f>
        <v>247.0</v>
      </c>
      <c r="G254" s="26" t="n">
        <f>18504832</f>
        <v>1.8504832E7</v>
      </c>
      <c r="H254" s="26" t="str">
        <f>"－"</f>
        <v>－</v>
      </c>
      <c r="I254" s="26" t="str">
        <f>"－"</f>
        <v>－</v>
      </c>
      <c r="J254" s="26" t="n">
        <f>74918</f>
        <v>74918.0</v>
      </c>
      <c r="K254" s="26" t="str">
        <f>"－"</f>
        <v>－</v>
      </c>
      <c r="L254" s="4" t="s">
        <v>217</v>
      </c>
      <c r="M254" s="27" t="n">
        <f>154112</f>
        <v>154112.0</v>
      </c>
      <c r="N254" s="5" t="s">
        <v>165</v>
      </c>
      <c r="O254" s="28" t="n">
        <f>22861</f>
        <v>22861.0</v>
      </c>
      <c r="P254" s="3" t="s">
        <v>718</v>
      </c>
      <c r="Q254" s="26" t="str">
        <f>"－"</f>
        <v>－</v>
      </c>
      <c r="R254" s="3" t="s">
        <v>160</v>
      </c>
      <c r="S254" s="26" t="n">
        <f>7672522669393</f>
        <v>7.672522669393E12</v>
      </c>
      <c r="T254" s="26" t="str">
        <f>"－"</f>
        <v>－</v>
      </c>
      <c r="U254" s="5" t="s">
        <v>217</v>
      </c>
      <c r="V254" s="28" t="n">
        <f>16120769230000</f>
        <v>1.612076923E13</v>
      </c>
      <c r="W254" s="5" t="s">
        <v>165</v>
      </c>
      <c r="X254" s="28" t="n">
        <f>2356841000000</f>
        <v>2.356841E12</v>
      </c>
      <c r="Y254" s="28"/>
      <c r="Z254" s="26" t="str">
        <f>"－"</f>
        <v>－</v>
      </c>
      <c r="AA254" s="26" t="n">
        <f>144081</f>
        <v>144081.0</v>
      </c>
      <c r="AB254" s="4" t="s">
        <v>57</v>
      </c>
      <c r="AC254" s="27" t="n">
        <f>286829</f>
        <v>286829.0</v>
      </c>
      <c r="AD254" s="5" t="s">
        <v>399</v>
      </c>
      <c r="AE254" s="28" t="n">
        <f>141324</f>
        <v>141324.0</v>
      </c>
    </row>
    <row r="255">
      <c r="A255" s="20" t="s">
        <v>707</v>
      </c>
      <c r="B255" s="21" t="s">
        <v>708</v>
      </c>
      <c r="C255" s="22"/>
      <c r="D255" s="23"/>
      <c r="E255" s="24" t="s">
        <v>168</v>
      </c>
      <c r="F255" s="25" t="n">
        <f>245</f>
        <v>245.0</v>
      </c>
      <c r="G255" s="26" t="n">
        <f>15616948</f>
        <v>1.5616948E7</v>
      </c>
      <c r="H255" s="26" t="n">
        <f>35737</f>
        <v>35737.0</v>
      </c>
      <c r="I255" s="26" t="str">
        <f>"－"</f>
        <v>－</v>
      </c>
      <c r="J255" s="26" t="n">
        <f>63743</f>
        <v>63743.0</v>
      </c>
      <c r="K255" s="26" t="str">
        <f>"－"</f>
        <v>－</v>
      </c>
      <c r="L255" s="4" t="s">
        <v>473</v>
      </c>
      <c r="M255" s="27" t="n">
        <f>117801</f>
        <v>117801.0</v>
      </c>
      <c r="N255" s="5" t="s">
        <v>179</v>
      </c>
      <c r="O255" s="28" t="n">
        <f>28185</f>
        <v>28185.0</v>
      </c>
      <c r="P255" s="3" t="s">
        <v>719</v>
      </c>
      <c r="Q255" s="26" t="n">
        <f>3324158000000</f>
        <v>3.324158E12</v>
      </c>
      <c r="R255" s="3" t="s">
        <v>160</v>
      </c>
      <c r="S255" s="26" t="n">
        <f>5960501499429</f>
        <v>5.960501499429E12</v>
      </c>
      <c r="T255" s="26" t="str">
        <f>"－"</f>
        <v>－</v>
      </c>
      <c r="U255" s="5" t="s">
        <v>473</v>
      </c>
      <c r="V255" s="28" t="n">
        <f>11333564960000</f>
        <v>1.133356496E13</v>
      </c>
      <c r="W255" s="5" t="s">
        <v>179</v>
      </c>
      <c r="X255" s="28" t="n">
        <f>2710774230000</f>
        <v>2.71077423E12</v>
      </c>
      <c r="Y255" s="28"/>
      <c r="Z255" s="26" t="str">
        <f>"－"</f>
        <v>－</v>
      </c>
      <c r="AA255" s="26" t="n">
        <f>101481</f>
        <v>101481.0</v>
      </c>
      <c r="AB255" s="4" t="s">
        <v>675</v>
      </c>
      <c r="AC255" s="27" t="n">
        <f>193606</f>
        <v>193606.0</v>
      </c>
      <c r="AD255" s="5" t="s">
        <v>161</v>
      </c>
      <c r="AE255" s="28" t="n">
        <f>100694</f>
        <v>100694.0</v>
      </c>
    </row>
    <row r="256">
      <c r="A256" s="20" t="s">
        <v>707</v>
      </c>
      <c r="B256" s="21" t="s">
        <v>708</v>
      </c>
      <c r="C256" s="22"/>
      <c r="D256" s="23"/>
      <c r="E256" s="24" t="s">
        <v>173</v>
      </c>
      <c r="F256" s="25" t="n">
        <f>247</f>
        <v>247.0</v>
      </c>
      <c r="G256" s="26" t="n">
        <f>12241961</f>
        <v>1.2241961E7</v>
      </c>
      <c r="H256" s="26" t="n">
        <f>44216</f>
        <v>44216.0</v>
      </c>
      <c r="I256" s="26" t="str">
        <f>"－"</f>
        <v>－</v>
      </c>
      <c r="J256" s="26" t="n">
        <f>49563</f>
        <v>49563.0</v>
      </c>
      <c r="K256" s="26" t="str">
        <f>"－"</f>
        <v>－</v>
      </c>
      <c r="L256" s="4" t="s">
        <v>68</v>
      </c>
      <c r="M256" s="27" t="n">
        <f>100025</f>
        <v>100025.0</v>
      </c>
      <c r="N256" s="5" t="s">
        <v>720</v>
      </c>
      <c r="O256" s="28" t="n">
        <f>17880</f>
        <v>17880.0</v>
      </c>
      <c r="P256" s="3" t="s">
        <v>721</v>
      </c>
      <c r="Q256" s="26" t="n">
        <f>4364063000000</f>
        <v>4.364063E12</v>
      </c>
      <c r="R256" s="3" t="s">
        <v>160</v>
      </c>
      <c r="S256" s="26" t="n">
        <f>4903809690567</f>
        <v>4.903809690567E12</v>
      </c>
      <c r="T256" s="26" t="str">
        <f>"－"</f>
        <v>－</v>
      </c>
      <c r="U256" s="5" t="s">
        <v>68</v>
      </c>
      <c r="V256" s="28" t="n">
        <f>9548437480000</f>
        <v>9.54843748E12</v>
      </c>
      <c r="W256" s="5" t="s">
        <v>720</v>
      </c>
      <c r="X256" s="28" t="n">
        <f>1701737540000</f>
        <v>1.70173754E12</v>
      </c>
      <c r="Y256" s="28"/>
      <c r="Z256" s="26" t="str">
        <f>"－"</f>
        <v>－</v>
      </c>
      <c r="AA256" s="26" t="n">
        <f>139703</f>
        <v>139703.0</v>
      </c>
      <c r="AB256" s="4" t="s">
        <v>102</v>
      </c>
      <c r="AC256" s="27" t="n">
        <f>194843</f>
        <v>194843.0</v>
      </c>
      <c r="AD256" s="5" t="s">
        <v>213</v>
      </c>
      <c r="AE256" s="28" t="n">
        <f>103037</f>
        <v>103037.0</v>
      </c>
    </row>
    <row r="257">
      <c r="A257" s="20" t="s">
        <v>707</v>
      </c>
      <c r="B257" s="21" t="s">
        <v>708</v>
      </c>
      <c r="C257" s="22"/>
      <c r="D257" s="23"/>
      <c r="E257" s="24" t="s">
        <v>178</v>
      </c>
      <c r="F257" s="25" t="n">
        <f>249</f>
        <v>249.0</v>
      </c>
      <c r="G257" s="26" t="n">
        <f>12799180</f>
        <v>1.279918E7</v>
      </c>
      <c r="H257" s="26" t="n">
        <f>55528</f>
        <v>55528.0</v>
      </c>
      <c r="I257" s="26" t="str">
        <f>"－"</f>
        <v>－</v>
      </c>
      <c r="J257" s="26" t="n">
        <f>51402</f>
        <v>51402.0</v>
      </c>
      <c r="K257" s="26" t="str">
        <f>"－"</f>
        <v>－</v>
      </c>
      <c r="L257" s="4" t="s">
        <v>722</v>
      </c>
      <c r="M257" s="27" t="n">
        <f>101522</f>
        <v>101522.0</v>
      </c>
      <c r="N257" s="5" t="s">
        <v>179</v>
      </c>
      <c r="O257" s="28" t="n">
        <f>18897</f>
        <v>18897.0</v>
      </c>
      <c r="P257" s="3" t="s">
        <v>723</v>
      </c>
      <c r="Q257" s="26" t="n">
        <f>5841593000000</f>
        <v>5.841593E12</v>
      </c>
      <c r="R257" s="3" t="s">
        <v>160</v>
      </c>
      <c r="S257" s="26" t="n">
        <f>5465243105261</f>
        <v>5.465243105261E12</v>
      </c>
      <c r="T257" s="26" t="str">
        <f>"－"</f>
        <v>－</v>
      </c>
      <c r="U257" s="5" t="s">
        <v>102</v>
      </c>
      <c r="V257" s="28" t="n">
        <f>11190651260000</f>
        <v>1.119065126E13</v>
      </c>
      <c r="W257" s="5" t="s">
        <v>127</v>
      </c>
      <c r="X257" s="28" t="n">
        <f>1983691610000</f>
        <v>1.98369161E12</v>
      </c>
      <c r="Y257" s="28"/>
      <c r="Z257" s="26" t="str">
        <f>"－"</f>
        <v>－</v>
      </c>
      <c r="AA257" s="26" t="n">
        <f>119744</f>
        <v>119744.0</v>
      </c>
      <c r="AB257" s="4" t="s">
        <v>274</v>
      </c>
      <c r="AC257" s="27" t="n">
        <f>190765</f>
        <v>190765.0</v>
      </c>
      <c r="AD257" s="5" t="s">
        <v>209</v>
      </c>
      <c r="AE257" s="28" t="n">
        <f>119744</f>
        <v>119744.0</v>
      </c>
    </row>
    <row r="258">
      <c r="A258" s="20" t="s">
        <v>707</v>
      </c>
      <c r="B258" s="21" t="s">
        <v>708</v>
      </c>
      <c r="C258" s="22"/>
      <c r="D258" s="23"/>
      <c r="E258" s="24" t="s">
        <v>183</v>
      </c>
      <c r="F258" s="25" t="n">
        <f>246</f>
        <v>246.0</v>
      </c>
      <c r="G258" s="26" t="n">
        <f>14877041</f>
        <v>1.4877041E7</v>
      </c>
      <c r="H258" s="26" t="n">
        <f>81728</f>
        <v>81728.0</v>
      </c>
      <c r="I258" s="26" t="str">
        <f>"－"</f>
        <v>－</v>
      </c>
      <c r="J258" s="26" t="n">
        <f>60476</f>
        <v>60476.0</v>
      </c>
      <c r="K258" s="26" t="str">
        <f>"－"</f>
        <v>－</v>
      </c>
      <c r="L258" s="4" t="s">
        <v>191</v>
      </c>
      <c r="M258" s="27" t="n">
        <f>104421</f>
        <v>104421.0</v>
      </c>
      <c r="N258" s="5" t="s">
        <v>179</v>
      </c>
      <c r="O258" s="28" t="n">
        <f>24790</f>
        <v>24790.0</v>
      </c>
      <c r="P258" s="3" t="s">
        <v>724</v>
      </c>
      <c r="Q258" s="26" t="n">
        <f>9164325000000</f>
        <v>9.164325E12</v>
      </c>
      <c r="R258" s="3" t="s">
        <v>160</v>
      </c>
      <c r="S258" s="26" t="n">
        <f>6772518101911</f>
        <v>6.772518101911E12</v>
      </c>
      <c r="T258" s="26" t="str">
        <f>"－"</f>
        <v>－</v>
      </c>
      <c r="U258" s="5" t="s">
        <v>191</v>
      </c>
      <c r="V258" s="28" t="n">
        <f>12044489500000</f>
        <v>1.20444895E13</v>
      </c>
      <c r="W258" s="5" t="s">
        <v>222</v>
      </c>
      <c r="X258" s="28" t="n">
        <f>2808690530000</f>
        <v>2.80869053E12</v>
      </c>
      <c r="Y258" s="28"/>
      <c r="Z258" s="26" t="str">
        <f>"－"</f>
        <v>－</v>
      </c>
      <c r="AA258" s="26" t="n">
        <f>139989</f>
        <v>139989.0</v>
      </c>
      <c r="AB258" s="4" t="s">
        <v>206</v>
      </c>
      <c r="AC258" s="27" t="n">
        <f>207261</f>
        <v>207261.0</v>
      </c>
      <c r="AD258" s="5" t="s">
        <v>234</v>
      </c>
      <c r="AE258" s="28" t="n">
        <f>12528</f>
        <v>12528.0</v>
      </c>
    </row>
    <row r="259">
      <c r="A259" s="20" t="s">
        <v>707</v>
      </c>
      <c r="B259" s="21" t="s">
        <v>708</v>
      </c>
      <c r="C259" s="22"/>
      <c r="D259" s="23"/>
      <c r="E259" s="24" t="s">
        <v>187</v>
      </c>
      <c r="F259" s="25" t="n">
        <f>247</f>
        <v>247.0</v>
      </c>
      <c r="G259" s="26" t="n">
        <f>13031675</f>
        <v>1.3031675E7</v>
      </c>
      <c r="H259" s="26" t="n">
        <f>51871</f>
        <v>51871.0</v>
      </c>
      <c r="I259" s="26" t="str">
        <f>"－"</f>
        <v>－</v>
      </c>
      <c r="J259" s="26" t="n">
        <f>52760</f>
        <v>52760.0</v>
      </c>
      <c r="K259" s="26" t="str">
        <f>"－"</f>
        <v>－</v>
      </c>
      <c r="L259" s="4" t="s">
        <v>310</v>
      </c>
      <c r="M259" s="27" t="n">
        <f>109056</f>
        <v>109056.0</v>
      </c>
      <c r="N259" s="5" t="s">
        <v>196</v>
      </c>
      <c r="O259" s="28" t="n">
        <f>19481</f>
        <v>19481.0</v>
      </c>
      <c r="P259" s="3" t="s">
        <v>725</v>
      </c>
      <c r="Q259" s="26" t="n">
        <f>5696366000000</f>
        <v>5.696366E12</v>
      </c>
      <c r="R259" s="3" t="s">
        <v>160</v>
      </c>
      <c r="S259" s="26" t="n">
        <f>5770858371822</f>
        <v>5.770858371822E12</v>
      </c>
      <c r="T259" s="26" t="str">
        <f>"－"</f>
        <v>－</v>
      </c>
      <c r="U259" s="5" t="s">
        <v>148</v>
      </c>
      <c r="V259" s="28" t="n">
        <f>12151671620000</f>
        <v>1.215167162E13</v>
      </c>
      <c r="W259" s="5" t="s">
        <v>196</v>
      </c>
      <c r="X259" s="28" t="n">
        <f>2116476690000</f>
        <v>2.11647669E12</v>
      </c>
      <c r="Y259" s="28"/>
      <c r="Z259" s="26" t="str">
        <f>"－"</f>
        <v>－</v>
      </c>
      <c r="AA259" s="26" t="n">
        <f>191416</f>
        <v>191416.0</v>
      </c>
      <c r="AB259" s="4" t="s">
        <v>726</v>
      </c>
      <c r="AC259" s="27" t="n">
        <f>266994</f>
        <v>266994.0</v>
      </c>
      <c r="AD259" s="5" t="s">
        <v>474</v>
      </c>
      <c r="AE259" s="28" t="n">
        <f>137660</f>
        <v>137660.0</v>
      </c>
    </row>
    <row r="260">
      <c r="A260" s="20" t="s">
        <v>707</v>
      </c>
      <c r="B260" s="21" t="s">
        <v>708</v>
      </c>
      <c r="C260" s="22"/>
      <c r="D260" s="23"/>
      <c r="E260" s="24" t="s">
        <v>190</v>
      </c>
      <c r="F260" s="25" t="n">
        <f>247</f>
        <v>247.0</v>
      </c>
      <c r="G260" s="26" t="n">
        <f>13479541</f>
        <v>1.3479541E7</v>
      </c>
      <c r="H260" s="26" t="n">
        <f>83588</f>
        <v>83588.0</v>
      </c>
      <c r="I260" s="26" t="str">
        <f>"－"</f>
        <v>－</v>
      </c>
      <c r="J260" s="26" t="n">
        <f>54573</f>
        <v>54573.0</v>
      </c>
      <c r="K260" s="26" t="str">
        <f>"－"</f>
        <v>－</v>
      </c>
      <c r="L260" s="4" t="s">
        <v>727</v>
      </c>
      <c r="M260" s="27" t="n">
        <f>111138</f>
        <v>111138.0</v>
      </c>
      <c r="N260" s="5" t="s">
        <v>165</v>
      </c>
      <c r="O260" s="28" t="n">
        <f>18420</f>
        <v>18420.0</v>
      </c>
      <c r="P260" s="3" t="s">
        <v>728</v>
      </c>
      <c r="Q260" s="26" t="n">
        <f>9772198000000</f>
        <v>9.772198E12</v>
      </c>
      <c r="R260" s="3" t="s">
        <v>160</v>
      </c>
      <c r="S260" s="26" t="n">
        <f>6509661632308</f>
        <v>6.509661632308E12</v>
      </c>
      <c r="T260" s="26" t="str">
        <f>"－"</f>
        <v>－</v>
      </c>
      <c r="U260" s="5" t="s">
        <v>727</v>
      </c>
      <c r="V260" s="28" t="n">
        <f>13256248920000</f>
        <v>1.325624892E13</v>
      </c>
      <c r="W260" s="5" t="s">
        <v>165</v>
      </c>
      <c r="X260" s="28" t="n">
        <f>2204939520000</f>
        <v>2.20493952E12</v>
      </c>
      <c r="Y260" s="28"/>
      <c r="Z260" s="26" t="str">
        <f>"－"</f>
        <v>－</v>
      </c>
      <c r="AA260" s="26" t="n">
        <f>181718</f>
        <v>181718.0</v>
      </c>
      <c r="AB260" s="4" t="s">
        <v>226</v>
      </c>
      <c r="AC260" s="27" t="n">
        <f>236500</f>
        <v>236500.0</v>
      </c>
      <c r="AD260" s="5" t="s">
        <v>571</v>
      </c>
      <c r="AE260" s="28" t="n">
        <f>144027</f>
        <v>144027.0</v>
      </c>
    </row>
    <row r="261">
      <c r="A261" s="20" t="s">
        <v>707</v>
      </c>
      <c r="B261" s="21" t="s">
        <v>708</v>
      </c>
      <c r="C261" s="22"/>
      <c r="D261" s="23"/>
      <c r="E261" s="24" t="s">
        <v>194</v>
      </c>
      <c r="F261" s="25" t="n">
        <f>246</f>
        <v>246.0</v>
      </c>
      <c r="G261" s="26" t="n">
        <f>12367146</f>
        <v>1.2367146E7</v>
      </c>
      <c r="H261" s="26" t="n">
        <f>70394</f>
        <v>70394.0</v>
      </c>
      <c r="I261" s="26" t="str">
        <f>"－"</f>
        <v>－</v>
      </c>
      <c r="J261" s="26" t="n">
        <f>50273</f>
        <v>50273.0</v>
      </c>
      <c r="K261" s="26" t="str">
        <f>"－"</f>
        <v>－</v>
      </c>
      <c r="L261" s="4" t="s">
        <v>157</v>
      </c>
      <c r="M261" s="27" t="n">
        <f>109655</f>
        <v>109655.0</v>
      </c>
      <c r="N261" s="5" t="s">
        <v>695</v>
      </c>
      <c r="O261" s="28" t="n">
        <f>15232</f>
        <v>15232.0</v>
      </c>
      <c r="P261" s="3" t="s">
        <v>729</v>
      </c>
      <c r="Q261" s="26" t="n">
        <f>8546008000000</f>
        <v>8.546008E12</v>
      </c>
      <c r="R261" s="3" t="s">
        <v>160</v>
      </c>
      <c r="S261" s="26" t="n">
        <f>6150216777073</f>
        <v>6.150216777073E12</v>
      </c>
      <c r="T261" s="26" t="str">
        <f>"－"</f>
        <v>－</v>
      </c>
      <c r="U261" s="5" t="s">
        <v>157</v>
      </c>
      <c r="V261" s="28" t="n">
        <f>13299644950000</f>
        <v>1.329964495E13</v>
      </c>
      <c r="W261" s="5" t="s">
        <v>695</v>
      </c>
      <c r="X261" s="28" t="n">
        <f>1885027310000</f>
        <v>1.88502731E12</v>
      </c>
      <c r="Y261" s="28"/>
      <c r="Z261" s="26" t="str">
        <f>"－"</f>
        <v>－</v>
      </c>
      <c r="AA261" s="26" t="n">
        <f>183988</f>
        <v>183988.0</v>
      </c>
      <c r="AB261" s="4" t="s">
        <v>67</v>
      </c>
      <c r="AC261" s="27" t="n">
        <f>293220</f>
        <v>293220.0</v>
      </c>
      <c r="AD261" s="5" t="s">
        <v>162</v>
      </c>
      <c r="AE261" s="28" t="n">
        <f>132137</f>
        <v>132137.0</v>
      </c>
    </row>
    <row r="262">
      <c r="A262" s="20" t="s">
        <v>707</v>
      </c>
      <c r="B262" s="21" t="s">
        <v>708</v>
      </c>
      <c r="C262" s="22"/>
      <c r="D262" s="23"/>
      <c r="E262" s="24" t="s">
        <v>199</v>
      </c>
      <c r="F262" s="25" t="n">
        <f>247</f>
        <v>247.0</v>
      </c>
      <c r="G262" s="26" t="n">
        <f>11351662</f>
        <v>1.1351662E7</v>
      </c>
      <c r="H262" s="26" t="n">
        <f>85840</f>
        <v>85840.0</v>
      </c>
      <c r="I262" s="26" t="str">
        <f>"－"</f>
        <v>－</v>
      </c>
      <c r="J262" s="26" t="n">
        <f>45958</f>
        <v>45958.0</v>
      </c>
      <c r="K262" s="26" t="str">
        <f>"－"</f>
        <v>－</v>
      </c>
      <c r="L262" s="4" t="s">
        <v>157</v>
      </c>
      <c r="M262" s="27" t="n">
        <f>98586</f>
        <v>98586.0</v>
      </c>
      <c r="N262" s="5" t="s">
        <v>50</v>
      </c>
      <c r="O262" s="28" t="n">
        <f>10381</f>
        <v>10381.0</v>
      </c>
      <c r="P262" s="3" t="s">
        <v>730</v>
      </c>
      <c r="Q262" s="26" t="n">
        <f>10913387000000</f>
        <v>1.0913387E13</v>
      </c>
      <c r="R262" s="3" t="s">
        <v>160</v>
      </c>
      <c r="S262" s="26" t="n">
        <f>5857819849636</f>
        <v>5.857819849636E12</v>
      </c>
      <c r="T262" s="26" t="str">
        <f>"－"</f>
        <v>－</v>
      </c>
      <c r="U262" s="5" t="s">
        <v>157</v>
      </c>
      <c r="V262" s="28" t="n">
        <f>12542373380000</f>
        <v>1.254237338E13</v>
      </c>
      <c r="W262" s="5" t="s">
        <v>50</v>
      </c>
      <c r="X262" s="28" t="n">
        <f>1347656870000</f>
        <v>1.34765687E12</v>
      </c>
      <c r="Y262" s="28"/>
      <c r="Z262" s="26" t="str">
        <f>"－"</f>
        <v>－</v>
      </c>
      <c r="AA262" s="26" t="n">
        <f>138021</f>
        <v>138021.0</v>
      </c>
      <c r="AB262" s="4" t="s">
        <v>731</v>
      </c>
      <c r="AC262" s="27" t="n">
        <f>231132</f>
        <v>231132.0</v>
      </c>
      <c r="AD262" s="5" t="s">
        <v>162</v>
      </c>
      <c r="AE262" s="28" t="n">
        <f>132915</f>
        <v>132915.0</v>
      </c>
    </row>
    <row r="263">
      <c r="A263" s="20" t="s">
        <v>707</v>
      </c>
      <c r="B263" s="21" t="s">
        <v>708</v>
      </c>
      <c r="C263" s="22"/>
      <c r="D263" s="23"/>
      <c r="E263" s="24" t="s">
        <v>205</v>
      </c>
      <c r="F263" s="25" t="n">
        <f>247</f>
        <v>247.0</v>
      </c>
      <c r="G263" s="26" t="n">
        <f>10897885</f>
        <v>1.0897885E7</v>
      </c>
      <c r="H263" s="26" t="n">
        <f>131522</f>
        <v>131522.0</v>
      </c>
      <c r="I263" s="26" t="str">
        <f>"－"</f>
        <v>－</v>
      </c>
      <c r="J263" s="26" t="n">
        <f>44121</f>
        <v>44121.0</v>
      </c>
      <c r="K263" s="26" t="str">
        <f>"－"</f>
        <v>－</v>
      </c>
      <c r="L263" s="4" t="s">
        <v>425</v>
      </c>
      <c r="M263" s="27" t="n">
        <f>121109</f>
        <v>121109.0</v>
      </c>
      <c r="N263" s="5" t="s">
        <v>116</v>
      </c>
      <c r="O263" s="28" t="n">
        <f>11766</f>
        <v>11766.0</v>
      </c>
      <c r="P263" s="3" t="s">
        <v>732</v>
      </c>
      <c r="Q263" s="26" t="n">
        <f>17582843000000</f>
        <v>1.7582843E13</v>
      </c>
      <c r="R263" s="3" t="s">
        <v>160</v>
      </c>
      <c r="S263" s="26" t="n">
        <f>5893393797328</f>
        <v>5.893393797328E12</v>
      </c>
      <c r="T263" s="26" t="str">
        <f>"－"</f>
        <v>－</v>
      </c>
      <c r="U263" s="5" t="s">
        <v>425</v>
      </c>
      <c r="V263" s="28" t="n">
        <f>16341449190000</f>
        <v>1.634144919E13</v>
      </c>
      <c r="W263" s="5" t="s">
        <v>116</v>
      </c>
      <c r="X263" s="28" t="n">
        <f>1629697760000</f>
        <v>1.62969776E12</v>
      </c>
      <c r="Y263" s="28"/>
      <c r="Z263" s="26" t="str">
        <f>"－"</f>
        <v>－</v>
      </c>
      <c r="AA263" s="26" t="n">
        <f>124337</f>
        <v>124337.0</v>
      </c>
      <c r="AB263" s="4" t="s">
        <v>339</v>
      </c>
      <c r="AC263" s="27" t="n">
        <f>231803</f>
        <v>231803.0</v>
      </c>
      <c r="AD263" s="5" t="s">
        <v>162</v>
      </c>
      <c r="AE263" s="28" t="n">
        <f>105579</f>
        <v>105579.0</v>
      </c>
    </row>
    <row r="264">
      <c r="A264" s="20" t="s">
        <v>707</v>
      </c>
      <c r="B264" s="21" t="s">
        <v>708</v>
      </c>
      <c r="C264" s="22"/>
      <c r="D264" s="23"/>
      <c r="E264" s="24" t="s">
        <v>210</v>
      </c>
      <c r="F264" s="25" t="n">
        <f>246</f>
        <v>246.0</v>
      </c>
      <c r="G264" s="26" t="n">
        <f>10106779</f>
        <v>1.0106779E7</v>
      </c>
      <c r="H264" s="26" t="n">
        <f>43149</f>
        <v>43149.0</v>
      </c>
      <c r="I264" s="26" t="str">
        <f>"－"</f>
        <v>－</v>
      </c>
      <c r="J264" s="26" t="n">
        <f>41084</f>
        <v>41084.0</v>
      </c>
      <c r="K264" s="26" t="str">
        <f>"－"</f>
        <v>－</v>
      </c>
      <c r="L264" s="4" t="s">
        <v>733</v>
      </c>
      <c r="M264" s="27" t="n">
        <f>117483</f>
        <v>117483.0</v>
      </c>
      <c r="N264" s="5" t="s">
        <v>196</v>
      </c>
      <c r="O264" s="28" t="n">
        <f>3779</f>
        <v>3779.0</v>
      </c>
      <c r="P264" s="3" t="s">
        <v>734</v>
      </c>
      <c r="Q264" s="26" t="n">
        <f>5729334000000</f>
        <v>5.729334E12</v>
      </c>
      <c r="R264" s="3" t="s">
        <v>160</v>
      </c>
      <c r="S264" s="26" t="n">
        <f>5422901054350</f>
        <v>5.42290105435E12</v>
      </c>
      <c r="T264" s="26" t="str">
        <f>"－"</f>
        <v>－</v>
      </c>
      <c r="U264" s="5" t="s">
        <v>733</v>
      </c>
      <c r="V264" s="28" t="n">
        <f>15520021650000</f>
        <v>1.552002165E13</v>
      </c>
      <c r="W264" s="5" t="s">
        <v>196</v>
      </c>
      <c r="X264" s="28" t="n">
        <f>502061120000</f>
        <v>5.0206112E11</v>
      </c>
      <c r="Y264" s="28"/>
      <c r="Z264" s="26" t="str">
        <f>"－"</f>
        <v>－</v>
      </c>
      <c r="AA264" s="26" t="n">
        <f>225466</f>
        <v>225466.0</v>
      </c>
      <c r="AB264" s="4" t="s">
        <v>735</v>
      </c>
      <c r="AC264" s="27" t="n">
        <f>310415</f>
        <v>310415.0</v>
      </c>
      <c r="AD264" s="5" t="s">
        <v>213</v>
      </c>
      <c r="AE264" s="28" t="n">
        <f>124741</f>
        <v>124741.0</v>
      </c>
    </row>
    <row r="265">
      <c r="A265" s="20" t="s">
        <v>707</v>
      </c>
      <c r="B265" s="21" t="s">
        <v>708</v>
      </c>
      <c r="C265" s="22"/>
      <c r="D265" s="23"/>
      <c r="E265" s="24" t="s">
        <v>214</v>
      </c>
      <c r="F265" s="25" t="n">
        <f>246</f>
        <v>246.0</v>
      </c>
      <c r="G265" s="26" t="n">
        <f>9066990</f>
        <v>9066990.0</v>
      </c>
      <c r="H265" s="26" t="n">
        <f>62752</f>
        <v>62752.0</v>
      </c>
      <c r="I265" s="26" t="str">
        <f>"－"</f>
        <v>－</v>
      </c>
      <c r="J265" s="26" t="n">
        <f>36858</f>
        <v>36858.0</v>
      </c>
      <c r="K265" s="26" t="str">
        <f>"－"</f>
        <v>－</v>
      </c>
      <c r="L265" s="4" t="s">
        <v>191</v>
      </c>
      <c r="M265" s="27" t="n">
        <f>91635</f>
        <v>91635.0</v>
      </c>
      <c r="N265" s="5" t="s">
        <v>93</v>
      </c>
      <c r="O265" s="28" t="n">
        <f>7567</f>
        <v>7567.0</v>
      </c>
      <c r="P265" s="3" t="s">
        <v>736</v>
      </c>
      <c r="Q265" s="26" t="n">
        <f>8398329000000</f>
        <v>8.398329E12</v>
      </c>
      <c r="R265" s="3" t="s">
        <v>160</v>
      </c>
      <c r="S265" s="26" t="n">
        <f>4945269736016</f>
        <v>4.945269736016E12</v>
      </c>
      <c r="T265" s="26" t="str">
        <f>"－"</f>
        <v>－</v>
      </c>
      <c r="U265" s="5" t="s">
        <v>191</v>
      </c>
      <c r="V265" s="28" t="n">
        <f>12373838120000</f>
        <v>1.237383812E13</v>
      </c>
      <c r="W265" s="5" t="s">
        <v>93</v>
      </c>
      <c r="X265" s="28" t="n">
        <f>1025353440000</f>
        <v>1.02535344E12</v>
      </c>
      <c r="Y265" s="28"/>
      <c r="Z265" s="26" t="str">
        <f>"－"</f>
        <v>－</v>
      </c>
      <c r="AA265" s="26" t="n">
        <f>51035</f>
        <v>51035.0</v>
      </c>
      <c r="AB265" s="4" t="s">
        <v>399</v>
      </c>
      <c r="AC265" s="27" t="n">
        <f>226513</f>
        <v>226513.0</v>
      </c>
      <c r="AD265" s="5" t="s">
        <v>61</v>
      </c>
      <c r="AE265" s="28" t="n">
        <f>46958</f>
        <v>46958.0</v>
      </c>
    </row>
    <row r="266">
      <c r="A266" s="20" t="s">
        <v>707</v>
      </c>
      <c r="B266" s="21" t="s">
        <v>708</v>
      </c>
      <c r="C266" s="22"/>
      <c r="D266" s="23"/>
      <c r="E266" s="24" t="s">
        <v>219</v>
      </c>
      <c r="F266" s="25" t="n">
        <f>245</f>
        <v>245.0</v>
      </c>
      <c r="G266" s="26" t="n">
        <f>7006694</f>
        <v>7006694.0</v>
      </c>
      <c r="H266" s="26" t="n">
        <f>46215</f>
        <v>46215.0</v>
      </c>
      <c r="I266" s="26" t="n">
        <f>1302</f>
        <v>1302.0</v>
      </c>
      <c r="J266" s="26" t="n">
        <f>28599</f>
        <v>28599.0</v>
      </c>
      <c r="K266" s="26" t="n">
        <f>5</f>
        <v>5.0</v>
      </c>
      <c r="L266" s="4" t="s">
        <v>74</v>
      </c>
      <c r="M266" s="27" t="n">
        <f>60372</f>
        <v>60372.0</v>
      </c>
      <c r="N266" s="5" t="s">
        <v>737</v>
      </c>
      <c r="O266" s="28" t="n">
        <f>7274</f>
        <v>7274.0</v>
      </c>
      <c r="P266" s="3" t="s">
        <v>738</v>
      </c>
      <c r="Q266" s="26" t="n">
        <f>6414824000000</f>
        <v>6.414824E12</v>
      </c>
      <c r="R266" s="3" t="s">
        <v>739</v>
      </c>
      <c r="S266" s="26" t="n">
        <f>3975149401184</f>
        <v>3.975149401184E12</v>
      </c>
      <c r="T266" s="26" t="n">
        <f>727378204</f>
        <v>7.27378204E8</v>
      </c>
      <c r="U266" s="5" t="s">
        <v>74</v>
      </c>
      <c r="V266" s="28" t="n">
        <f>8315429190000</f>
        <v>8.31542919E12</v>
      </c>
      <c r="W266" s="5" t="s">
        <v>82</v>
      </c>
      <c r="X266" s="28" t="n">
        <f>1012269830000</f>
        <v>1.01226983E12</v>
      </c>
      <c r="Y266" s="28"/>
      <c r="Z266" s="26" t="str">
        <f>"－"</f>
        <v>－</v>
      </c>
      <c r="AA266" s="26" t="n">
        <f>45695</f>
        <v>45695.0</v>
      </c>
      <c r="AB266" s="4" t="s">
        <v>429</v>
      </c>
      <c r="AC266" s="27" t="n">
        <f>73254</f>
        <v>73254.0</v>
      </c>
      <c r="AD266" s="5" t="s">
        <v>243</v>
      </c>
      <c r="AE266" s="28" t="n">
        <f>35105</f>
        <v>35105.0</v>
      </c>
    </row>
    <row r="267">
      <c r="A267" s="20" t="s">
        <v>707</v>
      </c>
      <c r="B267" s="21" t="s">
        <v>708</v>
      </c>
      <c r="C267" s="22"/>
      <c r="D267" s="23"/>
      <c r="E267" s="24" t="s">
        <v>223</v>
      </c>
      <c r="F267" s="25" t="n">
        <f>246</f>
        <v>246.0</v>
      </c>
      <c r="G267" s="26" t="n">
        <f>5905592</f>
        <v>5905592.0</v>
      </c>
      <c r="H267" s="26" t="n">
        <f>55850</f>
        <v>55850.0</v>
      </c>
      <c r="I267" s="26" t="n">
        <f>1982</f>
        <v>1982.0</v>
      </c>
      <c r="J267" s="26" t="n">
        <f>24006</f>
        <v>24006.0</v>
      </c>
      <c r="K267" s="26" t="n">
        <f>8</f>
        <v>8.0</v>
      </c>
      <c r="L267" s="4" t="s">
        <v>217</v>
      </c>
      <c r="M267" s="27" t="n">
        <f>69609</f>
        <v>69609.0</v>
      </c>
      <c r="N267" s="5" t="s">
        <v>196</v>
      </c>
      <c r="O267" s="28" t="n">
        <f>4028</f>
        <v>4028.0</v>
      </c>
      <c r="P267" s="3" t="s">
        <v>740</v>
      </c>
      <c r="Q267" s="26" t="n">
        <f>7841704000000</f>
        <v>7.841704E12</v>
      </c>
      <c r="R267" s="3" t="s">
        <v>741</v>
      </c>
      <c r="S267" s="26" t="n">
        <f>3376373429919</f>
        <v>3.376373429919E12</v>
      </c>
      <c r="T267" s="26" t="n">
        <f>1132451260</f>
        <v>1.13245126E9</v>
      </c>
      <c r="U267" s="5" t="s">
        <v>217</v>
      </c>
      <c r="V267" s="28" t="n">
        <f>9829476100000</f>
        <v>9.8294761E12</v>
      </c>
      <c r="W267" s="5" t="s">
        <v>196</v>
      </c>
      <c r="X267" s="28" t="n">
        <f>572000280000</f>
        <v>5.7200028E11</v>
      </c>
      <c r="Y267" s="28"/>
      <c r="Z267" s="26" t="str">
        <f>"－"</f>
        <v>－</v>
      </c>
      <c r="AA267" s="26" t="n">
        <f>43629</f>
        <v>43629.0</v>
      </c>
      <c r="AB267" s="4" t="s">
        <v>67</v>
      </c>
      <c r="AC267" s="27" t="n">
        <f>67055</f>
        <v>67055.0</v>
      </c>
      <c r="AD267" s="5" t="s">
        <v>243</v>
      </c>
      <c r="AE267" s="28" t="n">
        <f>32908</f>
        <v>32908.0</v>
      </c>
    </row>
    <row r="268">
      <c r="A268" s="20" t="s">
        <v>707</v>
      </c>
      <c r="B268" s="21" t="s">
        <v>708</v>
      </c>
      <c r="C268" s="22"/>
      <c r="D268" s="23"/>
      <c r="E268" s="24" t="s">
        <v>227</v>
      </c>
      <c r="F268" s="25" t="n">
        <f>248</f>
        <v>248.0</v>
      </c>
      <c r="G268" s="26" t="n">
        <f>6937846</f>
        <v>6937846.0</v>
      </c>
      <c r="H268" s="26" t="n">
        <f>90829</f>
        <v>90829.0</v>
      </c>
      <c r="I268" s="26" t="n">
        <f>972</f>
        <v>972.0</v>
      </c>
      <c r="J268" s="26" t="n">
        <f>27975</f>
        <v>27975.0</v>
      </c>
      <c r="K268" s="26" t="n">
        <f>4</f>
        <v>4.0</v>
      </c>
      <c r="L268" s="4" t="s">
        <v>193</v>
      </c>
      <c r="M268" s="27" t="n">
        <f>83718</f>
        <v>83718.0</v>
      </c>
      <c r="N268" s="5" t="s">
        <v>300</v>
      </c>
      <c r="O268" s="28" t="n">
        <f>7241</f>
        <v>7241.0</v>
      </c>
      <c r="P268" s="3" t="s">
        <v>742</v>
      </c>
      <c r="Q268" s="26" t="n">
        <f>12766873000000</f>
        <v>1.2766873E13</v>
      </c>
      <c r="R268" s="3" t="s">
        <v>743</v>
      </c>
      <c r="S268" s="26" t="n">
        <f>3906970611371</f>
        <v>3.906970611371E12</v>
      </c>
      <c r="T268" s="26" t="n">
        <f>543836290</f>
        <v>5.4383629E8</v>
      </c>
      <c r="U268" s="5" t="s">
        <v>193</v>
      </c>
      <c r="V268" s="28" t="n">
        <f>11954489960000</f>
        <v>1.195448996E13</v>
      </c>
      <c r="W268" s="5" t="s">
        <v>300</v>
      </c>
      <c r="X268" s="28" t="n">
        <f>1001621540000</f>
        <v>1.00162154E12</v>
      </c>
      <c r="Y268" s="28"/>
      <c r="Z268" s="26" t="str">
        <f>"－"</f>
        <v>－</v>
      </c>
      <c r="AA268" s="26" t="n">
        <f>95230</f>
        <v>95230.0</v>
      </c>
      <c r="AB268" s="4" t="s">
        <v>157</v>
      </c>
      <c r="AC268" s="27" t="n">
        <f>100038</f>
        <v>100038.0</v>
      </c>
      <c r="AD268" s="5" t="s">
        <v>213</v>
      </c>
      <c r="AE268" s="28" t="n">
        <f>42869</f>
        <v>42869.0</v>
      </c>
    </row>
    <row r="269">
      <c r="A269" s="20" t="s">
        <v>707</v>
      </c>
      <c r="B269" s="21" t="s">
        <v>708</v>
      </c>
      <c r="C269" s="22"/>
      <c r="D269" s="23"/>
      <c r="E269" s="24" t="s">
        <v>230</v>
      </c>
      <c r="F269" s="25" t="n">
        <f>245</f>
        <v>245.0</v>
      </c>
      <c r="G269" s="26" t="n">
        <f>8290295</f>
        <v>8290295.0</v>
      </c>
      <c r="H269" s="26" t="n">
        <f>78949</f>
        <v>78949.0</v>
      </c>
      <c r="I269" s="26" t="n">
        <f>4428</f>
        <v>4428.0</v>
      </c>
      <c r="J269" s="26" t="n">
        <f>33838</f>
        <v>33838.0</v>
      </c>
      <c r="K269" s="26" t="n">
        <f>18</f>
        <v>18.0</v>
      </c>
      <c r="L269" s="4" t="s">
        <v>234</v>
      </c>
      <c r="M269" s="27" t="n">
        <f>125939</f>
        <v>125939.0</v>
      </c>
      <c r="N269" s="5" t="s">
        <v>196</v>
      </c>
      <c r="O269" s="28" t="n">
        <f>8607</f>
        <v>8607.0</v>
      </c>
      <c r="P269" s="3" t="s">
        <v>744</v>
      </c>
      <c r="Q269" s="26" t="n">
        <f>10848197000000</f>
        <v>1.0848197E13</v>
      </c>
      <c r="R269" s="3" t="s">
        <v>745</v>
      </c>
      <c r="S269" s="26" t="n">
        <f>4651724861714</f>
        <v>4.651724861714E12</v>
      </c>
      <c r="T269" s="26" t="n">
        <f>2501847388</f>
        <v>2.501847388E9</v>
      </c>
      <c r="U269" s="5" t="s">
        <v>234</v>
      </c>
      <c r="V269" s="28" t="n">
        <f>17070865920000</f>
        <v>1.707086592E13</v>
      </c>
      <c r="W269" s="5" t="s">
        <v>196</v>
      </c>
      <c r="X269" s="28" t="n">
        <f>1190842600000</f>
        <v>1.1908426E12</v>
      </c>
      <c r="Y269" s="28"/>
      <c r="Z269" s="26" t="str">
        <f>"－"</f>
        <v>－</v>
      </c>
      <c r="AA269" s="26" t="n">
        <f>89249</f>
        <v>89249.0</v>
      </c>
      <c r="AB269" s="4" t="s">
        <v>644</v>
      </c>
      <c r="AC269" s="27" t="n">
        <f>130395</f>
        <v>130395.0</v>
      </c>
      <c r="AD269" s="5" t="s">
        <v>541</v>
      </c>
      <c r="AE269" s="28" t="n">
        <f>63312</f>
        <v>63312.0</v>
      </c>
    </row>
    <row r="270">
      <c r="A270" s="20" t="s">
        <v>707</v>
      </c>
      <c r="B270" s="21" t="s">
        <v>708</v>
      </c>
      <c r="C270" s="22"/>
      <c r="D270" s="23"/>
      <c r="E270" s="24" t="s">
        <v>235</v>
      </c>
      <c r="F270" s="25" t="n">
        <f>246</f>
        <v>246.0</v>
      </c>
      <c r="G270" s="26" t="n">
        <f>10929373</f>
        <v>1.0929373E7</v>
      </c>
      <c r="H270" s="26" t="n">
        <f>105823</f>
        <v>105823.0</v>
      </c>
      <c r="I270" s="26" t="n">
        <f>5633</f>
        <v>5633.0</v>
      </c>
      <c r="J270" s="26" t="n">
        <f>44428</f>
        <v>44428.0</v>
      </c>
      <c r="K270" s="26" t="n">
        <f>23</f>
        <v>23.0</v>
      </c>
      <c r="L270" s="4" t="s">
        <v>164</v>
      </c>
      <c r="M270" s="27" t="n">
        <f>155866</f>
        <v>155866.0</v>
      </c>
      <c r="N270" s="5" t="s">
        <v>619</v>
      </c>
      <c r="O270" s="28" t="n">
        <f>14680</f>
        <v>14680.0</v>
      </c>
      <c r="P270" s="3" t="s">
        <v>746</v>
      </c>
      <c r="Q270" s="26" t="n">
        <f>14620687000000</f>
        <v>1.4620687E13</v>
      </c>
      <c r="R270" s="3" t="s">
        <v>747</v>
      </c>
      <c r="S270" s="26" t="n">
        <f>6131355099959</f>
        <v>6.131355099959E12</v>
      </c>
      <c r="T270" s="26" t="n">
        <f>3116782683</f>
        <v>3.116782683E9</v>
      </c>
      <c r="U270" s="5" t="s">
        <v>164</v>
      </c>
      <c r="V270" s="28" t="n">
        <f>21101391490000</f>
        <v>2.110139149E13</v>
      </c>
      <c r="W270" s="5" t="s">
        <v>619</v>
      </c>
      <c r="X270" s="28" t="n">
        <f>2045759410000</f>
        <v>2.04575941E12</v>
      </c>
      <c r="Y270" s="28"/>
      <c r="Z270" s="26" t="str">
        <f>"－"</f>
        <v>－</v>
      </c>
      <c r="AA270" s="26" t="n">
        <f>162299</f>
        <v>162299.0</v>
      </c>
      <c r="AB270" s="4" t="s">
        <v>310</v>
      </c>
      <c r="AC270" s="27" t="n">
        <f>175222</f>
        <v>175222.0</v>
      </c>
      <c r="AD270" s="5" t="s">
        <v>387</v>
      </c>
      <c r="AE270" s="28" t="n">
        <f>71703</f>
        <v>71703.0</v>
      </c>
    </row>
    <row r="271">
      <c r="A271" s="20" t="s">
        <v>707</v>
      </c>
      <c r="B271" s="21" t="s">
        <v>708</v>
      </c>
      <c r="C271" s="22"/>
      <c r="D271" s="23"/>
      <c r="E271" s="24" t="s">
        <v>240</v>
      </c>
      <c r="F271" s="25" t="n">
        <f>246</f>
        <v>246.0</v>
      </c>
      <c r="G271" s="26" t="n">
        <f>11801420</f>
        <v>1.180142E7</v>
      </c>
      <c r="H271" s="26" t="n">
        <f>94032</f>
        <v>94032.0</v>
      </c>
      <c r="I271" s="26" t="n">
        <f>18811</f>
        <v>18811.0</v>
      </c>
      <c r="J271" s="26" t="n">
        <f>47973</f>
        <v>47973.0</v>
      </c>
      <c r="K271" s="26" t="n">
        <f>76</f>
        <v>76.0</v>
      </c>
      <c r="L271" s="4" t="s">
        <v>286</v>
      </c>
      <c r="M271" s="27" t="n">
        <f>174265</f>
        <v>174265.0</v>
      </c>
      <c r="N271" s="5" t="s">
        <v>165</v>
      </c>
      <c r="O271" s="28" t="n">
        <f>17160</f>
        <v>17160.0</v>
      </c>
      <c r="P271" s="3" t="s">
        <v>748</v>
      </c>
      <c r="Q271" s="26" t="n">
        <f>12569374500000</f>
        <v>1.25693745E13</v>
      </c>
      <c r="R271" s="3" t="s">
        <v>749</v>
      </c>
      <c r="S271" s="26" t="n">
        <f>6413634490976</f>
        <v>6.413634490976E12</v>
      </c>
      <c r="T271" s="26" t="n">
        <f>10222758374</f>
        <v>1.0222758374E10</v>
      </c>
      <c r="U271" s="5" t="s">
        <v>286</v>
      </c>
      <c r="V271" s="28" t="n">
        <f>23175910390000</f>
        <v>2.317591039E13</v>
      </c>
      <c r="W271" s="5" t="s">
        <v>165</v>
      </c>
      <c r="X271" s="28" t="n">
        <f>2301555000000</f>
        <v>2.301555E12</v>
      </c>
      <c r="Y271" s="28"/>
      <c r="Z271" s="26" t="str">
        <f>"－"</f>
        <v>－</v>
      </c>
      <c r="AA271" s="26" t="n">
        <f>136278</f>
        <v>136278.0</v>
      </c>
      <c r="AB271" s="4" t="s">
        <v>531</v>
      </c>
      <c r="AC271" s="27" t="n">
        <f>170253</f>
        <v>170253.0</v>
      </c>
      <c r="AD271" s="5" t="s">
        <v>387</v>
      </c>
      <c r="AE271" s="28" t="n">
        <f>114591</f>
        <v>114591.0</v>
      </c>
    </row>
    <row r="272">
      <c r="A272" s="20" t="s">
        <v>707</v>
      </c>
      <c r="B272" s="21" t="s">
        <v>708</v>
      </c>
      <c r="C272" s="22"/>
      <c r="D272" s="23"/>
      <c r="E272" s="24" t="s">
        <v>244</v>
      </c>
      <c r="F272" s="25" t="n">
        <f>245</f>
        <v>245.0</v>
      </c>
      <c r="G272" s="26" t="n">
        <f>14089565</f>
        <v>1.4089565E7</v>
      </c>
      <c r="H272" s="26" t="n">
        <f>183217</f>
        <v>183217.0</v>
      </c>
      <c r="I272" s="26" t="n">
        <f>72711</f>
        <v>72711.0</v>
      </c>
      <c r="J272" s="26" t="n">
        <f>57508</f>
        <v>57508.0</v>
      </c>
      <c r="K272" s="26" t="n">
        <f>297</f>
        <v>297.0</v>
      </c>
      <c r="L272" s="4" t="s">
        <v>99</v>
      </c>
      <c r="M272" s="27" t="n">
        <f>211110</f>
        <v>211110.0</v>
      </c>
      <c r="N272" s="5" t="s">
        <v>50</v>
      </c>
      <c r="O272" s="28" t="n">
        <f>21667</f>
        <v>21667.0</v>
      </c>
      <c r="P272" s="3" t="s">
        <v>750</v>
      </c>
      <c r="Q272" s="26" t="n">
        <f>24684497500000</f>
        <v>2.46844975E13</v>
      </c>
      <c r="R272" s="3" t="s">
        <v>751</v>
      </c>
      <c r="S272" s="26" t="n">
        <f>7786568051551</f>
        <v>7.786568051551E12</v>
      </c>
      <c r="T272" s="26" t="n">
        <f>40547807837</f>
        <v>4.0547807837E10</v>
      </c>
      <c r="U272" s="5" t="s">
        <v>99</v>
      </c>
      <c r="V272" s="28" t="n">
        <f>27912349360000</f>
        <v>2.791234936E13</v>
      </c>
      <c r="W272" s="5" t="s">
        <v>517</v>
      </c>
      <c r="X272" s="28" t="n">
        <f>2950815540000</f>
        <v>2.95081554E12</v>
      </c>
      <c r="Y272" s="28"/>
      <c r="Z272" s="26" t="n">
        <f>145416</f>
        <v>145416.0</v>
      </c>
      <c r="AA272" s="26" t="n">
        <f>126955</f>
        <v>126955.0</v>
      </c>
      <c r="AB272" s="4" t="s">
        <v>107</v>
      </c>
      <c r="AC272" s="27" t="n">
        <f>173631</f>
        <v>173631.0</v>
      </c>
      <c r="AD272" s="5" t="s">
        <v>243</v>
      </c>
      <c r="AE272" s="28" t="n">
        <f>109601</f>
        <v>109601.0</v>
      </c>
    </row>
    <row r="273">
      <c r="A273" s="20" t="s">
        <v>707</v>
      </c>
      <c r="B273" s="21" t="s">
        <v>708</v>
      </c>
      <c r="C273" s="22"/>
      <c r="D273" s="23"/>
      <c r="E273" s="24" t="s">
        <v>247</v>
      </c>
      <c r="F273" s="25" t="n">
        <f>245</f>
        <v>245.0</v>
      </c>
      <c r="G273" s="26" t="n">
        <f>8680669</f>
        <v>8680669.0</v>
      </c>
      <c r="H273" s="26" t="n">
        <f>107017</f>
        <v>107017.0</v>
      </c>
      <c r="I273" s="26" t="n">
        <f>117249</f>
        <v>117249.0</v>
      </c>
      <c r="J273" s="26" t="n">
        <f>35431</f>
        <v>35431.0</v>
      </c>
      <c r="K273" s="26" t="n">
        <f>479</f>
        <v>479.0</v>
      </c>
      <c r="L273" s="4" t="s">
        <v>387</v>
      </c>
      <c r="M273" s="27" t="n">
        <f>136663</f>
        <v>136663.0</v>
      </c>
      <c r="N273" s="5" t="s">
        <v>289</v>
      </c>
      <c r="O273" s="28" t="n">
        <f>8211</f>
        <v>8211.0</v>
      </c>
      <c r="P273" s="3" t="s">
        <v>752</v>
      </c>
      <c r="Q273" s="26" t="n">
        <f>14687903000000</f>
        <v>1.4687903E13</v>
      </c>
      <c r="R273" s="3" t="s">
        <v>753</v>
      </c>
      <c r="S273" s="26" t="n">
        <f>4862317671551</f>
        <v>4.862317671551E12</v>
      </c>
      <c r="T273" s="26" t="n">
        <f>65634658531</f>
        <v>6.5634658531E10</v>
      </c>
      <c r="U273" s="5" t="s">
        <v>387</v>
      </c>
      <c r="V273" s="28" t="n">
        <f>18798664480000</f>
        <v>1.879866448E13</v>
      </c>
      <c r="W273" s="5" t="s">
        <v>289</v>
      </c>
      <c r="X273" s="28" t="n">
        <f>1147671130000</f>
        <v>1.14767113E12</v>
      </c>
      <c r="Y273" s="28"/>
      <c r="Z273" s="26" t="n">
        <f>950267</f>
        <v>950267.0</v>
      </c>
      <c r="AA273" s="26" t="n">
        <f>40950</f>
        <v>40950.0</v>
      </c>
      <c r="AB273" s="4" t="s">
        <v>399</v>
      </c>
      <c r="AC273" s="27" t="n">
        <f>130851</f>
        <v>130851.0</v>
      </c>
      <c r="AD273" s="5" t="s">
        <v>149</v>
      </c>
      <c r="AE273" s="28" t="n">
        <f>35848</f>
        <v>35848.0</v>
      </c>
    </row>
    <row r="274">
      <c r="A274" s="20" t="s">
        <v>707</v>
      </c>
      <c r="B274" s="21" t="s">
        <v>708</v>
      </c>
      <c r="C274" s="22"/>
      <c r="D274" s="23"/>
      <c r="E274" s="24" t="s">
        <v>251</v>
      </c>
      <c r="F274" s="25" t="n">
        <f>244</f>
        <v>244.0</v>
      </c>
      <c r="G274" s="26" t="n">
        <f>7076089</f>
        <v>7076089.0</v>
      </c>
      <c r="H274" s="26" t="n">
        <f>234643</f>
        <v>234643.0</v>
      </c>
      <c r="I274" s="26" t="n">
        <f>105959</f>
        <v>105959.0</v>
      </c>
      <c r="J274" s="26" t="n">
        <f>29000</f>
        <v>29000.0</v>
      </c>
      <c r="K274" s="26" t="n">
        <f>434</f>
        <v>434.0</v>
      </c>
      <c r="L274" s="4" t="s">
        <v>541</v>
      </c>
      <c r="M274" s="27" t="n">
        <f>97779</f>
        <v>97779.0</v>
      </c>
      <c r="N274" s="5" t="s">
        <v>583</v>
      </c>
      <c r="O274" s="28" t="n">
        <f>10058</f>
        <v>10058.0</v>
      </c>
      <c r="P274" s="3" t="s">
        <v>754</v>
      </c>
      <c r="Q274" s="26" t="n">
        <f>32383005000000</f>
        <v>3.2383005E13</v>
      </c>
      <c r="R274" s="3" t="s">
        <v>755</v>
      </c>
      <c r="S274" s="26" t="n">
        <f>4015155918320</f>
        <v>4.01515591832E12</v>
      </c>
      <c r="T274" s="26" t="n">
        <f>60266905328</f>
        <v>6.0266905328E10</v>
      </c>
      <c r="U274" s="5" t="s">
        <v>541</v>
      </c>
      <c r="V274" s="28" t="n">
        <f>13590227470000</f>
        <v>1.359022747E13</v>
      </c>
      <c r="W274" s="5" t="s">
        <v>583</v>
      </c>
      <c r="X274" s="28" t="n">
        <f>1374098420000</f>
        <v>1.37409842E12</v>
      </c>
      <c r="Y274" s="28"/>
      <c r="Z274" s="26" t="n">
        <f>1121883</f>
        <v>1121883.0</v>
      </c>
      <c r="AA274" s="26" t="n">
        <f>58557</f>
        <v>58557.0</v>
      </c>
      <c r="AB274" s="4" t="s">
        <v>152</v>
      </c>
      <c r="AC274" s="27" t="n">
        <f>79448</f>
        <v>79448.0</v>
      </c>
      <c r="AD274" s="5" t="s">
        <v>213</v>
      </c>
      <c r="AE274" s="28" t="n">
        <f>41970</f>
        <v>41970.0</v>
      </c>
    </row>
    <row r="275">
      <c r="A275" s="20" t="s">
        <v>707</v>
      </c>
      <c r="B275" s="21" t="s">
        <v>708</v>
      </c>
      <c r="C275" s="22"/>
      <c r="D275" s="23"/>
      <c r="E275" s="24" t="s">
        <v>255</v>
      </c>
      <c r="F275" s="25" t="n">
        <f>245</f>
        <v>245.0</v>
      </c>
      <c r="G275" s="26" t="n">
        <f>8001934</f>
        <v>8001934.0</v>
      </c>
      <c r="H275" s="26" t="n">
        <f>94605</f>
        <v>94605.0</v>
      </c>
      <c r="I275" s="26" t="n">
        <f>132701</f>
        <v>132701.0</v>
      </c>
      <c r="J275" s="26" t="n">
        <f>32661</f>
        <v>32661.0</v>
      </c>
      <c r="K275" s="26" t="n">
        <f>542</f>
        <v>542.0</v>
      </c>
      <c r="L275" s="4" t="s">
        <v>96</v>
      </c>
      <c r="M275" s="27" t="n">
        <f>113380</f>
        <v>113380.0</v>
      </c>
      <c r="N275" s="5" t="s">
        <v>93</v>
      </c>
      <c r="O275" s="28" t="n">
        <f>11360</f>
        <v>11360.0</v>
      </c>
      <c r="P275" s="3" t="s">
        <v>756</v>
      </c>
      <c r="Q275" s="26" t="n">
        <f>13328628500000</f>
        <v>1.33286285E13</v>
      </c>
      <c r="R275" s="3" t="s">
        <v>757</v>
      </c>
      <c r="S275" s="26" t="n">
        <f>4602030071306</f>
        <v>4.602030071306E12</v>
      </c>
      <c r="T275" s="26" t="n">
        <f>76305655347</f>
        <v>7.6305655347E10</v>
      </c>
      <c r="U275" s="5" t="s">
        <v>96</v>
      </c>
      <c r="V275" s="28" t="n">
        <f>16021131700000</f>
        <v>1.60211317E13</v>
      </c>
      <c r="W275" s="5" t="s">
        <v>93</v>
      </c>
      <c r="X275" s="28" t="n">
        <f>1588677930000</f>
        <v>1.58867793E12</v>
      </c>
      <c r="Y275" s="28"/>
      <c r="Z275" s="26" t="n">
        <f>1124549</f>
        <v>1124549.0</v>
      </c>
      <c r="AA275" s="26" t="n">
        <f>51173</f>
        <v>51173.0</v>
      </c>
      <c r="AB275" s="4" t="s">
        <v>679</v>
      </c>
      <c r="AC275" s="27" t="n">
        <f>93428</f>
        <v>93428.0</v>
      </c>
      <c r="AD275" s="5" t="s">
        <v>58</v>
      </c>
      <c r="AE275" s="28" t="n">
        <f>47285</f>
        <v>47285.0</v>
      </c>
    </row>
    <row r="276">
      <c r="A276" s="20" t="s">
        <v>707</v>
      </c>
      <c r="B276" s="21" t="s">
        <v>708</v>
      </c>
      <c r="C276" s="22"/>
      <c r="D276" s="23"/>
      <c r="E276" s="24" t="s">
        <v>258</v>
      </c>
      <c r="F276" s="25" t="n">
        <f>246</f>
        <v>246.0</v>
      </c>
      <c r="G276" s="26" t="n">
        <f>7209562</f>
        <v>7209562.0</v>
      </c>
      <c r="H276" s="26" t="n">
        <f>88585</f>
        <v>88585.0</v>
      </c>
      <c r="I276" s="26" t="n">
        <f>286573</f>
        <v>286573.0</v>
      </c>
      <c r="J276" s="26" t="n">
        <f>29307</f>
        <v>29307.0</v>
      </c>
      <c r="K276" s="26" t="n">
        <f>1165</f>
        <v>1165.0</v>
      </c>
      <c r="L276" s="4" t="s">
        <v>217</v>
      </c>
      <c r="M276" s="27" t="n">
        <f>114307</f>
        <v>114307.0</v>
      </c>
      <c r="N276" s="5" t="s">
        <v>50</v>
      </c>
      <c r="O276" s="28" t="n">
        <f>9396</f>
        <v>9396.0</v>
      </c>
      <c r="P276" s="3" t="s">
        <v>758</v>
      </c>
      <c r="Q276" s="26" t="n">
        <f>12560819000000</f>
        <v>1.2560819E13</v>
      </c>
      <c r="R276" s="3" t="s">
        <v>759</v>
      </c>
      <c r="S276" s="26" t="n">
        <f>4156409260610</f>
        <v>4.15640926061E12</v>
      </c>
      <c r="T276" s="26" t="n">
        <f>165329543496</f>
        <v>1.65329543496E11</v>
      </c>
      <c r="U276" s="5" t="s">
        <v>217</v>
      </c>
      <c r="V276" s="28" t="n">
        <f>16332850970000</f>
        <v>1.633285097E13</v>
      </c>
      <c r="W276" s="5" t="s">
        <v>50</v>
      </c>
      <c r="X276" s="28" t="n">
        <f>1337979980000</f>
        <v>1.33797998E12</v>
      </c>
      <c r="Y276" s="28"/>
      <c r="Z276" s="26" t="n">
        <f>1337259</f>
        <v>1337259.0</v>
      </c>
      <c r="AA276" s="26" t="n">
        <f>77026</f>
        <v>77026.0</v>
      </c>
      <c r="AB276" s="4" t="s">
        <v>164</v>
      </c>
      <c r="AC276" s="27" t="n">
        <f>91677</f>
        <v>91677.0</v>
      </c>
      <c r="AD276" s="5" t="s">
        <v>213</v>
      </c>
      <c r="AE276" s="28" t="n">
        <f>50125</f>
        <v>50125.0</v>
      </c>
    </row>
    <row r="277">
      <c r="A277" s="20" t="s">
        <v>707</v>
      </c>
      <c r="B277" s="21" t="s">
        <v>708</v>
      </c>
      <c r="C277" s="22"/>
      <c r="D277" s="23"/>
      <c r="E277" s="24" t="s">
        <v>261</v>
      </c>
      <c r="F277" s="25" t="n">
        <f>245</f>
        <v>245.0</v>
      </c>
      <c r="G277" s="26" t="n">
        <f>9481403</f>
        <v>9481403.0</v>
      </c>
      <c r="H277" s="26" t="n">
        <f>95871</f>
        <v>95871.0</v>
      </c>
      <c r="I277" s="26" t="n">
        <f>570553</f>
        <v>570553.0</v>
      </c>
      <c r="J277" s="26" t="n">
        <f>38700</f>
        <v>38700.0</v>
      </c>
      <c r="K277" s="26" t="n">
        <f>2329</f>
        <v>2329.0</v>
      </c>
      <c r="L277" s="4" t="s">
        <v>238</v>
      </c>
      <c r="M277" s="27" t="n">
        <f>144993</f>
        <v>144993.0</v>
      </c>
      <c r="N277" s="5" t="s">
        <v>760</v>
      </c>
      <c r="O277" s="28" t="n">
        <f>13154</f>
        <v>13154.0</v>
      </c>
      <c r="P277" s="3" t="s">
        <v>761</v>
      </c>
      <c r="Q277" s="26" t="n">
        <f>13778570500000</f>
        <v>1.37785705E13</v>
      </c>
      <c r="R277" s="3" t="s">
        <v>762</v>
      </c>
      <c r="S277" s="26" t="n">
        <f>5573708167469</f>
        <v>5.573708167469E12</v>
      </c>
      <c r="T277" s="26" t="n">
        <f>335755345755</f>
        <v>3.35755345755E11</v>
      </c>
      <c r="U277" s="5" t="s">
        <v>238</v>
      </c>
      <c r="V277" s="28" t="n">
        <f>21021851440000</f>
        <v>2.102185144E13</v>
      </c>
      <c r="W277" s="5" t="s">
        <v>760</v>
      </c>
      <c r="X277" s="28" t="n">
        <f>1891778690000</f>
        <v>1.89177869E12</v>
      </c>
      <c r="Y277" s="28"/>
      <c r="Z277" s="26" t="n">
        <f>1581639</f>
        <v>1581639.0</v>
      </c>
      <c r="AA277" s="26" t="n">
        <f>100779</f>
        <v>100779.0</v>
      </c>
      <c r="AB277" s="4" t="s">
        <v>104</v>
      </c>
      <c r="AC277" s="27" t="n">
        <f>122089</f>
        <v>122089.0</v>
      </c>
      <c r="AD277" s="5" t="s">
        <v>462</v>
      </c>
      <c r="AE277" s="28" t="n">
        <f>69960</f>
        <v>69960.0</v>
      </c>
    </row>
    <row r="278">
      <c r="A278" s="20" t="s">
        <v>707</v>
      </c>
      <c r="B278" s="21" t="s">
        <v>708</v>
      </c>
      <c r="C278" s="22"/>
      <c r="D278" s="23"/>
      <c r="E278" s="24" t="s">
        <v>265</v>
      </c>
      <c r="F278" s="25" t="n">
        <f>245</f>
        <v>245.0</v>
      </c>
      <c r="G278" s="26" t="n">
        <f>8568919</f>
        <v>8568919.0</v>
      </c>
      <c r="H278" s="26" t="n">
        <f>77353</f>
        <v>77353.0</v>
      </c>
      <c r="I278" s="26" t="n">
        <f>655729</f>
        <v>655729.0</v>
      </c>
      <c r="J278" s="26" t="n">
        <f>34975</f>
        <v>34975.0</v>
      </c>
      <c r="K278" s="26" t="n">
        <f>2676</f>
        <v>2676.0</v>
      </c>
      <c r="L278" s="4" t="s">
        <v>162</v>
      </c>
      <c r="M278" s="27" t="n">
        <f>171939</f>
        <v>171939.0</v>
      </c>
      <c r="N278" s="5" t="s">
        <v>175</v>
      </c>
      <c r="O278" s="28" t="n">
        <f>9702</f>
        <v>9702.0</v>
      </c>
      <c r="P278" s="3" t="s">
        <v>763</v>
      </c>
      <c r="Q278" s="26" t="n">
        <f>11137497500000</f>
        <v>1.11374975E13</v>
      </c>
      <c r="R278" s="3" t="s">
        <v>764</v>
      </c>
      <c r="S278" s="26" t="n">
        <f>5035694015347</f>
        <v>5.035694015347E12</v>
      </c>
      <c r="T278" s="26" t="n">
        <f>385483199265</f>
        <v>3.85483199265E11</v>
      </c>
      <c r="U278" s="5" t="s">
        <v>162</v>
      </c>
      <c r="V278" s="28" t="n">
        <f>24811254690000</f>
        <v>2.481125469E13</v>
      </c>
      <c r="W278" s="5" t="s">
        <v>175</v>
      </c>
      <c r="X278" s="28" t="n">
        <f>1405311940000</f>
        <v>1.40531194E12</v>
      </c>
      <c r="Y278" s="28"/>
      <c r="Z278" s="26" t="n">
        <f>2016742</f>
        <v>2016742.0</v>
      </c>
      <c r="AA278" s="26" t="n">
        <f>102722</f>
        <v>102722.0</v>
      </c>
      <c r="AB278" s="4" t="s">
        <v>317</v>
      </c>
      <c r="AC278" s="27" t="n">
        <f>125183</f>
        <v>125183.0</v>
      </c>
      <c r="AD278" s="5" t="s">
        <v>127</v>
      </c>
      <c r="AE278" s="28" t="n">
        <f>77911</f>
        <v>77911.0</v>
      </c>
    </row>
    <row r="279">
      <c r="A279" s="20" t="s">
        <v>707</v>
      </c>
      <c r="B279" s="21" t="s">
        <v>708</v>
      </c>
      <c r="C279" s="22"/>
      <c r="D279" s="23"/>
      <c r="E279" s="24" t="s">
        <v>48</v>
      </c>
      <c r="F279" s="25" t="n">
        <f>246</f>
        <v>246.0</v>
      </c>
      <c r="G279" s="26" t="n">
        <f>9039247</f>
        <v>9039247.0</v>
      </c>
      <c r="H279" s="26" t="n">
        <f>48836</f>
        <v>48836.0</v>
      </c>
      <c r="I279" s="26" t="n">
        <f>554041</f>
        <v>554041.0</v>
      </c>
      <c r="J279" s="26" t="n">
        <f>36745</f>
        <v>36745.0</v>
      </c>
      <c r="K279" s="26" t="n">
        <f>2252</f>
        <v>2252.0</v>
      </c>
      <c r="L279" s="4" t="s">
        <v>387</v>
      </c>
      <c r="M279" s="27" t="n">
        <f>134010</f>
        <v>134010.0</v>
      </c>
      <c r="N279" s="5" t="s">
        <v>165</v>
      </c>
      <c r="O279" s="28" t="n">
        <f>10224</f>
        <v>10224.0</v>
      </c>
      <c r="P279" s="3" t="s">
        <v>765</v>
      </c>
      <c r="Q279" s="26" t="n">
        <f>7136997000000</f>
        <v>7.136997E12</v>
      </c>
      <c r="R279" s="3" t="s">
        <v>766</v>
      </c>
      <c r="S279" s="26" t="n">
        <f>5380001013780</f>
        <v>5.38000101378E12</v>
      </c>
      <c r="T279" s="26" t="n">
        <f>329700065488</f>
        <v>3.29700065488E11</v>
      </c>
      <c r="U279" s="5" t="s">
        <v>387</v>
      </c>
      <c r="V279" s="28" t="n">
        <f>19561431880000</f>
        <v>1.956143188E13</v>
      </c>
      <c r="W279" s="5" t="s">
        <v>165</v>
      </c>
      <c r="X279" s="28" t="n">
        <f>1510604160000</f>
        <v>1.51060416E12</v>
      </c>
      <c r="Y279" s="28"/>
      <c r="Z279" s="26" t="n">
        <f>1911743</f>
        <v>1911743.0</v>
      </c>
      <c r="AA279" s="26" t="n">
        <f>86861</f>
        <v>86861.0</v>
      </c>
      <c r="AB279" s="4" t="s">
        <v>200</v>
      </c>
      <c r="AC279" s="27" t="n">
        <f>116525</f>
        <v>116525.0</v>
      </c>
      <c r="AD279" s="5" t="s">
        <v>306</v>
      </c>
      <c r="AE279" s="28" t="n">
        <f>85469</f>
        <v>85469.0</v>
      </c>
    </row>
    <row r="280">
      <c r="A280" s="20" t="s">
        <v>707</v>
      </c>
      <c r="B280" s="21" t="s">
        <v>708</v>
      </c>
      <c r="C280" s="22"/>
      <c r="D280" s="23"/>
      <c r="E280" s="24" t="s">
        <v>56</v>
      </c>
      <c r="F280" s="25" t="n">
        <f>245</f>
        <v>245.0</v>
      </c>
      <c r="G280" s="26" t="n">
        <f>8491325</f>
        <v>8491325.0</v>
      </c>
      <c r="H280" s="26" t="n">
        <f>37914</f>
        <v>37914.0</v>
      </c>
      <c r="I280" s="26" t="n">
        <f>435743</f>
        <v>435743.0</v>
      </c>
      <c r="J280" s="26" t="n">
        <f>34658</f>
        <v>34658.0</v>
      </c>
      <c r="K280" s="26" t="n">
        <f>1779</f>
        <v>1779.0</v>
      </c>
      <c r="L280" s="4" t="s">
        <v>234</v>
      </c>
      <c r="M280" s="27" t="n">
        <f>152862</f>
        <v>152862.0</v>
      </c>
      <c r="N280" s="5" t="s">
        <v>82</v>
      </c>
      <c r="O280" s="28" t="n">
        <f>9613</f>
        <v>9613.0</v>
      </c>
      <c r="P280" s="3" t="s">
        <v>767</v>
      </c>
      <c r="Q280" s="26" t="n">
        <f>5630696500000</f>
        <v>5.6306965E12</v>
      </c>
      <c r="R280" s="3" t="s">
        <v>768</v>
      </c>
      <c r="S280" s="26" t="n">
        <f>5148956939184</f>
        <v>5.148956939184E12</v>
      </c>
      <c r="T280" s="26" t="n">
        <f>264135097673</f>
        <v>2.64135097673E11</v>
      </c>
      <c r="U280" s="5" t="s">
        <v>234</v>
      </c>
      <c r="V280" s="28" t="n">
        <f>22460275040000</f>
        <v>2.246027504E13</v>
      </c>
      <c r="W280" s="5" t="s">
        <v>82</v>
      </c>
      <c r="X280" s="28" t="n">
        <f>1431793020000</f>
        <v>1.43179302E12</v>
      </c>
      <c r="Y280" s="28"/>
      <c r="Z280" s="26" t="n">
        <f>2007582</f>
        <v>2007582.0</v>
      </c>
      <c r="AA280" s="26" t="n">
        <f>72371</f>
        <v>72371.0</v>
      </c>
      <c r="AB280" s="4" t="s">
        <v>524</v>
      </c>
      <c r="AC280" s="27" t="n">
        <f>118032</f>
        <v>118032.0</v>
      </c>
      <c r="AD280" s="5" t="s">
        <v>115</v>
      </c>
      <c r="AE280" s="28" t="n">
        <f>66735</f>
        <v>66735.0</v>
      </c>
    </row>
    <row r="281">
      <c r="A281" s="20" t="s">
        <v>707</v>
      </c>
      <c r="B281" s="21" t="s">
        <v>708</v>
      </c>
      <c r="C281" s="22"/>
      <c r="D281" s="23"/>
      <c r="E281" s="24" t="s">
        <v>63</v>
      </c>
      <c r="F281" s="25" t="n">
        <f>245</f>
        <v>245.0</v>
      </c>
      <c r="G281" s="26" t="n">
        <f>6999496</f>
        <v>6999496.0</v>
      </c>
      <c r="H281" s="26" t="n">
        <f>34194</f>
        <v>34194.0</v>
      </c>
      <c r="I281" s="26" t="n">
        <f>358936</f>
        <v>358936.0</v>
      </c>
      <c r="J281" s="26" t="n">
        <f>28569</f>
        <v>28569.0</v>
      </c>
      <c r="K281" s="26" t="n">
        <f>1465</f>
        <v>1465.0</v>
      </c>
      <c r="L281" s="4" t="s">
        <v>286</v>
      </c>
      <c r="M281" s="27" t="n">
        <f>121978</f>
        <v>121978.0</v>
      </c>
      <c r="N281" s="5" t="s">
        <v>93</v>
      </c>
      <c r="O281" s="28" t="n">
        <f>7521</f>
        <v>7521.0</v>
      </c>
      <c r="P281" s="3" t="s">
        <v>769</v>
      </c>
      <c r="Q281" s="26" t="n">
        <f>5175863000000</f>
        <v>5.175863E12</v>
      </c>
      <c r="R281" s="3" t="s">
        <v>770</v>
      </c>
      <c r="S281" s="26" t="n">
        <f>4321475405847</f>
        <v>4.321475405847E12</v>
      </c>
      <c r="T281" s="26" t="n">
        <f>221371269276</f>
        <v>2.21371269276E11</v>
      </c>
      <c r="U281" s="5" t="s">
        <v>286</v>
      </c>
      <c r="V281" s="28" t="n">
        <f>18545760230000</f>
        <v>1.854576023E13</v>
      </c>
      <c r="W281" s="5" t="s">
        <v>93</v>
      </c>
      <c r="X281" s="28" t="n">
        <f>1126759370000</f>
        <v>1.12675937E12</v>
      </c>
      <c r="Y281" s="28"/>
      <c r="Z281" s="26" t="n">
        <f>1574181</f>
        <v>1574181.0</v>
      </c>
      <c r="AA281" s="26" t="n">
        <f>80172</f>
        <v>80172.0</v>
      </c>
      <c r="AB281" s="4" t="s">
        <v>663</v>
      </c>
      <c r="AC281" s="27" t="n">
        <f>114011</f>
        <v>114011.0</v>
      </c>
      <c r="AD281" s="5" t="s">
        <v>771</v>
      </c>
      <c r="AE281" s="28" t="n">
        <f>54405</f>
        <v>54405.0</v>
      </c>
    </row>
    <row r="282">
      <c r="A282" s="20" t="s">
        <v>707</v>
      </c>
      <c r="B282" s="21" t="s">
        <v>708</v>
      </c>
      <c r="C282" s="22"/>
      <c r="D282" s="23"/>
      <c r="E282" s="24" t="s">
        <v>70</v>
      </c>
      <c r="F282" s="25" t="n">
        <f>245</f>
        <v>245.0</v>
      </c>
      <c r="G282" s="26" t="n">
        <f>8814600</f>
        <v>8814600.0</v>
      </c>
      <c r="H282" s="26" t="n">
        <f>43043</f>
        <v>43043.0</v>
      </c>
      <c r="I282" s="26" t="n">
        <f>520636</f>
        <v>520636.0</v>
      </c>
      <c r="J282" s="26" t="n">
        <f>35978</f>
        <v>35978.0</v>
      </c>
      <c r="K282" s="26" t="n">
        <f>2125</f>
        <v>2125.0</v>
      </c>
      <c r="L282" s="4" t="s">
        <v>286</v>
      </c>
      <c r="M282" s="27" t="n">
        <f>162107</f>
        <v>162107.0</v>
      </c>
      <c r="N282" s="5" t="s">
        <v>772</v>
      </c>
      <c r="O282" s="28" t="n">
        <f>11930</f>
        <v>11930.0</v>
      </c>
      <c r="P282" s="3" t="s">
        <v>773</v>
      </c>
      <c r="Q282" s="26" t="n">
        <f>6481143500000</f>
        <v>6.4811435E12</v>
      </c>
      <c r="R282" s="3" t="s">
        <v>774</v>
      </c>
      <c r="S282" s="26" t="n">
        <f>5421292249847</f>
        <v>5.421292249847E12</v>
      </c>
      <c r="T282" s="26" t="n">
        <f>320427358663</f>
        <v>3.20427358663E11</v>
      </c>
      <c r="U282" s="5" t="s">
        <v>286</v>
      </c>
      <c r="V282" s="28" t="n">
        <f>24406293622500</f>
        <v>2.44062936225E13</v>
      </c>
      <c r="W282" s="5" t="s">
        <v>772</v>
      </c>
      <c r="X282" s="28" t="n">
        <f>1792288650000</f>
        <v>1.79228865E12</v>
      </c>
      <c r="Y282" s="28"/>
      <c r="Z282" s="26" t="n">
        <f>1994332</f>
        <v>1994332.0</v>
      </c>
      <c r="AA282" s="26" t="n">
        <f>117060</f>
        <v>117060.0</v>
      </c>
      <c r="AB282" s="4" t="s">
        <v>74</v>
      </c>
      <c r="AC282" s="27" t="n">
        <f>170869</f>
        <v>170869.0</v>
      </c>
      <c r="AD282" s="5" t="s">
        <v>403</v>
      </c>
      <c r="AE282" s="28" t="n">
        <f>78987</f>
        <v>78987.0</v>
      </c>
    </row>
    <row r="283">
      <c r="A283" s="20" t="s">
        <v>707</v>
      </c>
      <c r="B283" s="21" t="s">
        <v>708</v>
      </c>
      <c r="C283" s="22"/>
      <c r="D283" s="23"/>
      <c r="E283" s="24" t="s">
        <v>76</v>
      </c>
      <c r="F283" s="25" t="n">
        <f>244</f>
        <v>244.0</v>
      </c>
      <c r="G283" s="26" t="n">
        <f>10269120</f>
        <v>1.026912E7</v>
      </c>
      <c r="H283" s="26" t="n">
        <f>34770</f>
        <v>34770.0</v>
      </c>
      <c r="I283" s="26" t="n">
        <f>781275</f>
        <v>781275.0</v>
      </c>
      <c r="J283" s="26" t="n">
        <f>42087</f>
        <v>42087.0</v>
      </c>
      <c r="K283" s="26" t="n">
        <f>3202</f>
        <v>3202.0</v>
      </c>
      <c r="L283" s="4" t="s">
        <v>49</v>
      </c>
      <c r="M283" s="27" t="n">
        <f>199661</f>
        <v>199661.0</v>
      </c>
      <c r="N283" s="5" t="s">
        <v>775</v>
      </c>
      <c r="O283" s="28" t="n">
        <f>13915</f>
        <v>13915.0</v>
      </c>
      <c r="P283" s="3" t="s">
        <v>776</v>
      </c>
      <c r="Q283" s="26" t="n">
        <f>5255549000000</f>
        <v>5.255549E12</v>
      </c>
      <c r="R283" s="3" t="s">
        <v>777</v>
      </c>
      <c r="S283" s="26" t="n">
        <f>6365544193600</f>
        <v>6.3655441936E12</v>
      </c>
      <c r="T283" s="26" t="n">
        <f>484220668149</f>
        <v>4.84220668149E11</v>
      </c>
      <c r="U283" s="5" t="s">
        <v>49</v>
      </c>
      <c r="V283" s="28" t="n">
        <f>30313507922000</f>
        <v>3.0313507922E13</v>
      </c>
      <c r="W283" s="5" t="s">
        <v>775</v>
      </c>
      <c r="X283" s="28" t="n">
        <f>2098128370000</f>
        <v>2.09812837E12</v>
      </c>
      <c r="Y283" s="28"/>
      <c r="Z283" s="26" t="n">
        <f>2286014</f>
        <v>2286014.0</v>
      </c>
      <c r="AA283" s="26" t="n">
        <f>112288</f>
        <v>112288.0</v>
      </c>
      <c r="AB283" s="4" t="s">
        <v>462</v>
      </c>
      <c r="AC283" s="27" t="n">
        <f>185351</f>
        <v>185351.0</v>
      </c>
      <c r="AD283" s="5" t="s">
        <v>778</v>
      </c>
      <c r="AE283" s="28" t="n">
        <f>104366</f>
        <v>104366.0</v>
      </c>
    </row>
    <row r="284">
      <c r="A284" s="20" t="s">
        <v>707</v>
      </c>
      <c r="B284" s="21" t="s">
        <v>708</v>
      </c>
      <c r="C284" s="22"/>
      <c r="D284" s="23"/>
      <c r="E284" s="24" t="s">
        <v>81</v>
      </c>
      <c r="F284" s="25" t="n">
        <f>241</f>
        <v>241.0</v>
      </c>
      <c r="G284" s="26" t="n">
        <f>9553120</f>
        <v>9553120.0</v>
      </c>
      <c r="H284" s="26" t="n">
        <f>37295</f>
        <v>37295.0</v>
      </c>
      <c r="I284" s="26" t="n">
        <f>604536</f>
        <v>604536.0</v>
      </c>
      <c r="J284" s="26" t="n">
        <f>39640</f>
        <v>39640.0</v>
      </c>
      <c r="K284" s="26" t="n">
        <f>2508</f>
        <v>2508.0</v>
      </c>
      <c r="L284" s="4" t="s">
        <v>127</v>
      </c>
      <c r="M284" s="27" t="n">
        <f>182543</f>
        <v>182543.0</v>
      </c>
      <c r="N284" s="5" t="s">
        <v>417</v>
      </c>
      <c r="O284" s="28" t="n">
        <f>10231</f>
        <v>10231.0</v>
      </c>
      <c r="P284" s="3" t="s">
        <v>779</v>
      </c>
      <c r="Q284" s="26" t="n">
        <f>5724067500000</f>
        <v>5.7240675E12</v>
      </c>
      <c r="R284" s="3" t="s">
        <v>780</v>
      </c>
      <c r="S284" s="26" t="n">
        <f>6085988242537</f>
        <v>6.085988242537E12</v>
      </c>
      <c r="T284" s="26" t="n">
        <f>385458166562</f>
        <v>3.85458166562E11</v>
      </c>
      <c r="U284" s="5" t="s">
        <v>127</v>
      </c>
      <c r="V284" s="28" t="n">
        <f>28008738682500</f>
        <v>2.80087386825E13</v>
      </c>
      <c r="W284" s="5" t="s">
        <v>417</v>
      </c>
      <c r="X284" s="28" t="n">
        <f>1562112520000</f>
        <v>1.56211252E12</v>
      </c>
      <c r="Y284" s="28"/>
      <c r="Z284" s="26" t="n">
        <f>1914790</f>
        <v>1914790.0</v>
      </c>
      <c r="AA284" s="26" t="n">
        <f>68923</f>
        <v>68923.0</v>
      </c>
      <c r="AB284" s="4" t="s">
        <v>149</v>
      </c>
      <c r="AC284" s="27" t="n">
        <f>169827</f>
        <v>169827.0</v>
      </c>
      <c r="AD284" s="5" t="s">
        <v>417</v>
      </c>
      <c r="AE284" s="28" t="n">
        <f>67780</f>
        <v>67780.0</v>
      </c>
    </row>
    <row r="285">
      <c r="A285" s="20" t="s">
        <v>707</v>
      </c>
      <c r="B285" s="21" t="s">
        <v>708</v>
      </c>
      <c r="C285" s="22"/>
      <c r="D285" s="23"/>
      <c r="E285" s="24" t="s">
        <v>87</v>
      </c>
      <c r="F285" s="25" t="n">
        <f>245</f>
        <v>245.0</v>
      </c>
      <c r="G285" s="26" t="n">
        <f>7126972</f>
        <v>7126972.0</v>
      </c>
      <c r="H285" s="26" t="n">
        <f>13870</f>
        <v>13870.0</v>
      </c>
      <c r="I285" s="26" t="n">
        <f>463151</f>
        <v>463151.0</v>
      </c>
      <c r="J285" s="26" t="n">
        <f>29090</f>
        <v>29090.0</v>
      </c>
      <c r="K285" s="26" t="n">
        <f>1890</f>
        <v>1890.0</v>
      </c>
      <c r="L285" s="4" t="s">
        <v>149</v>
      </c>
      <c r="M285" s="27" t="n">
        <f>141895</f>
        <v>141895.0</v>
      </c>
      <c r="N285" s="5" t="s">
        <v>542</v>
      </c>
      <c r="O285" s="28" t="n">
        <f>5389</f>
        <v>5389.0</v>
      </c>
      <c r="P285" s="3" t="s">
        <v>781</v>
      </c>
      <c r="Q285" s="26" t="n">
        <f>2106232500000</f>
        <v>2.1062325E12</v>
      </c>
      <c r="R285" s="3" t="s">
        <v>782</v>
      </c>
      <c r="S285" s="26" t="n">
        <f>4416371942241</f>
        <v>4.416371942241E12</v>
      </c>
      <c r="T285" s="26" t="n">
        <f>286845278037</f>
        <v>2.86845278037E11</v>
      </c>
      <c r="U285" s="5" t="s">
        <v>149</v>
      </c>
      <c r="V285" s="28" t="n">
        <f>21429791760100</f>
        <v>2.14297917601E13</v>
      </c>
      <c r="W285" s="5" t="s">
        <v>542</v>
      </c>
      <c r="X285" s="28" t="n">
        <f>820995740000</f>
        <v>8.2099574E11</v>
      </c>
      <c r="Y285" s="28"/>
      <c r="Z285" s="26" t="n">
        <f>1338374</f>
        <v>1338374.0</v>
      </c>
      <c r="AA285" s="26" t="n">
        <f>76525</f>
        <v>76525.0</v>
      </c>
      <c r="AB285" s="4" t="s">
        <v>557</v>
      </c>
      <c r="AC285" s="27" t="n">
        <f>110350</f>
        <v>110350.0</v>
      </c>
      <c r="AD285" s="5" t="s">
        <v>132</v>
      </c>
      <c r="AE285" s="28" t="n">
        <f>63127</f>
        <v>63127.0</v>
      </c>
    </row>
    <row r="286">
      <c r="A286" s="20" t="s">
        <v>707</v>
      </c>
      <c r="B286" s="21" t="s">
        <v>708</v>
      </c>
      <c r="C286" s="22"/>
      <c r="D286" s="23"/>
      <c r="E286" s="24" t="s">
        <v>92</v>
      </c>
      <c r="F286" s="25" t="n">
        <f>244</f>
        <v>244.0</v>
      </c>
      <c r="G286" s="26" t="n">
        <f>8130044</f>
        <v>8130044.0</v>
      </c>
      <c r="H286" s="26" t="n">
        <f>10695</f>
        <v>10695.0</v>
      </c>
      <c r="I286" s="26" t="n">
        <f>645720</f>
        <v>645720.0</v>
      </c>
      <c r="J286" s="26" t="n">
        <f>33320</f>
        <v>33320.0</v>
      </c>
      <c r="K286" s="26" t="n">
        <f>2646</f>
        <v>2646.0</v>
      </c>
      <c r="L286" s="4" t="s">
        <v>68</v>
      </c>
      <c r="M286" s="27" t="n">
        <f>149548</f>
        <v>149548.0</v>
      </c>
      <c r="N286" s="5" t="s">
        <v>93</v>
      </c>
      <c r="O286" s="28" t="n">
        <f>8054</f>
        <v>8054.0</v>
      </c>
      <c r="P286" s="3" t="s">
        <v>783</v>
      </c>
      <c r="Q286" s="26" t="n">
        <f>1618228000000</f>
        <v>1.618228E12</v>
      </c>
      <c r="R286" s="3" t="s">
        <v>784</v>
      </c>
      <c r="S286" s="26" t="n">
        <f>5044979571822</f>
        <v>5.044979571822E12</v>
      </c>
      <c r="T286" s="26" t="n">
        <f>400986328543</f>
        <v>4.00986328543E11</v>
      </c>
      <c r="U286" s="5" t="s">
        <v>68</v>
      </c>
      <c r="V286" s="28" t="n">
        <f>22694508630400</f>
        <v>2.26945086304E13</v>
      </c>
      <c r="W286" s="5" t="s">
        <v>93</v>
      </c>
      <c r="X286" s="28" t="n">
        <f>1223123930000</f>
        <v>1.22312393E12</v>
      </c>
      <c r="Y286" s="28"/>
      <c r="Z286" s="26" t="n">
        <f>1582582</f>
        <v>1582582.0</v>
      </c>
      <c r="AA286" s="26" t="n">
        <f>89573</f>
        <v>89573.0</v>
      </c>
      <c r="AB286" s="4" t="s">
        <v>541</v>
      </c>
      <c r="AC286" s="27" t="n">
        <f>118404</f>
        <v>118404.0</v>
      </c>
      <c r="AD286" s="5" t="s">
        <v>309</v>
      </c>
      <c r="AE286" s="28" t="n">
        <f>74898</f>
        <v>74898.0</v>
      </c>
    </row>
    <row r="287">
      <c r="A287" s="20" t="s">
        <v>707</v>
      </c>
      <c r="B287" s="21" t="s">
        <v>708</v>
      </c>
      <c r="C287" s="22"/>
      <c r="D287" s="23"/>
      <c r="E287" s="24" t="s">
        <v>98</v>
      </c>
      <c r="F287" s="25" t="n">
        <f>245</f>
        <v>245.0</v>
      </c>
      <c r="G287" s="26" t="n">
        <f>7886806</f>
        <v>7886806.0</v>
      </c>
      <c r="H287" s="26" t="n">
        <f>8027</f>
        <v>8027.0</v>
      </c>
      <c r="I287" s="26" t="n">
        <f>857159</f>
        <v>857159.0</v>
      </c>
      <c r="J287" s="26" t="n">
        <f>32191</f>
        <v>32191.0</v>
      </c>
      <c r="K287" s="26" t="n">
        <f>3499</f>
        <v>3499.0</v>
      </c>
      <c r="L287" s="4" t="s">
        <v>234</v>
      </c>
      <c r="M287" s="27" t="n">
        <f>169140</f>
        <v>169140.0</v>
      </c>
      <c r="N287" s="5" t="s">
        <v>93</v>
      </c>
      <c r="O287" s="28" t="n">
        <f>10952</f>
        <v>10952.0</v>
      </c>
      <c r="P287" s="3" t="s">
        <v>785</v>
      </c>
      <c r="Q287" s="26" t="n">
        <f>1189391250000</f>
        <v>1.18939125E12</v>
      </c>
      <c r="R287" s="3" t="s">
        <v>786</v>
      </c>
      <c r="S287" s="26" t="n">
        <f>4774563246460</f>
        <v>4.77456324646E12</v>
      </c>
      <c r="T287" s="26" t="n">
        <f>518304779766</f>
        <v>5.18304779766E11</v>
      </c>
      <c r="U287" s="5" t="s">
        <v>234</v>
      </c>
      <c r="V287" s="28" t="n">
        <f>25259040211400</f>
        <v>2.52590402114E13</v>
      </c>
      <c r="W287" s="5" t="s">
        <v>93</v>
      </c>
      <c r="X287" s="28" t="n">
        <f>1596809920000</f>
        <v>1.59680992E12</v>
      </c>
      <c r="Y287" s="28"/>
      <c r="Z287" s="26" t="n">
        <f>2528067</f>
        <v>2528067.0</v>
      </c>
      <c r="AA287" s="26" t="n">
        <f>157961</f>
        <v>157961.0</v>
      </c>
      <c r="AB287" s="4" t="s">
        <v>61</v>
      </c>
      <c r="AC287" s="27" t="n">
        <f>190790</f>
        <v>190790.0</v>
      </c>
      <c r="AD287" s="5" t="s">
        <v>474</v>
      </c>
      <c r="AE287" s="28" t="n">
        <f>89370</f>
        <v>89370.0</v>
      </c>
    </row>
    <row r="288">
      <c r="A288" s="20" t="s">
        <v>707</v>
      </c>
      <c r="B288" s="21" t="s">
        <v>708</v>
      </c>
      <c r="C288" s="22"/>
      <c r="D288" s="23"/>
      <c r="E288" s="24" t="s">
        <v>103</v>
      </c>
      <c r="F288" s="25" t="n">
        <f>244</f>
        <v>244.0</v>
      </c>
      <c r="G288" s="26" t="n">
        <f>10183892</f>
        <v>1.0183892E7</v>
      </c>
      <c r="H288" s="26" t="n">
        <f>10158</f>
        <v>10158.0</v>
      </c>
      <c r="I288" s="26" t="n">
        <f>1123326</f>
        <v>1123326.0</v>
      </c>
      <c r="J288" s="26" t="n">
        <f>41737</f>
        <v>41737.0</v>
      </c>
      <c r="K288" s="26" t="n">
        <f>4604</f>
        <v>4604.0</v>
      </c>
      <c r="L288" s="4" t="s">
        <v>231</v>
      </c>
      <c r="M288" s="27" t="n">
        <f>278982</f>
        <v>278982.0</v>
      </c>
      <c r="N288" s="5" t="s">
        <v>50</v>
      </c>
      <c r="O288" s="28" t="n">
        <f>7487</f>
        <v>7487.0</v>
      </c>
      <c r="P288" s="3" t="s">
        <v>787</v>
      </c>
      <c r="Q288" s="26" t="n">
        <f>1485797250000</f>
        <v>1.48579725E12</v>
      </c>
      <c r="R288" s="3" t="s">
        <v>788</v>
      </c>
      <c r="S288" s="26" t="n">
        <f>6114977085841</f>
        <v>6.114977085841E12</v>
      </c>
      <c r="T288" s="26" t="n">
        <f>674645642521</f>
        <v>6.74645642521E11</v>
      </c>
      <c r="U288" s="5" t="s">
        <v>231</v>
      </c>
      <c r="V288" s="28" t="n">
        <f>40569232610700</f>
        <v>4.05692326107E13</v>
      </c>
      <c r="W288" s="5" t="s">
        <v>50</v>
      </c>
      <c r="X288" s="28" t="n">
        <f>1096714070000</f>
        <v>1.09671407E12</v>
      </c>
      <c r="Y288" s="28"/>
      <c r="Z288" s="26" t="n">
        <f>3223664</f>
        <v>3223664.0</v>
      </c>
      <c r="AA288" s="26" t="n">
        <f>189389</f>
        <v>189389.0</v>
      </c>
      <c r="AB288" s="4" t="s">
        <v>74</v>
      </c>
      <c r="AC288" s="27" t="n">
        <f>263213</f>
        <v>263213.0</v>
      </c>
      <c r="AD288" s="5" t="s">
        <v>399</v>
      </c>
      <c r="AE288" s="28" t="n">
        <f>158106</f>
        <v>158106.0</v>
      </c>
    </row>
    <row r="289">
      <c r="A289" s="20" t="s">
        <v>789</v>
      </c>
      <c r="B289" s="21" t="s">
        <v>790</v>
      </c>
      <c r="C289" s="22"/>
      <c r="D289" s="23"/>
      <c r="E289" s="24" t="s">
        <v>247</v>
      </c>
      <c r="F289" s="25" t="n">
        <f>7</f>
        <v>7.0</v>
      </c>
      <c r="G289" s="26" t="n">
        <f>16</f>
        <v>16.0</v>
      </c>
      <c r="H289" s="26"/>
      <c r="I289" s="26" t="str">
        <f>"－"</f>
        <v>－</v>
      </c>
      <c r="J289" s="26" t="n">
        <f>2</f>
        <v>2.0</v>
      </c>
      <c r="K289" s="26" t="str">
        <f>"－"</f>
        <v>－</v>
      </c>
      <c r="L289" s="4" t="s">
        <v>791</v>
      </c>
      <c r="M289" s="27" t="n">
        <f>13</f>
        <v>13.0</v>
      </c>
      <c r="N289" s="5" t="s">
        <v>306</v>
      </c>
      <c r="O289" s="28" t="str">
        <f>"－"</f>
        <v>－</v>
      </c>
      <c r="P289" s="3" t="s">
        <v>792</v>
      </c>
      <c r="Q289" s="26"/>
      <c r="R289" s="3" t="s">
        <v>160</v>
      </c>
      <c r="S289" s="26" t="n">
        <f>31891714</f>
        <v>3.1891714E7</v>
      </c>
      <c r="T289" s="26" t="str">
        <f>"－"</f>
        <v>－</v>
      </c>
      <c r="U289" s="5" t="s">
        <v>791</v>
      </c>
      <c r="V289" s="28" t="n">
        <f>181383000</f>
        <v>1.81383E8</v>
      </c>
      <c r="W289" s="5" t="s">
        <v>306</v>
      </c>
      <c r="X289" s="28" t="str">
        <f>"－"</f>
        <v>－</v>
      </c>
      <c r="Y289" s="28"/>
      <c r="Z289" s="26" t="str">
        <f>"－"</f>
        <v>－</v>
      </c>
      <c r="AA289" s="26" t="n">
        <f>10</f>
        <v>10.0</v>
      </c>
      <c r="AB289" s="4" t="s">
        <v>791</v>
      </c>
      <c r="AC289" s="27" t="n">
        <f>10</f>
        <v>10.0</v>
      </c>
      <c r="AD289" s="5" t="s">
        <v>791</v>
      </c>
      <c r="AE289" s="28" t="n">
        <f>10</f>
        <v>10.0</v>
      </c>
    </row>
    <row r="290">
      <c r="A290" s="20" t="s">
        <v>789</v>
      </c>
      <c r="B290" s="21" t="s">
        <v>790</v>
      </c>
      <c r="C290" s="22"/>
      <c r="D290" s="23"/>
      <c r="E290" s="24" t="s">
        <v>251</v>
      </c>
      <c r="F290" s="25" t="n">
        <f>244</f>
        <v>244.0</v>
      </c>
      <c r="G290" s="26" t="n">
        <f>30</f>
        <v>30.0</v>
      </c>
      <c r="H290" s="26"/>
      <c r="I290" s="26" t="str">
        <f>"－"</f>
        <v>－</v>
      </c>
      <c r="J290" s="26" t="n">
        <f>0</f>
        <v>0.0</v>
      </c>
      <c r="K290" s="26" t="str">
        <f>"－"</f>
        <v>－</v>
      </c>
      <c r="L290" s="4" t="s">
        <v>169</v>
      </c>
      <c r="M290" s="27" t="n">
        <f>20</f>
        <v>20.0</v>
      </c>
      <c r="N290" s="5" t="s">
        <v>213</v>
      </c>
      <c r="O290" s="28" t="str">
        <f>"－"</f>
        <v>－</v>
      </c>
      <c r="P290" s="3" t="s">
        <v>793</v>
      </c>
      <c r="Q290" s="26"/>
      <c r="R290" s="3" t="s">
        <v>160</v>
      </c>
      <c r="S290" s="26" t="n">
        <f>1677664</f>
        <v>1677664.0</v>
      </c>
      <c r="T290" s="26" t="str">
        <f>"－"</f>
        <v>－</v>
      </c>
      <c r="U290" s="5" t="s">
        <v>169</v>
      </c>
      <c r="V290" s="28" t="n">
        <f>272180000</f>
        <v>2.7218E8</v>
      </c>
      <c r="W290" s="5" t="s">
        <v>213</v>
      </c>
      <c r="X290" s="28" t="str">
        <f>"－"</f>
        <v>－</v>
      </c>
      <c r="Y290" s="28"/>
      <c r="Z290" s="26" t="str">
        <f>"－"</f>
        <v>－</v>
      </c>
      <c r="AA290" s="26" t="str">
        <f>"－"</f>
        <v>－</v>
      </c>
      <c r="AB290" s="4" t="s">
        <v>169</v>
      </c>
      <c r="AC290" s="27" t="n">
        <f>20</f>
        <v>20.0</v>
      </c>
      <c r="AD290" s="5" t="s">
        <v>794</v>
      </c>
      <c r="AE290" s="28" t="str">
        <f>"－"</f>
        <v>－</v>
      </c>
    </row>
    <row r="291">
      <c r="A291" s="20" t="s">
        <v>789</v>
      </c>
      <c r="B291" s="21" t="s">
        <v>790</v>
      </c>
      <c r="C291" s="22"/>
      <c r="D291" s="23"/>
      <c r="E291" s="24" t="s">
        <v>255</v>
      </c>
      <c r="F291" s="25" t="n">
        <f>245</f>
        <v>245.0</v>
      </c>
      <c r="G291" s="26" t="str">
        <f>"－"</f>
        <v>－</v>
      </c>
      <c r="H291" s="26"/>
      <c r="I291" s="26" t="str">
        <f>"－"</f>
        <v>－</v>
      </c>
      <c r="J291" s="26" t="str">
        <f>"－"</f>
        <v>－</v>
      </c>
      <c r="K291" s="26" t="str">
        <f>"－"</f>
        <v>－</v>
      </c>
      <c r="L291" s="4" t="s">
        <v>213</v>
      </c>
      <c r="M291" s="27" t="str">
        <f>"－"</f>
        <v>－</v>
      </c>
      <c r="N291" s="5" t="s">
        <v>213</v>
      </c>
      <c r="O291" s="28" t="str">
        <f>"－"</f>
        <v>－</v>
      </c>
      <c r="P291" s="3" t="s">
        <v>160</v>
      </c>
      <c r="Q291" s="26"/>
      <c r="R291" s="3" t="s">
        <v>160</v>
      </c>
      <c r="S291" s="26" t="str">
        <f>"－"</f>
        <v>－</v>
      </c>
      <c r="T291" s="26" t="str">
        <f>"－"</f>
        <v>－</v>
      </c>
      <c r="U291" s="5" t="s">
        <v>213</v>
      </c>
      <c r="V291" s="28" t="str">
        <f>"－"</f>
        <v>－</v>
      </c>
      <c r="W291" s="5" t="s">
        <v>213</v>
      </c>
      <c r="X291" s="28" t="str">
        <f>"－"</f>
        <v>－</v>
      </c>
      <c r="Y291" s="28"/>
      <c r="Z291" s="26" t="str">
        <f>"－"</f>
        <v>－</v>
      </c>
      <c r="AA291" s="26" t="str">
        <f>"－"</f>
        <v>－</v>
      </c>
      <c r="AB291" s="4" t="s">
        <v>213</v>
      </c>
      <c r="AC291" s="27" t="str">
        <f>"－"</f>
        <v>－</v>
      </c>
      <c r="AD291" s="5" t="s">
        <v>213</v>
      </c>
      <c r="AE291" s="28" t="str">
        <f>"－"</f>
        <v>－</v>
      </c>
    </row>
    <row r="292">
      <c r="A292" s="20" t="s">
        <v>789</v>
      </c>
      <c r="B292" s="21" t="s">
        <v>790</v>
      </c>
      <c r="C292" s="22"/>
      <c r="D292" s="23"/>
      <c r="E292" s="24" t="s">
        <v>258</v>
      </c>
      <c r="F292" s="25" t="n">
        <f>246</f>
        <v>246.0</v>
      </c>
      <c r="G292" s="26" t="n">
        <f>25069</f>
        <v>25069.0</v>
      </c>
      <c r="H292" s="26"/>
      <c r="I292" s="26" t="str">
        <f>"－"</f>
        <v>－</v>
      </c>
      <c r="J292" s="26" t="n">
        <f>102</f>
        <v>102.0</v>
      </c>
      <c r="K292" s="26" t="str">
        <f>"－"</f>
        <v>－</v>
      </c>
      <c r="L292" s="4" t="s">
        <v>91</v>
      </c>
      <c r="M292" s="27" t="n">
        <f>1271</f>
        <v>1271.0</v>
      </c>
      <c r="N292" s="5" t="s">
        <v>213</v>
      </c>
      <c r="O292" s="28" t="str">
        <f>"－"</f>
        <v>－</v>
      </c>
      <c r="P292" s="3" t="s">
        <v>795</v>
      </c>
      <c r="Q292" s="26"/>
      <c r="R292" s="3" t="s">
        <v>160</v>
      </c>
      <c r="S292" s="26" t="n">
        <f>1449831539</f>
        <v>1.449831539E9</v>
      </c>
      <c r="T292" s="26" t="str">
        <f>"－"</f>
        <v>－</v>
      </c>
      <c r="U292" s="5" t="s">
        <v>91</v>
      </c>
      <c r="V292" s="28" t="n">
        <f>17980928000</f>
        <v>1.7980928E10</v>
      </c>
      <c r="W292" s="5" t="s">
        <v>213</v>
      </c>
      <c r="X292" s="28" t="str">
        <f>"－"</f>
        <v>－</v>
      </c>
      <c r="Y292" s="28"/>
      <c r="Z292" s="26" t="n">
        <f>20</f>
        <v>20.0</v>
      </c>
      <c r="AA292" s="26" t="n">
        <f>394</f>
        <v>394.0</v>
      </c>
      <c r="AB292" s="4" t="s">
        <v>167</v>
      </c>
      <c r="AC292" s="27" t="n">
        <f>1548</f>
        <v>1548.0</v>
      </c>
      <c r="AD292" s="5" t="s">
        <v>213</v>
      </c>
      <c r="AE292" s="28" t="str">
        <f>"－"</f>
        <v>－</v>
      </c>
    </row>
    <row r="293">
      <c r="A293" s="20" t="s">
        <v>789</v>
      </c>
      <c r="B293" s="21" t="s">
        <v>790</v>
      </c>
      <c r="C293" s="22"/>
      <c r="D293" s="23"/>
      <c r="E293" s="24" t="s">
        <v>261</v>
      </c>
      <c r="F293" s="25" t="n">
        <f>245</f>
        <v>245.0</v>
      </c>
      <c r="G293" s="26" t="n">
        <f>20463</f>
        <v>20463.0</v>
      </c>
      <c r="H293" s="26"/>
      <c r="I293" s="26" t="n">
        <f>19</f>
        <v>19.0</v>
      </c>
      <c r="J293" s="26" t="n">
        <f>84</f>
        <v>84.0</v>
      </c>
      <c r="K293" s="26" t="n">
        <f>0</f>
        <v>0.0</v>
      </c>
      <c r="L293" s="4" t="s">
        <v>107</v>
      </c>
      <c r="M293" s="27" t="n">
        <f>685</f>
        <v>685.0</v>
      </c>
      <c r="N293" s="5" t="s">
        <v>588</v>
      </c>
      <c r="O293" s="28" t="str">
        <f>"－"</f>
        <v>－</v>
      </c>
      <c r="P293" s="3" t="s">
        <v>796</v>
      </c>
      <c r="Q293" s="26"/>
      <c r="R293" s="3" t="s">
        <v>797</v>
      </c>
      <c r="S293" s="26" t="n">
        <f>1199955586</f>
        <v>1.199955586E9</v>
      </c>
      <c r="T293" s="26" t="n">
        <f>1101780</f>
        <v>1101780.0</v>
      </c>
      <c r="U293" s="5" t="s">
        <v>107</v>
      </c>
      <c r="V293" s="28" t="n">
        <f>9826809500</f>
        <v>9.8268095E9</v>
      </c>
      <c r="W293" s="5" t="s">
        <v>588</v>
      </c>
      <c r="X293" s="28" t="str">
        <f>"－"</f>
        <v>－</v>
      </c>
      <c r="Y293" s="28"/>
      <c r="Z293" s="26" t="n">
        <f>8</f>
        <v>8.0</v>
      </c>
      <c r="AA293" s="26" t="n">
        <f>376</f>
        <v>376.0</v>
      </c>
      <c r="AB293" s="4" t="s">
        <v>174</v>
      </c>
      <c r="AC293" s="27" t="n">
        <f>1019</f>
        <v>1019.0</v>
      </c>
      <c r="AD293" s="5" t="s">
        <v>75</v>
      </c>
      <c r="AE293" s="28" t="n">
        <f>85</f>
        <v>85.0</v>
      </c>
    </row>
    <row r="294">
      <c r="A294" s="20" t="s">
        <v>789</v>
      </c>
      <c r="B294" s="21" t="s">
        <v>790</v>
      </c>
      <c r="C294" s="22"/>
      <c r="D294" s="23"/>
      <c r="E294" s="24" t="s">
        <v>265</v>
      </c>
      <c r="F294" s="25" t="n">
        <f>245</f>
        <v>245.0</v>
      </c>
      <c r="G294" s="26" t="n">
        <f>14906</f>
        <v>14906.0</v>
      </c>
      <c r="H294" s="26"/>
      <c r="I294" s="26" t="n">
        <f>154</f>
        <v>154.0</v>
      </c>
      <c r="J294" s="26" t="n">
        <f>61</f>
        <v>61.0</v>
      </c>
      <c r="K294" s="26" t="n">
        <f>1</f>
        <v>1.0</v>
      </c>
      <c r="L294" s="4" t="s">
        <v>403</v>
      </c>
      <c r="M294" s="27" t="n">
        <f>1024</f>
        <v>1024.0</v>
      </c>
      <c r="N294" s="5" t="s">
        <v>798</v>
      </c>
      <c r="O294" s="28" t="str">
        <f>"－"</f>
        <v>－</v>
      </c>
      <c r="P294" s="3" t="s">
        <v>799</v>
      </c>
      <c r="Q294" s="26"/>
      <c r="R294" s="3" t="s">
        <v>800</v>
      </c>
      <c r="S294" s="26" t="n">
        <f>875656043</f>
        <v>8.75656043E8</v>
      </c>
      <c r="T294" s="26" t="n">
        <f>9019363</f>
        <v>9019363.0</v>
      </c>
      <c r="U294" s="5" t="s">
        <v>403</v>
      </c>
      <c r="V294" s="28" t="n">
        <f>14932784000</f>
        <v>1.4932784E10</v>
      </c>
      <c r="W294" s="5" t="s">
        <v>798</v>
      </c>
      <c r="X294" s="28" t="str">
        <f>"－"</f>
        <v>－</v>
      </c>
      <c r="Y294" s="28"/>
      <c r="Z294" s="26" t="n">
        <f>361</f>
        <v>361.0</v>
      </c>
      <c r="AA294" s="26" t="n">
        <f>478</f>
        <v>478.0</v>
      </c>
      <c r="AB294" s="4" t="s">
        <v>107</v>
      </c>
      <c r="AC294" s="27" t="n">
        <f>1113</f>
        <v>1113.0</v>
      </c>
      <c r="AD294" s="5" t="s">
        <v>54</v>
      </c>
      <c r="AE294" s="28" t="n">
        <f>85</f>
        <v>85.0</v>
      </c>
    </row>
    <row r="295">
      <c r="A295" s="20" t="s">
        <v>789</v>
      </c>
      <c r="B295" s="21" t="s">
        <v>790</v>
      </c>
      <c r="C295" s="22"/>
      <c r="D295" s="23"/>
      <c r="E295" s="24" t="s">
        <v>48</v>
      </c>
      <c r="F295" s="25" t="n">
        <f>246</f>
        <v>246.0</v>
      </c>
      <c r="G295" s="26" t="n">
        <f>38441</f>
        <v>38441.0</v>
      </c>
      <c r="H295" s="26"/>
      <c r="I295" s="26" t="n">
        <f>47</f>
        <v>47.0</v>
      </c>
      <c r="J295" s="26" t="n">
        <f>156</f>
        <v>156.0</v>
      </c>
      <c r="K295" s="26" t="n">
        <f>0</f>
        <v>0.0</v>
      </c>
      <c r="L295" s="4" t="s">
        <v>566</v>
      </c>
      <c r="M295" s="27" t="n">
        <f>1139</f>
        <v>1139.0</v>
      </c>
      <c r="N295" s="5" t="s">
        <v>801</v>
      </c>
      <c r="O295" s="28" t="n">
        <f>1</f>
        <v>1.0</v>
      </c>
      <c r="P295" s="3" t="s">
        <v>802</v>
      </c>
      <c r="Q295" s="26"/>
      <c r="R295" s="3" t="s">
        <v>803</v>
      </c>
      <c r="S295" s="26" t="n">
        <f>2294260161</f>
        <v>2.294260161E9</v>
      </c>
      <c r="T295" s="26" t="n">
        <f>2802917</f>
        <v>2802917.0</v>
      </c>
      <c r="U295" s="5" t="s">
        <v>566</v>
      </c>
      <c r="V295" s="28" t="n">
        <f>16781636000</f>
        <v>1.6781636E10</v>
      </c>
      <c r="W295" s="5" t="s">
        <v>801</v>
      </c>
      <c r="X295" s="28" t="n">
        <f>14522000</f>
        <v>1.4522E7</v>
      </c>
      <c r="Y295" s="28"/>
      <c r="Z295" s="26" t="n">
        <f>209</f>
        <v>209.0</v>
      </c>
      <c r="AA295" s="26" t="n">
        <f>417</f>
        <v>417.0</v>
      </c>
      <c r="AB295" s="4" t="s">
        <v>149</v>
      </c>
      <c r="AC295" s="27" t="n">
        <f>2374</f>
        <v>2374.0</v>
      </c>
      <c r="AD295" s="5" t="s">
        <v>630</v>
      </c>
      <c r="AE295" s="28" t="n">
        <f>220</f>
        <v>220.0</v>
      </c>
    </row>
    <row r="296">
      <c r="A296" s="20" t="s">
        <v>789</v>
      </c>
      <c r="B296" s="21" t="s">
        <v>790</v>
      </c>
      <c r="C296" s="22"/>
      <c r="D296" s="23"/>
      <c r="E296" s="24" t="s">
        <v>56</v>
      </c>
      <c r="F296" s="25" t="n">
        <f>245</f>
        <v>245.0</v>
      </c>
      <c r="G296" s="26" t="n">
        <f>24862</f>
        <v>24862.0</v>
      </c>
      <c r="H296" s="26"/>
      <c r="I296" s="26" t="n">
        <f>90</f>
        <v>90.0</v>
      </c>
      <c r="J296" s="26" t="n">
        <f>101</f>
        <v>101.0</v>
      </c>
      <c r="K296" s="26" t="n">
        <f>0</f>
        <v>0.0</v>
      </c>
      <c r="L296" s="4" t="s">
        <v>177</v>
      </c>
      <c r="M296" s="27" t="n">
        <f>1013</f>
        <v>1013.0</v>
      </c>
      <c r="N296" s="5" t="s">
        <v>804</v>
      </c>
      <c r="O296" s="28" t="str">
        <f>"－"</f>
        <v>－</v>
      </c>
      <c r="P296" s="3" t="s">
        <v>805</v>
      </c>
      <c r="Q296" s="26"/>
      <c r="R296" s="3" t="s">
        <v>806</v>
      </c>
      <c r="S296" s="26" t="n">
        <f>1502705147</f>
        <v>1.502705147E9</v>
      </c>
      <c r="T296" s="26" t="n">
        <f>5463331</f>
        <v>5463331.0</v>
      </c>
      <c r="U296" s="5" t="s">
        <v>177</v>
      </c>
      <c r="V296" s="28" t="n">
        <f>14910329000</f>
        <v>1.4910329E10</v>
      </c>
      <c r="W296" s="5" t="s">
        <v>804</v>
      </c>
      <c r="X296" s="28" t="str">
        <f>"－"</f>
        <v>－</v>
      </c>
      <c r="Y296" s="28"/>
      <c r="Z296" s="26" t="n">
        <f>714</f>
        <v>714.0</v>
      </c>
      <c r="AA296" s="26" t="n">
        <f>103</f>
        <v>103.0</v>
      </c>
      <c r="AB296" s="4" t="s">
        <v>148</v>
      </c>
      <c r="AC296" s="27" t="n">
        <f>875</f>
        <v>875.0</v>
      </c>
      <c r="AD296" s="5" t="s">
        <v>91</v>
      </c>
      <c r="AE296" s="28" t="n">
        <f>69</f>
        <v>69.0</v>
      </c>
    </row>
    <row r="297">
      <c r="A297" s="20" t="s">
        <v>789</v>
      </c>
      <c r="B297" s="21" t="s">
        <v>790</v>
      </c>
      <c r="C297" s="22"/>
      <c r="D297" s="23"/>
      <c r="E297" s="24" t="s">
        <v>63</v>
      </c>
      <c r="F297" s="25" t="n">
        <f>245</f>
        <v>245.0</v>
      </c>
      <c r="G297" s="26" t="n">
        <f>1582</f>
        <v>1582.0</v>
      </c>
      <c r="H297" s="26"/>
      <c r="I297" s="26" t="n">
        <f>14</f>
        <v>14.0</v>
      </c>
      <c r="J297" s="26" t="n">
        <f>6</f>
        <v>6.0</v>
      </c>
      <c r="K297" s="26" t="n">
        <f>0</f>
        <v>0.0</v>
      </c>
      <c r="L297" s="4" t="s">
        <v>286</v>
      </c>
      <c r="M297" s="27" t="n">
        <f>56</f>
        <v>56.0</v>
      </c>
      <c r="N297" s="5" t="s">
        <v>455</v>
      </c>
      <c r="O297" s="28" t="str">
        <f>"－"</f>
        <v>－</v>
      </c>
      <c r="P297" s="3" t="s">
        <v>807</v>
      </c>
      <c r="Q297" s="26"/>
      <c r="R297" s="3" t="s">
        <v>808</v>
      </c>
      <c r="S297" s="26" t="n">
        <f>97844349</f>
        <v>9.7844349E7</v>
      </c>
      <c r="T297" s="26" t="n">
        <f>868829</f>
        <v>868829.0</v>
      </c>
      <c r="U297" s="5" t="s">
        <v>286</v>
      </c>
      <c r="V297" s="28" t="n">
        <f>851449000</f>
        <v>8.51449E8</v>
      </c>
      <c r="W297" s="5" t="s">
        <v>455</v>
      </c>
      <c r="X297" s="28" t="str">
        <f>"－"</f>
        <v>－</v>
      </c>
      <c r="Y297" s="28"/>
      <c r="Z297" s="26" t="str">
        <f>"－"</f>
        <v>－</v>
      </c>
      <c r="AA297" s="26" t="n">
        <f>40</f>
        <v>40.0</v>
      </c>
      <c r="AB297" s="4" t="s">
        <v>809</v>
      </c>
      <c r="AC297" s="27" t="n">
        <f>167</f>
        <v>167.0</v>
      </c>
      <c r="AD297" s="5" t="s">
        <v>115</v>
      </c>
      <c r="AE297" s="28" t="n">
        <f>20</f>
        <v>20.0</v>
      </c>
    </row>
    <row r="298">
      <c r="A298" s="20" t="s">
        <v>789</v>
      </c>
      <c r="B298" s="21" t="s">
        <v>790</v>
      </c>
      <c r="C298" s="22"/>
      <c r="D298" s="23"/>
      <c r="E298" s="24" t="s">
        <v>70</v>
      </c>
      <c r="F298" s="25" t="n">
        <f>245</f>
        <v>245.0</v>
      </c>
      <c r="G298" s="26" t="n">
        <f>1664</f>
        <v>1664.0</v>
      </c>
      <c r="H298" s="26"/>
      <c r="I298" s="26" t="str">
        <f>"－"</f>
        <v>－</v>
      </c>
      <c r="J298" s="26" t="n">
        <f>7</f>
        <v>7.0</v>
      </c>
      <c r="K298" s="26" t="str">
        <f>"－"</f>
        <v>－</v>
      </c>
      <c r="L298" s="4" t="s">
        <v>286</v>
      </c>
      <c r="M298" s="27" t="n">
        <f>115</f>
        <v>115.0</v>
      </c>
      <c r="N298" s="5" t="s">
        <v>431</v>
      </c>
      <c r="O298" s="28" t="str">
        <f>"－"</f>
        <v>－</v>
      </c>
      <c r="P298" s="3" t="s">
        <v>810</v>
      </c>
      <c r="Q298" s="26"/>
      <c r="R298" s="3" t="s">
        <v>160</v>
      </c>
      <c r="S298" s="26" t="n">
        <f>102256512</f>
        <v>1.02256512E8</v>
      </c>
      <c r="T298" s="26" t="str">
        <f>"－"</f>
        <v>－</v>
      </c>
      <c r="U298" s="5" t="s">
        <v>286</v>
      </c>
      <c r="V298" s="28" t="n">
        <f>1730220500</f>
        <v>1.7302205E9</v>
      </c>
      <c r="W298" s="5" t="s">
        <v>431</v>
      </c>
      <c r="X298" s="28" t="str">
        <f>"－"</f>
        <v>－</v>
      </c>
      <c r="Y298" s="28"/>
      <c r="Z298" s="26" t="str">
        <f>"－"</f>
        <v>－</v>
      </c>
      <c r="AA298" s="26" t="n">
        <f>53</f>
        <v>53.0</v>
      </c>
      <c r="AB298" s="4" t="s">
        <v>97</v>
      </c>
      <c r="AC298" s="27" t="n">
        <f>223</f>
        <v>223.0</v>
      </c>
      <c r="AD298" s="5" t="s">
        <v>115</v>
      </c>
      <c r="AE298" s="28" t="n">
        <f>25</f>
        <v>25.0</v>
      </c>
    </row>
    <row r="299">
      <c r="A299" s="20" t="s">
        <v>789</v>
      </c>
      <c r="B299" s="21" t="s">
        <v>790</v>
      </c>
      <c r="C299" s="22"/>
      <c r="D299" s="23"/>
      <c r="E299" s="24" t="s">
        <v>76</v>
      </c>
      <c r="F299" s="25" t="n">
        <f>244</f>
        <v>244.0</v>
      </c>
      <c r="G299" s="26" t="n">
        <f>3392</f>
        <v>3392.0</v>
      </c>
      <c r="H299" s="26"/>
      <c r="I299" s="26" t="str">
        <f>"－"</f>
        <v>－</v>
      </c>
      <c r="J299" s="26" t="n">
        <f>14</f>
        <v>14.0</v>
      </c>
      <c r="K299" s="26" t="str">
        <f>"－"</f>
        <v>－</v>
      </c>
      <c r="L299" s="4" t="s">
        <v>811</v>
      </c>
      <c r="M299" s="27" t="n">
        <f>514</f>
        <v>514.0</v>
      </c>
      <c r="N299" s="5" t="s">
        <v>474</v>
      </c>
      <c r="O299" s="28" t="str">
        <f>"－"</f>
        <v>－</v>
      </c>
      <c r="P299" s="3" t="s">
        <v>812</v>
      </c>
      <c r="Q299" s="26"/>
      <c r="R299" s="3" t="s">
        <v>160</v>
      </c>
      <c r="S299" s="26" t="n">
        <f>209701705</f>
        <v>2.09701705E8</v>
      </c>
      <c r="T299" s="26" t="str">
        <f>"－"</f>
        <v>－</v>
      </c>
      <c r="U299" s="5" t="s">
        <v>811</v>
      </c>
      <c r="V299" s="28" t="n">
        <f>7714331000</f>
        <v>7.714331E9</v>
      </c>
      <c r="W299" s="5" t="s">
        <v>474</v>
      </c>
      <c r="X299" s="28" t="str">
        <f>"－"</f>
        <v>－</v>
      </c>
      <c r="Y299" s="28"/>
      <c r="Z299" s="26" t="n">
        <f>32</f>
        <v>32.0</v>
      </c>
      <c r="AA299" s="26" t="n">
        <f>133</f>
        <v>133.0</v>
      </c>
      <c r="AB299" s="4" t="s">
        <v>462</v>
      </c>
      <c r="AC299" s="27" t="n">
        <f>456</f>
        <v>456.0</v>
      </c>
      <c r="AD299" s="5" t="s">
        <v>69</v>
      </c>
      <c r="AE299" s="28" t="n">
        <f>23</f>
        <v>23.0</v>
      </c>
    </row>
    <row r="300">
      <c r="A300" s="20" t="s">
        <v>789</v>
      </c>
      <c r="B300" s="21" t="s">
        <v>790</v>
      </c>
      <c r="C300" s="22"/>
      <c r="D300" s="23"/>
      <c r="E300" s="24" t="s">
        <v>81</v>
      </c>
      <c r="F300" s="25" t="n">
        <f>241</f>
        <v>241.0</v>
      </c>
      <c r="G300" s="26" t="n">
        <f>2826</f>
        <v>2826.0</v>
      </c>
      <c r="H300" s="26"/>
      <c r="I300" s="26" t="str">
        <f>"－"</f>
        <v>－</v>
      </c>
      <c r="J300" s="26" t="n">
        <f>12</f>
        <v>12.0</v>
      </c>
      <c r="K300" s="26" t="str">
        <f>"－"</f>
        <v>－</v>
      </c>
      <c r="L300" s="4" t="s">
        <v>97</v>
      </c>
      <c r="M300" s="27" t="n">
        <f>326</f>
        <v>326.0</v>
      </c>
      <c r="N300" s="5" t="s">
        <v>213</v>
      </c>
      <c r="O300" s="28" t="str">
        <f>"－"</f>
        <v>－</v>
      </c>
      <c r="P300" s="3" t="s">
        <v>813</v>
      </c>
      <c r="Q300" s="26"/>
      <c r="R300" s="3" t="s">
        <v>160</v>
      </c>
      <c r="S300" s="26" t="n">
        <f>179925272</f>
        <v>1.79925272E8</v>
      </c>
      <c r="T300" s="26" t="str">
        <f>"－"</f>
        <v>－</v>
      </c>
      <c r="U300" s="5" t="s">
        <v>97</v>
      </c>
      <c r="V300" s="28" t="n">
        <f>4963924500</f>
        <v>4.9639245E9</v>
      </c>
      <c r="W300" s="5" t="s">
        <v>213</v>
      </c>
      <c r="X300" s="28" t="str">
        <f>"－"</f>
        <v>－</v>
      </c>
      <c r="Y300" s="28"/>
      <c r="Z300" s="26" t="n">
        <f>9</f>
        <v>9.0</v>
      </c>
      <c r="AA300" s="26" t="n">
        <f>43</f>
        <v>43.0</v>
      </c>
      <c r="AB300" s="4" t="s">
        <v>85</v>
      </c>
      <c r="AC300" s="27" t="n">
        <f>470</f>
        <v>470.0</v>
      </c>
      <c r="AD300" s="5" t="s">
        <v>274</v>
      </c>
      <c r="AE300" s="28" t="n">
        <f>32</f>
        <v>32.0</v>
      </c>
    </row>
    <row r="301">
      <c r="A301" s="20" t="s">
        <v>789</v>
      </c>
      <c r="B301" s="21" t="s">
        <v>790</v>
      </c>
      <c r="C301" s="22"/>
      <c r="D301" s="23"/>
      <c r="E301" s="24" t="s">
        <v>87</v>
      </c>
      <c r="F301" s="25" t="n">
        <f>245</f>
        <v>245.0</v>
      </c>
      <c r="G301" s="26" t="n">
        <f>791</f>
        <v>791.0</v>
      </c>
      <c r="H301" s="26"/>
      <c r="I301" s="26" t="str">
        <f>"－"</f>
        <v>－</v>
      </c>
      <c r="J301" s="26" t="n">
        <f>3</f>
        <v>3.0</v>
      </c>
      <c r="K301" s="26" t="str">
        <f>"－"</f>
        <v>－</v>
      </c>
      <c r="L301" s="4" t="s">
        <v>598</v>
      </c>
      <c r="M301" s="27" t="n">
        <f>101</f>
        <v>101.0</v>
      </c>
      <c r="N301" s="5" t="s">
        <v>389</v>
      </c>
      <c r="O301" s="28" t="str">
        <f>"－"</f>
        <v>－</v>
      </c>
      <c r="P301" s="3" t="s">
        <v>814</v>
      </c>
      <c r="Q301" s="26"/>
      <c r="R301" s="3" t="s">
        <v>160</v>
      </c>
      <c r="S301" s="26" t="n">
        <f>49019692</f>
        <v>4.9019692E7</v>
      </c>
      <c r="T301" s="26" t="str">
        <f>"－"</f>
        <v>－</v>
      </c>
      <c r="U301" s="5" t="s">
        <v>598</v>
      </c>
      <c r="V301" s="28" t="n">
        <f>1535956000</f>
        <v>1.535956E9</v>
      </c>
      <c r="W301" s="5" t="s">
        <v>389</v>
      </c>
      <c r="X301" s="28" t="str">
        <f>"－"</f>
        <v>－</v>
      </c>
      <c r="Y301" s="28"/>
      <c r="Z301" s="26" t="n">
        <f>22</f>
        <v>22.0</v>
      </c>
      <c r="AA301" s="26" t="n">
        <f>57</f>
        <v>57.0</v>
      </c>
      <c r="AB301" s="4" t="s">
        <v>302</v>
      </c>
      <c r="AC301" s="27" t="n">
        <f>125</f>
        <v>125.0</v>
      </c>
      <c r="AD301" s="5" t="s">
        <v>815</v>
      </c>
      <c r="AE301" s="28" t="n">
        <f>22</f>
        <v>22.0</v>
      </c>
    </row>
    <row r="302">
      <c r="A302" s="20" t="s">
        <v>789</v>
      </c>
      <c r="B302" s="21" t="s">
        <v>790</v>
      </c>
      <c r="C302" s="22"/>
      <c r="D302" s="23"/>
      <c r="E302" s="24" t="s">
        <v>92</v>
      </c>
      <c r="F302" s="25" t="n">
        <f>244</f>
        <v>244.0</v>
      </c>
      <c r="G302" s="26" t="n">
        <f>1206</f>
        <v>1206.0</v>
      </c>
      <c r="H302" s="26"/>
      <c r="I302" s="26" t="str">
        <f>"－"</f>
        <v>－</v>
      </c>
      <c r="J302" s="26" t="n">
        <f>5</f>
        <v>5.0</v>
      </c>
      <c r="K302" s="26" t="str">
        <f>"－"</f>
        <v>－</v>
      </c>
      <c r="L302" s="4" t="s">
        <v>96</v>
      </c>
      <c r="M302" s="27" t="n">
        <f>78</f>
        <v>78.0</v>
      </c>
      <c r="N302" s="5" t="s">
        <v>474</v>
      </c>
      <c r="O302" s="28" t="str">
        <f>"－"</f>
        <v>－</v>
      </c>
      <c r="P302" s="3" t="s">
        <v>816</v>
      </c>
      <c r="Q302" s="26"/>
      <c r="R302" s="3" t="s">
        <v>160</v>
      </c>
      <c r="S302" s="26" t="n">
        <f>74776330</f>
        <v>7.477633E7</v>
      </c>
      <c r="T302" s="26" t="str">
        <f>"－"</f>
        <v>－</v>
      </c>
      <c r="U302" s="5" t="s">
        <v>96</v>
      </c>
      <c r="V302" s="28" t="n">
        <f>1184926000</f>
        <v>1.184926E9</v>
      </c>
      <c r="W302" s="5" t="s">
        <v>474</v>
      </c>
      <c r="X302" s="28" t="str">
        <f>"－"</f>
        <v>－</v>
      </c>
      <c r="Y302" s="28"/>
      <c r="Z302" s="26" t="n">
        <f>82</f>
        <v>82.0</v>
      </c>
      <c r="AA302" s="26" t="n">
        <f>45</f>
        <v>45.0</v>
      </c>
      <c r="AB302" s="4" t="s">
        <v>234</v>
      </c>
      <c r="AC302" s="27" t="n">
        <f>121</f>
        <v>121.0</v>
      </c>
      <c r="AD302" s="5" t="s">
        <v>91</v>
      </c>
      <c r="AE302" s="28" t="n">
        <f>30</f>
        <v>30.0</v>
      </c>
    </row>
    <row r="303">
      <c r="A303" s="20" t="s">
        <v>789</v>
      </c>
      <c r="B303" s="21" t="s">
        <v>790</v>
      </c>
      <c r="C303" s="22"/>
      <c r="D303" s="23"/>
      <c r="E303" s="24" t="s">
        <v>98</v>
      </c>
      <c r="F303" s="25" t="n">
        <f>245</f>
        <v>245.0</v>
      </c>
      <c r="G303" s="26" t="n">
        <f>4533</f>
        <v>4533.0</v>
      </c>
      <c r="H303" s="26"/>
      <c r="I303" s="26" t="str">
        <f>"－"</f>
        <v>－</v>
      </c>
      <c r="J303" s="26" t="n">
        <f>19</f>
        <v>19.0</v>
      </c>
      <c r="K303" s="26" t="str">
        <f>"－"</f>
        <v>－</v>
      </c>
      <c r="L303" s="4" t="s">
        <v>141</v>
      </c>
      <c r="M303" s="27" t="n">
        <f>348</f>
        <v>348.0</v>
      </c>
      <c r="N303" s="5" t="s">
        <v>731</v>
      </c>
      <c r="O303" s="28" t="str">
        <f>"－"</f>
        <v>－</v>
      </c>
      <c r="P303" s="3" t="s">
        <v>817</v>
      </c>
      <c r="Q303" s="26"/>
      <c r="R303" s="3" t="s">
        <v>160</v>
      </c>
      <c r="S303" s="26" t="n">
        <f>273619422</f>
        <v>2.73619422E8</v>
      </c>
      <c r="T303" s="26" t="str">
        <f>"－"</f>
        <v>－</v>
      </c>
      <c r="U303" s="5" t="s">
        <v>141</v>
      </c>
      <c r="V303" s="28" t="n">
        <f>5151694500</f>
        <v>5.1516945E9</v>
      </c>
      <c r="W303" s="5" t="s">
        <v>731</v>
      </c>
      <c r="X303" s="28" t="str">
        <f>"－"</f>
        <v>－</v>
      </c>
      <c r="Y303" s="28"/>
      <c r="Z303" s="26" t="n">
        <f>2555</f>
        <v>2555.0</v>
      </c>
      <c r="AA303" s="26" t="n">
        <f>277</f>
        <v>277.0</v>
      </c>
      <c r="AB303" s="4" t="s">
        <v>818</v>
      </c>
      <c r="AC303" s="27" t="n">
        <f>297</f>
        <v>297.0</v>
      </c>
      <c r="AD303" s="5" t="s">
        <v>69</v>
      </c>
      <c r="AE303" s="28" t="n">
        <f>42</f>
        <v>42.0</v>
      </c>
    </row>
    <row r="304">
      <c r="A304" s="20" t="s">
        <v>789</v>
      </c>
      <c r="B304" s="21" t="s">
        <v>790</v>
      </c>
      <c r="C304" s="22"/>
      <c r="D304" s="23"/>
      <c r="E304" s="24" t="s">
        <v>103</v>
      </c>
      <c r="F304" s="25" t="n">
        <f>244</f>
        <v>244.0</v>
      </c>
      <c r="G304" s="26" t="n">
        <f>3176</f>
        <v>3176.0</v>
      </c>
      <c r="H304" s="26"/>
      <c r="I304" s="26" t="str">
        <f>"－"</f>
        <v>－</v>
      </c>
      <c r="J304" s="26" t="n">
        <f>13</f>
        <v>13.0</v>
      </c>
      <c r="K304" s="26" t="str">
        <f>"－"</f>
        <v>－</v>
      </c>
      <c r="L304" s="4" t="s">
        <v>74</v>
      </c>
      <c r="M304" s="27" t="n">
        <f>248</f>
        <v>248.0</v>
      </c>
      <c r="N304" s="5" t="s">
        <v>431</v>
      </c>
      <c r="O304" s="28" t="str">
        <f>"－"</f>
        <v>－</v>
      </c>
      <c r="P304" s="3" t="s">
        <v>819</v>
      </c>
      <c r="Q304" s="26"/>
      <c r="R304" s="3" t="s">
        <v>160</v>
      </c>
      <c r="S304" s="26" t="n">
        <f>190541447</f>
        <v>1.90541447E8</v>
      </c>
      <c r="T304" s="26" t="str">
        <f>"－"</f>
        <v>－</v>
      </c>
      <c r="U304" s="5" t="s">
        <v>74</v>
      </c>
      <c r="V304" s="28" t="n">
        <f>3624810000</f>
        <v>3.62481E9</v>
      </c>
      <c r="W304" s="5" t="s">
        <v>431</v>
      </c>
      <c r="X304" s="28" t="str">
        <f>"－"</f>
        <v>－</v>
      </c>
      <c r="Y304" s="28"/>
      <c r="Z304" s="26" t="n">
        <f>2081</f>
        <v>2081.0</v>
      </c>
      <c r="AA304" s="26" t="n">
        <f>136</f>
        <v>136.0</v>
      </c>
      <c r="AB304" s="4" t="s">
        <v>820</v>
      </c>
      <c r="AC304" s="27" t="n">
        <f>298</f>
        <v>298.0</v>
      </c>
      <c r="AD304" s="5" t="s">
        <v>141</v>
      </c>
      <c r="AE304" s="28" t="n">
        <f>46</f>
        <v>46.0</v>
      </c>
    </row>
    <row r="305">
      <c r="A305" s="20" t="s">
        <v>821</v>
      </c>
      <c r="B305" s="21" t="s">
        <v>822</v>
      </c>
      <c r="C305" s="22"/>
      <c r="D305" s="23"/>
      <c r="E305" s="24" t="s">
        <v>156</v>
      </c>
      <c r="F305" s="25" t="n">
        <f>193</f>
        <v>193.0</v>
      </c>
      <c r="G305" s="26" t="n">
        <f>50917</f>
        <v>50917.0</v>
      </c>
      <c r="H305" s="26"/>
      <c r="I305" s="26" t="str">
        <f>"－"</f>
        <v>－</v>
      </c>
      <c r="J305" s="26" t="n">
        <f>264</f>
        <v>264.0</v>
      </c>
      <c r="K305" s="26" t="str">
        <f>"－"</f>
        <v>－</v>
      </c>
      <c r="L305" s="4" t="s">
        <v>818</v>
      </c>
      <c r="M305" s="27" t="n">
        <f>17010</f>
        <v>17010.0</v>
      </c>
      <c r="N305" s="5" t="s">
        <v>69</v>
      </c>
      <c r="O305" s="28" t="n">
        <f>2</f>
        <v>2.0</v>
      </c>
      <c r="P305" s="3" t="s">
        <v>823</v>
      </c>
      <c r="Q305" s="26"/>
      <c r="R305" s="3" t="s">
        <v>160</v>
      </c>
      <c r="S305" s="26" t="n">
        <f>28242413679</f>
        <v>2.8242413679E10</v>
      </c>
      <c r="T305" s="26" t="str">
        <f>"－"</f>
        <v>－</v>
      </c>
      <c r="U305" s="5" t="s">
        <v>818</v>
      </c>
      <c r="V305" s="28" t="n">
        <f>1796477440000</f>
        <v>1.79647744E12</v>
      </c>
      <c r="W305" s="5" t="s">
        <v>69</v>
      </c>
      <c r="X305" s="28" t="n">
        <f>204910000</f>
        <v>2.0491E8</v>
      </c>
      <c r="Y305" s="28"/>
      <c r="Z305" s="26" t="str">
        <f>"－"</f>
        <v>－</v>
      </c>
      <c r="AA305" s="26" t="n">
        <f>792</f>
        <v>792.0</v>
      </c>
      <c r="AB305" s="4" t="s">
        <v>818</v>
      </c>
      <c r="AC305" s="27" t="n">
        <f>5100</f>
        <v>5100.0</v>
      </c>
      <c r="AD305" s="5" t="s">
        <v>824</v>
      </c>
      <c r="AE305" s="28" t="n">
        <f>81</f>
        <v>81.0</v>
      </c>
    </row>
    <row r="306">
      <c r="A306" s="20" t="s">
        <v>821</v>
      </c>
      <c r="B306" s="21" t="s">
        <v>822</v>
      </c>
      <c r="C306" s="22"/>
      <c r="D306" s="23"/>
      <c r="E306" s="24" t="s">
        <v>163</v>
      </c>
      <c r="F306" s="25" t="n">
        <f>247</f>
        <v>247.0</v>
      </c>
      <c r="G306" s="26" t="n">
        <f>22429</f>
        <v>22429.0</v>
      </c>
      <c r="H306" s="26"/>
      <c r="I306" s="26" t="str">
        <f>"－"</f>
        <v>－</v>
      </c>
      <c r="J306" s="26" t="n">
        <f>91</f>
        <v>91.0</v>
      </c>
      <c r="K306" s="26" t="str">
        <f>"－"</f>
        <v>－</v>
      </c>
      <c r="L306" s="4" t="s">
        <v>167</v>
      </c>
      <c r="M306" s="27" t="n">
        <f>544</f>
        <v>544.0</v>
      </c>
      <c r="N306" s="5" t="s">
        <v>144</v>
      </c>
      <c r="O306" s="28" t="str">
        <f>"－"</f>
        <v>－</v>
      </c>
      <c r="P306" s="3" t="s">
        <v>825</v>
      </c>
      <c r="Q306" s="26"/>
      <c r="R306" s="3" t="s">
        <v>160</v>
      </c>
      <c r="S306" s="26" t="n">
        <f>9558766478</f>
        <v>9.558766478E9</v>
      </c>
      <c r="T306" s="26" t="str">
        <f>"－"</f>
        <v>－</v>
      </c>
      <c r="U306" s="5" t="s">
        <v>167</v>
      </c>
      <c r="V306" s="28" t="n">
        <f>52932800000</f>
        <v>5.29328E10</v>
      </c>
      <c r="W306" s="5" t="s">
        <v>144</v>
      </c>
      <c r="X306" s="28" t="str">
        <f>"－"</f>
        <v>－</v>
      </c>
      <c r="Y306" s="28"/>
      <c r="Z306" s="26" t="str">
        <f>"－"</f>
        <v>－</v>
      </c>
      <c r="AA306" s="26" t="n">
        <f>610</f>
        <v>610.0</v>
      </c>
      <c r="AB306" s="4" t="s">
        <v>309</v>
      </c>
      <c r="AC306" s="27" t="n">
        <f>888</f>
        <v>888.0</v>
      </c>
      <c r="AD306" s="5" t="s">
        <v>469</v>
      </c>
      <c r="AE306" s="28" t="n">
        <f>182</f>
        <v>182.0</v>
      </c>
    </row>
    <row r="307">
      <c r="A307" s="20" t="s">
        <v>821</v>
      </c>
      <c r="B307" s="21" t="s">
        <v>822</v>
      </c>
      <c r="C307" s="22"/>
      <c r="D307" s="23"/>
      <c r="E307" s="24" t="s">
        <v>168</v>
      </c>
      <c r="F307" s="25" t="n">
        <f>245</f>
        <v>245.0</v>
      </c>
      <c r="G307" s="26" t="n">
        <f>9816</f>
        <v>9816.0</v>
      </c>
      <c r="H307" s="26"/>
      <c r="I307" s="26" t="str">
        <f>"－"</f>
        <v>－</v>
      </c>
      <c r="J307" s="26" t="n">
        <f>40</f>
        <v>40.0</v>
      </c>
      <c r="K307" s="26" t="str">
        <f>"－"</f>
        <v>－</v>
      </c>
      <c r="L307" s="4" t="s">
        <v>826</v>
      </c>
      <c r="M307" s="27" t="n">
        <f>271</f>
        <v>271.0</v>
      </c>
      <c r="N307" s="5" t="s">
        <v>58</v>
      </c>
      <c r="O307" s="28" t="n">
        <f>10</f>
        <v>10.0</v>
      </c>
      <c r="P307" s="3" t="s">
        <v>827</v>
      </c>
      <c r="Q307" s="26"/>
      <c r="R307" s="3" t="s">
        <v>160</v>
      </c>
      <c r="S307" s="26" t="n">
        <f>3626907143</f>
        <v>3.626907143E9</v>
      </c>
      <c r="T307" s="26" t="str">
        <f>"－"</f>
        <v>－</v>
      </c>
      <c r="U307" s="5" t="s">
        <v>826</v>
      </c>
      <c r="V307" s="28" t="n">
        <f>24872200000</f>
        <v>2.48722E10</v>
      </c>
      <c r="W307" s="5" t="s">
        <v>58</v>
      </c>
      <c r="X307" s="28" t="n">
        <f>917000000</f>
        <v>9.17E8</v>
      </c>
      <c r="Y307" s="28"/>
      <c r="Z307" s="26" t="str">
        <f>"－"</f>
        <v>－</v>
      </c>
      <c r="AA307" s="26" t="n">
        <f>110</f>
        <v>110.0</v>
      </c>
      <c r="AB307" s="4" t="s">
        <v>442</v>
      </c>
      <c r="AC307" s="27" t="n">
        <f>721</f>
        <v>721.0</v>
      </c>
      <c r="AD307" s="5" t="s">
        <v>828</v>
      </c>
      <c r="AE307" s="28" t="n">
        <f>110</f>
        <v>110.0</v>
      </c>
    </row>
    <row r="308">
      <c r="A308" s="20" t="s">
        <v>821</v>
      </c>
      <c r="B308" s="21" t="s">
        <v>822</v>
      </c>
      <c r="C308" s="22"/>
      <c r="D308" s="23"/>
      <c r="E308" s="24" t="s">
        <v>173</v>
      </c>
      <c r="F308" s="25" t="n">
        <f>247</f>
        <v>247.0</v>
      </c>
      <c r="G308" s="26" t="n">
        <f>5776</f>
        <v>5776.0</v>
      </c>
      <c r="H308" s="26"/>
      <c r="I308" s="26" t="str">
        <f>"－"</f>
        <v>－</v>
      </c>
      <c r="J308" s="26" t="n">
        <f>23</f>
        <v>23.0</v>
      </c>
      <c r="K308" s="26" t="str">
        <f>"－"</f>
        <v>－</v>
      </c>
      <c r="L308" s="4" t="s">
        <v>491</v>
      </c>
      <c r="M308" s="27" t="n">
        <f>149</f>
        <v>149.0</v>
      </c>
      <c r="N308" s="5" t="s">
        <v>455</v>
      </c>
      <c r="O308" s="28" t="n">
        <f>10</f>
        <v>10.0</v>
      </c>
      <c r="P308" s="3" t="s">
        <v>829</v>
      </c>
      <c r="Q308" s="26"/>
      <c r="R308" s="3" t="s">
        <v>160</v>
      </c>
      <c r="S308" s="26" t="n">
        <f>2204533279</f>
        <v>2.204533279E9</v>
      </c>
      <c r="T308" s="26" t="str">
        <f>"－"</f>
        <v>－</v>
      </c>
      <c r="U308" s="5" t="s">
        <v>491</v>
      </c>
      <c r="V308" s="28" t="n">
        <f>13599380000</f>
        <v>1.359938E10</v>
      </c>
      <c r="W308" s="5" t="s">
        <v>830</v>
      </c>
      <c r="X308" s="28" t="n">
        <f>905000000</f>
        <v>9.05E8</v>
      </c>
      <c r="Y308" s="28"/>
      <c r="Z308" s="26" t="str">
        <f>"－"</f>
        <v>－</v>
      </c>
      <c r="AA308" s="26" t="n">
        <f>162</f>
        <v>162.0</v>
      </c>
      <c r="AB308" s="4" t="s">
        <v>731</v>
      </c>
      <c r="AC308" s="27" t="n">
        <f>294</f>
        <v>294.0</v>
      </c>
      <c r="AD308" s="5" t="s">
        <v>389</v>
      </c>
      <c r="AE308" s="28" t="n">
        <f>110</f>
        <v>110.0</v>
      </c>
    </row>
    <row r="309">
      <c r="A309" s="20" t="s">
        <v>821</v>
      </c>
      <c r="B309" s="21" t="s">
        <v>822</v>
      </c>
      <c r="C309" s="22"/>
      <c r="D309" s="23"/>
      <c r="E309" s="24" t="s">
        <v>178</v>
      </c>
      <c r="F309" s="25" t="n">
        <f>249</f>
        <v>249.0</v>
      </c>
      <c r="G309" s="26" t="n">
        <f>3607</f>
        <v>3607.0</v>
      </c>
      <c r="H309" s="26"/>
      <c r="I309" s="26" t="str">
        <f>"－"</f>
        <v>－</v>
      </c>
      <c r="J309" s="26" t="n">
        <f>14</f>
        <v>14.0</v>
      </c>
      <c r="K309" s="26" t="str">
        <f>"－"</f>
        <v>－</v>
      </c>
      <c r="L309" s="4" t="s">
        <v>195</v>
      </c>
      <c r="M309" s="27" t="n">
        <f>50</f>
        <v>50.0</v>
      </c>
      <c r="N309" s="5" t="s">
        <v>131</v>
      </c>
      <c r="O309" s="28" t="n">
        <f>1</f>
        <v>1.0</v>
      </c>
      <c r="P309" s="3" t="s">
        <v>831</v>
      </c>
      <c r="Q309" s="26"/>
      <c r="R309" s="3" t="s">
        <v>160</v>
      </c>
      <c r="S309" s="26" t="n">
        <f>1469438193</f>
        <v>1.469438193E9</v>
      </c>
      <c r="T309" s="26" t="str">
        <f>"－"</f>
        <v>－</v>
      </c>
      <c r="U309" s="5" t="s">
        <v>195</v>
      </c>
      <c r="V309" s="28" t="n">
        <f>5514000000</f>
        <v>5.514E9</v>
      </c>
      <c r="W309" s="5" t="s">
        <v>131</v>
      </c>
      <c r="X309" s="28" t="n">
        <f>96870000</f>
        <v>9.687E7</v>
      </c>
      <c r="Y309" s="28"/>
      <c r="Z309" s="26" t="str">
        <f>"－"</f>
        <v>－</v>
      </c>
      <c r="AA309" s="26" t="n">
        <f>197</f>
        <v>197.0</v>
      </c>
      <c r="AB309" s="4" t="s">
        <v>574</v>
      </c>
      <c r="AC309" s="27" t="n">
        <f>220</f>
        <v>220.0</v>
      </c>
      <c r="AD309" s="5" t="s">
        <v>560</v>
      </c>
      <c r="AE309" s="28" t="n">
        <f>53</f>
        <v>53.0</v>
      </c>
    </row>
    <row r="310">
      <c r="A310" s="20" t="s">
        <v>821</v>
      </c>
      <c r="B310" s="21" t="s">
        <v>822</v>
      </c>
      <c r="C310" s="22"/>
      <c r="D310" s="23"/>
      <c r="E310" s="24" t="s">
        <v>183</v>
      </c>
      <c r="F310" s="25" t="n">
        <f>246</f>
        <v>246.0</v>
      </c>
      <c r="G310" s="26" t="n">
        <f>2769</f>
        <v>2769.0</v>
      </c>
      <c r="H310" s="26"/>
      <c r="I310" s="26" t="str">
        <f>"－"</f>
        <v>－</v>
      </c>
      <c r="J310" s="26" t="n">
        <f>11</f>
        <v>11.0</v>
      </c>
      <c r="K310" s="26" t="str">
        <f>"－"</f>
        <v>－</v>
      </c>
      <c r="L310" s="4" t="s">
        <v>832</v>
      </c>
      <c r="M310" s="27" t="n">
        <f>41</f>
        <v>41.0</v>
      </c>
      <c r="N310" s="5" t="s">
        <v>141</v>
      </c>
      <c r="O310" s="28" t="n">
        <f>1</f>
        <v>1.0</v>
      </c>
      <c r="P310" s="3" t="s">
        <v>833</v>
      </c>
      <c r="Q310" s="26"/>
      <c r="R310" s="3" t="s">
        <v>160</v>
      </c>
      <c r="S310" s="26" t="n">
        <f>1233308821</f>
        <v>1.233308821E9</v>
      </c>
      <c r="T310" s="26" t="str">
        <f>"－"</f>
        <v>－</v>
      </c>
      <c r="U310" s="5" t="s">
        <v>675</v>
      </c>
      <c r="V310" s="28" t="n">
        <f>4642000000</f>
        <v>4.642E9</v>
      </c>
      <c r="W310" s="5" t="s">
        <v>141</v>
      </c>
      <c r="X310" s="28" t="n">
        <f>103000000</f>
        <v>1.03E8</v>
      </c>
      <c r="Y310" s="28"/>
      <c r="Z310" s="26" t="str">
        <f>"－"</f>
        <v>－</v>
      </c>
      <c r="AA310" s="26" t="n">
        <f>152</f>
        <v>152.0</v>
      </c>
      <c r="AB310" s="4" t="s">
        <v>834</v>
      </c>
      <c r="AC310" s="27" t="n">
        <f>221</f>
        <v>221.0</v>
      </c>
      <c r="AD310" s="5" t="s">
        <v>234</v>
      </c>
      <c r="AE310" s="28" t="str">
        <f>"－"</f>
        <v>－</v>
      </c>
    </row>
    <row r="311">
      <c r="A311" s="20" t="s">
        <v>821</v>
      </c>
      <c r="B311" s="21" t="s">
        <v>822</v>
      </c>
      <c r="C311" s="22"/>
      <c r="D311" s="23"/>
      <c r="E311" s="24" t="s">
        <v>187</v>
      </c>
      <c r="F311" s="25" t="n">
        <f>247</f>
        <v>247.0</v>
      </c>
      <c r="G311" s="26" t="n">
        <f>3456</f>
        <v>3456.0</v>
      </c>
      <c r="H311" s="26"/>
      <c r="I311" s="26" t="str">
        <f>"－"</f>
        <v>－</v>
      </c>
      <c r="J311" s="26" t="n">
        <f>14</f>
        <v>14.0</v>
      </c>
      <c r="K311" s="26" t="str">
        <f>"－"</f>
        <v>－</v>
      </c>
      <c r="L311" s="4" t="s">
        <v>801</v>
      </c>
      <c r="M311" s="27" t="n">
        <f>40</f>
        <v>40.0</v>
      </c>
      <c r="N311" s="5" t="s">
        <v>196</v>
      </c>
      <c r="O311" s="28" t="n">
        <f>1</f>
        <v>1.0</v>
      </c>
      <c r="P311" s="3" t="s">
        <v>835</v>
      </c>
      <c r="Q311" s="26"/>
      <c r="R311" s="3" t="s">
        <v>160</v>
      </c>
      <c r="S311" s="26" t="n">
        <f>1544037854</f>
        <v>1.544037854E9</v>
      </c>
      <c r="T311" s="26" t="str">
        <f>"－"</f>
        <v>－</v>
      </c>
      <c r="U311" s="5" t="s">
        <v>801</v>
      </c>
      <c r="V311" s="28" t="n">
        <f>4580000000</f>
        <v>4.58E9</v>
      </c>
      <c r="W311" s="5" t="s">
        <v>179</v>
      </c>
      <c r="X311" s="28" t="n">
        <f>109700000</f>
        <v>1.097E8</v>
      </c>
      <c r="Y311" s="28"/>
      <c r="Z311" s="26" t="str">
        <f>"－"</f>
        <v>－</v>
      </c>
      <c r="AA311" s="26" t="n">
        <f>160</f>
        <v>160.0</v>
      </c>
      <c r="AB311" s="4" t="s">
        <v>387</v>
      </c>
      <c r="AC311" s="27" t="n">
        <f>228</f>
        <v>228.0</v>
      </c>
      <c r="AD311" s="5" t="s">
        <v>135</v>
      </c>
      <c r="AE311" s="28" t="n">
        <f>94</f>
        <v>94.0</v>
      </c>
    </row>
    <row r="312">
      <c r="A312" s="20" t="s">
        <v>821</v>
      </c>
      <c r="B312" s="21" t="s">
        <v>822</v>
      </c>
      <c r="C312" s="22"/>
      <c r="D312" s="23"/>
      <c r="E312" s="24" t="s">
        <v>190</v>
      </c>
      <c r="F312" s="25" t="n">
        <f>247</f>
        <v>247.0</v>
      </c>
      <c r="G312" s="26" t="n">
        <f>2427</f>
        <v>2427.0</v>
      </c>
      <c r="H312" s="26"/>
      <c r="I312" s="26" t="str">
        <f>"－"</f>
        <v>－</v>
      </c>
      <c r="J312" s="26" t="n">
        <f>10</f>
        <v>10.0</v>
      </c>
      <c r="K312" s="26" t="str">
        <f>"－"</f>
        <v>－</v>
      </c>
      <c r="L312" s="4" t="s">
        <v>726</v>
      </c>
      <c r="M312" s="27" t="n">
        <f>50</f>
        <v>50.0</v>
      </c>
      <c r="N312" s="5" t="s">
        <v>165</v>
      </c>
      <c r="O312" s="28" t="n">
        <f>1</f>
        <v>1.0</v>
      </c>
      <c r="P312" s="3" t="s">
        <v>836</v>
      </c>
      <c r="Q312" s="26"/>
      <c r="R312" s="3" t="s">
        <v>160</v>
      </c>
      <c r="S312" s="26" t="n">
        <f>1241198543</f>
        <v>1.241198543E9</v>
      </c>
      <c r="T312" s="26" t="str">
        <f>"－"</f>
        <v>－</v>
      </c>
      <c r="U312" s="5" t="s">
        <v>726</v>
      </c>
      <c r="V312" s="28" t="n">
        <f>6250000000</f>
        <v>6.25E9</v>
      </c>
      <c r="W312" s="5" t="s">
        <v>179</v>
      </c>
      <c r="X312" s="28" t="n">
        <f>124700000</f>
        <v>1.247E8</v>
      </c>
      <c r="Y312" s="28"/>
      <c r="Z312" s="26" t="str">
        <f>"－"</f>
        <v>－</v>
      </c>
      <c r="AA312" s="26" t="n">
        <f>141</f>
        <v>141.0</v>
      </c>
      <c r="AB312" s="4" t="s">
        <v>172</v>
      </c>
      <c r="AC312" s="27" t="n">
        <f>182</f>
        <v>182.0</v>
      </c>
      <c r="AD312" s="5" t="s">
        <v>68</v>
      </c>
      <c r="AE312" s="28" t="str">
        <f>"－"</f>
        <v>－</v>
      </c>
    </row>
    <row r="313">
      <c r="A313" s="20" t="s">
        <v>821</v>
      </c>
      <c r="B313" s="21" t="s">
        <v>822</v>
      </c>
      <c r="C313" s="22"/>
      <c r="D313" s="23"/>
      <c r="E313" s="24" t="s">
        <v>194</v>
      </c>
      <c r="F313" s="25" t="n">
        <f>246</f>
        <v>246.0</v>
      </c>
      <c r="G313" s="26" t="n">
        <f>2207</f>
        <v>2207.0</v>
      </c>
      <c r="H313" s="26"/>
      <c r="I313" s="26" t="str">
        <f>"－"</f>
        <v>－</v>
      </c>
      <c r="J313" s="26" t="n">
        <f>9</f>
        <v>9.0</v>
      </c>
      <c r="K313" s="26" t="str">
        <f>"－"</f>
        <v>－</v>
      </c>
      <c r="L313" s="4" t="s">
        <v>837</v>
      </c>
      <c r="M313" s="27" t="n">
        <f>60</f>
        <v>60.0</v>
      </c>
      <c r="N313" s="5" t="s">
        <v>157</v>
      </c>
      <c r="O313" s="28" t="str">
        <f>"－"</f>
        <v>－</v>
      </c>
      <c r="P313" s="3" t="s">
        <v>838</v>
      </c>
      <c r="Q313" s="26"/>
      <c r="R313" s="3" t="s">
        <v>160</v>
      </c>
      <c r="S313" s="26" t="n">
        <f>1161204878</f>
        <v>1.161204878E9</v>
      </c>
      <c r="T313" s="26" t="str">
        <f>"－"</f>
        <v>－</v>
      </c>
      <c r="U313" s="5" t="s">
        <v>837</v>
      </c>
      <c r="V313" s="28" t="n">
        <f>8132000000</f>
        <v>8.132E9</v>
      </c>
      <c r="W313" s="5" t="s">
        <v>157</v>
      </c>
      <c r="X313" s="28" t="str">
        <f>"－"</f>
        <v>－</v>
      </c>
      <c r="Y313" s="28"/>
      <c r="Z313" s="26" t="str">
        <f>"－"</f>
        <v>－</v>
      </c>
      <c r="AA313" s="26" t="n">
        <f>142</f>
        <v>142.0</v>
      </c>
      <c r="AB313" s="4" t="s">
        <v>239</v>
      </c>
      <c r="AC313" s="27" t="n">
        <f>163</f>
        <v>163.0</v>
      </c>
      <c r="AD313" s="5" t="s">
        <v>434</v>
      </c>
      <c r="AE313" s="28" t="str">
        <f>"－"</f>
        <v>－</v>
      </c>
    </row>
    <row r="314">
      <c r="A314" s="20" t="s">
        <v>821</v>
      </c>
      <c r="B314" s="21" t="s">
        <v>822</v>
      </c>
      <c r="C314" s="22"/>
      <c r="D314" s="23"/>
      <c r="E314" s="24" t="s">
        <v>199</v>
      </c>
      <c r="F314" s="25" t="n">
        <f>247</f>
        <v>247.0</v>
      </c>
      <c r="G314" s="26" t="n">
        <f>1826</f>
        <v>1826.0</v>
      </c>
      <c r="H314" s="26"/>
      <c r="I314" s="26" t="str">
        <f>"－"</f>
        <v>－</v>
      </c>
      <c r="J314" s="26" t="n">
        <f>7</f>
        <v>7.0</v>
      </c>
      <c r="K314" s="26" t="str">
        <f>"－"</f>
        <v>－</v>
      </c>
      <c r="L314" s="4" t="s">
        <v>128</v>
      </c>
      <c r="M314" s="27" t="n">
        <f>61</f>
        <v>61.0</v>
      </c>
      <c r="N314" s="5" t="s">
        <v>541</v>
      </c>
      <c r="O314" s="28" t="str">
        <f>"－"</f>
        <v>－</v>
      </c>
      <c r="P314" s="3" t="s">
        <v>839</v>
      </c>
      <c r="Q314" s="26"/>
      <c r="R314" s="3" t="s">
        <v>160</v>
      </c>
      <c r="S314" s="26" t="n">
        <f>1040731822</f>
        <v>1.040731822E9</v>
      </c>
      <c r="T314" s="26" t="str">
        <f>"－"</f>
        <v>－</v>
      </c>
      <c r="U314" s="5" t="s">
        <v>128</v>
      </c>
      <c r="V314" s="28" t="n">
        <f>8957240000</f>
        <v>8.95724E9</v>
      </c>
      <c r="W314" s="5" t="s">
        <v>541</v>
      </c>
      <c r="X314" s="28" t="str">
        <f>"－"</f>
        <v>－</v>
      </c>
      <c r="Y314" s="28"/>
      <c r="Z314" s="26" t="str">
        <f>"－"</f>
        <v>－</v>
      </c>
      <c r="AA314" s="26" t="str">
        <f>"－"</f>
        <v>－</v>
      </c>
      <c r="AB314" s="4" t="s">
        <v>676</v>
      </c>
      <c r="AC314" s="27" t="n">
        <f>150</f>
        <v>150.0</v>
      </c>
      <c r="AD314" s="5" t="s">
        <v>184</v>
      </c>
      <c r="AE314" s="28" t="str">
        <f>"－"</f>
        <v>－</v>
      </c>
    </row>
    <row r="315">
      <c r="A315" s="20" t="s">
        <v>821</v>
      </c>
      <c r="B315" s="21" t="s">
        <v>822</v>
      </c>
      <c r="C315" s="22"/>
      <c r="D315" s="23"/>
      <c r="E315" s="24" t="s">
        <v>205</v>
      </c>
      <c r="F315" s="25" t="n">
        <f>247</f>
        <v>247.0</v>
      </c>
      <c r="G315" s="26" t="str">
        <f>"－"</f>
        <v>－</v>
      </c>
      <c r="H315" s="26"/>
      <c r="I315" s="26" t="str">
        <f>"－"</f>
        <v>－</v>
      </c>
      <c r="J315" s="26" t="str">
        <f>"－"</f>
        <v>－</v>
      </c>
      <c r="K315" s="26" t="str">
        <f>"－"</f>
        <v>－</v>
      </c>
      <c r="L315" s="4" t="s">
        <v>213</v>
      </c>
      <c r="M315" s="27" t="str">
        <f>"－"</f>
        <v>－</v>
      </c>
      <c r="N315" s="5" t="s">
        <v>213</v>
      </c>
      <c r="O315" s="28" t="str">
        <f>"－"</f>
        <v>－</v>
      </c>
      <c r="P315" s="3" t="s">
        <v>160</v>
      </c>
      <c r="Q315" s="26"/>
      <c r="R315" s="3" t="s">
        <v>160</v>
      </c>
      <c r="S315" s="26" t="str">
        <f>"－"</f>
        <v>－</v>
      </c>
      <c r="T315" s="26" t="str">
        <f>"－"</f>
        <v>－</v>
      </c>
      <c r="U315" s="5" t="s">
        <v>213</v>
      </c>
      <c r="V315" s="28" t="str">
        <f>"－"</f>
        <v>－</v>
      </c>
      <c r="W315" s="5" t="s">
        <v>213</v>
      </c>
      <c r="X315" s="28" t="str">
        <f>"－"</f>
        <v>－</v>
      </c>
      <c r="Y315" s="28"/>
      <c r="Z315" s="26" t="str">
        <f>"－"</f>
        <v>－</v>
      </c>
      <c r="AA315" s="26" t="str">
        <f>"－"</f>
        <v>－</v>
      </c>
      <c r="AB315" s="4" t="s">
        <v>213</v>
      </c>
      <c r="AC315" s="27" t="str">
        <f>"－"</f>
        <v>－</v>
      </c>
      <c r="AD315" s="5" t="s">
        <v>213</v>
      </c>
      <c r="AE315" s="28" t="str">
        <f>"－"</f>
        <v>－</v>
      </c>
    </row>
    <row r="316">
      <c r="A316" s="20" t="s">
        <v>821</v>
      </c>
      <c r="B316" s="21" t="s">
        <v>822</v>
      </c>
      <c r="C316" s="22"/>
      <c r="D316" s="23"/>
      <c r="E316" s="24" t="s">
        <v>210</v>
      </c>
      <c r="F316" s="25" t="n">
        <f>246</f>
        <v>246.0</v>
      </c>
      <c r="G316" s="26" t="str">
        <f>"－"</f>
        <v>－</v>
      </c>
      <c r="H316" s="26"/>
      <c r="I316" s="26" t="str">
        <f>"－"</f>
        <v>－</v>
      </c>
      <c r="J316" s="26" t="str">
        <f>"－"</f>
        <v>－</v>
      </c>
      <c r="K316" s="26" t="str">
        <f>"－"</f>
        <v>－</v>
      </c>
      <c r="L316" s="4" t="s">
        <v>213</v>
      </c>
      <c r="M316" s="27" t="str">
        <f>"－"</f>
        <v>－</v>
      </c>
      <c r="N316" s="5" t="s">
        <v>213</v>
      </c>
      <c r="O316" s="28" t="str">
        <f>"－"</f>
        <v>－</v>
      </c>
      <c r="P316" s="3" t="s">
        <v>160</v>
      </c>
      <c r="Q316" s="26"/>
      <c r="R316" s="3" t="s">
        <v>160</v>
      </c>
      <c r="S316" s="26" t="str">
        <f>"－"</f>
        <v>－</v>
      </c>
      <c r="T316" s="26" t="str">
        <f>"－"</f>
        <v>－</v>
      </c>
      <c r="U316" s="5" t="s">
        <v>213</v>
      </c>
      <c r="V316" s="28" t="str">
        <f>"－"</f>
        <v>－</v>
      </c>
      <c r="W316" s="5" t="s">
        <v>213</v>
      </c>
      <c r="X316" s="28" t="str">
        <f>"－"</f>
        <v>－</v>
      </c>
      <c r="Y316" s="28"/>
      <c r="Z316" s="26" t="str">
        <f>"－"</f>
        <v>－</v>
      </c>
      <c r="AA316" s="26" t="str">
        <f>"－"</f>
        <v>－</v>
      </c>
      <c r="AB316" s="4" t="s">
        <v>213</v>
      </c>
      <c r="AC316" s="27" t="str">
        <f>"－"</f>
        <v>－</v>
      </c>
      <c r="AD316" s="5" t="s">
        <v>213</v>
      </c>
      <c r="AE316" s="28" t="str">
        <f>"－"</f>
        <v>－</v>
      </c>
    </row>
    <row r="317">
      <c r="A317" s="20" t="s">
        <v>821</v>
      </c>
      <c r="B317" s="21" t="s">
        <v>822</v>
      </c>
      <c r="C317" s="22"/>
      <c r="D317" s="23"/>
      <c r="E317" s="24" t="s">
        <v>214</v>
      </c>
      <c r="F317" s="25" t="n">
        <f>246</f>
        <v>246.0</v>
      </c>
      <c r="G317" s="26" t="str">
        <f>"－"</f>
        <v>－</v>
      </c>
      <c r="H317" s="26"/>
      <c r="I317" s="26" t="str">
        <f>"－"</f>
        <v>－</v>
      </c>
      <c r="J317" s="26" t="str">
        <f>"－"</f>
        <v>－</v>
      </c>
      <c r="K317" s="26" t="str">
        <f>"－"</f>
        <v>－</v>
      </c>
      <c r="L317" s="4" t="s">
        <v>399</v>
      </c>
      <c r="M317" s="27" t="str">
        <f>"－"</f>
        <v>－</v>
      </c>
      <c r="N317" s="5" t="s">
        <v>399</v>
      </c>
      <c r="O317" s="28" t="str">
        <f>"－"</f>
        <v>－</v>
      </c>
      <c r="P317" s="3" t="s">
        <v>160</v>
      </c>
      <c r="Q317" s="26"/>
      <c r="R317" s="3" t="s">
        <v>160</v>
      </c>
      <c r="S317" s="26" t="str">
        <f>"－"</f>
        <v>－</v>
      </c>
      <c r="T317" s="26" t="str">
        <f>"－"</f>
        <v>－</v>
      </c>
      <c r="U317" s="5" t="s">
        <v>399</v>
      </c>
      <c r="V317" s="28" t="str">
        <f>"－"</f>
        <v>－</v>
      </c>
      <c r="W317" s="5" t="s">
        <v>399</v>
      </c>
      <c r="X317" s="28" t="str">
        <f>"－"</f>
        <v>－</v>
      </c>
      <c r="Y317" s="28"/>
      <c r="Z317" s="26" t="str">
        <f>"－"</f>
        <v>－</v>
      </c>
      <c r="AA317" s="26" t="str">
        <f>"－"</f>
        <v>－</v>
      </c>
      <c r="AB317" s="4" t="s">
        <v>399</v>
      </c>
      <c r="AC317" s="27" t="str">
        <f>"－"</f>
        <v>－</v>
      </c>
      <c r="AD317" s="5" t="s">
        <v>399</v>
      </c>
      <c r="AE317" s="28" t="str">
        <f>"－"</f>
        <v>－</v>
      </c>
    </row>
    <row r="318">
      <c r="A318" s="20" t="s">
        <v>821</v>
      </c>
      <c r="B318" s="21" t="s">
        <v>822</v>
      </c>
      <c r="C318" s="22"/>
      <c r="D318" s="23"/>
      <c r="E318" s="24" t="s">
        <v>219</v>
      </c>
      <c r="F318" s="25" t="n">
        <f>245</f>
        <v>245.0</v>
      </c>
      <c r="G318" s="26" t="str">
        <f>"－"</f>
        <v>－</v>
      </c>
      <c r="H318" s="26"/>
      <c r="I318" s="26" t="str">
        <f>"－"</f>
        <v>－</v>
      </c>
      <c r="J318" s="26" t="str">
        <f>"－"</f>
        <v>－</v>
      </c>
      <c r="K318" s="26" t="str">
        <f>"－"</f>
        <v>－</v>
      </c>
      <c r="L318" s="4" t="s">
        <v>389</v>
      </c>
      <c r="M318" s="27" t="str">
        <f>"－"</f>
        <v>－</v>
      </c>
      <c r="N318" s="5" t="s">
        <v>389</v>
      </c>
      <c r="O318" s="28" t="str">
        <f>"－"</f>
        <v>－</v>
      </c>
      <c r="P318" s="3" t="s">
        <v>160</v>
      </c>
      <c r="Q318" s="26"/>
      <c r="R318" s="3" t="s">
        <v>160</v>
      </c>
      <c r="S318" s="26" t="str">
        <f>"－"</f>
        <v>－</v>
      </c>
      <c r="T318" s="26" t="str">
        <f>"－"</f>
        <v>－</v>
      </c>
      <c r="U318" s="5" t="s">
        <v>389</v>
      </c>
      <c r="V318" s="28" t="str">
        <f>"－"</f>
        <v>－</v>
      </c>
      <c r="W318" s="5" t="s">
        <v>389</v>
      </c>
      <c r="X318" s="28" t="str">
        <f>"－"</f>
        <v>－</v>
      </c>
      <c r="Y318" s="28"/>
      <c r="Z318" s="26" t="str">
        <f>"－"</f>
        <v>－</v>
      </c>
      <c r="AA318" s="26" t="str">
        <f>"－"</f>
        <v>－</v>
      </c>
      <c r="AB318" s="4" t="s">
        <v>389</v>
      </c>
      <c r="AC318" s="27" t="str">
        <f>"－"</f>
        <v>－</v>
      </c>
      <c r="AD318" s="5" t="s">
        <v>389</v>
      </c>
      <c r="AE318" s="28" t="str">
        <f>"－"</f>
        <v>－</v>
      </c>
    </row>
    <row r="319">
      <c r="A319" s="20" t="s">
        <v>821</v>
      </c>
      <c r="B319" s="21" t="s">
        <v>822</v>
      </c>
      <c r="C319" s="22"/>
      <c r="D319" s="23"/>
      <c r="E319" s="24" t="s">
        <v>223</v>
      </c>
      <c r="F319" s="25" t="n">
        <f>114</f>
        <v>114.0</v>
      </c>
      <c r="G319" s="26" t="str">
        <f>"－"</f>
        <v>－</v>
      </c>
      <c r="H319" s="26"/>
      <c r="I319" s="26" t="str">
        <f>"－"</f>
        <v>－</v>
      </c>
      <c r="J319" s="26" t="str">
        <f>"－"</f>
        <v>－</v>
      </c>
      <c r="K319" s="26" t="str">
        <f>"－"</f>
        <v>－</v>
      </c>
      <c r="L319" s="4" t="s">
        <v>213</v>
      </c>
      <c r="M319" s="27" t="str">
        <f>"－"</f>
        <v>－</v>
      </c>
      <c r="N319" s="5" t="s">
        <v>213</v>
      </c>
      <c r="O319" s="28" t="str">
        <f>"－"</f>
        <v>－</v>
      </c>
      <c r="P319" s="3" t="s">
        <v>160</v>
      </c>
      <c r="Q319" s="26"/>
      <c r="R319" s="3" t="s">
        <v>160</v>
      </c>
      <c r="S319" s="26" t="str">
        <f>"－"</f>
        <v>－</v>
      </c>
      <c r="T319" s="26" t="str">
        <f>"－"</f>
        <v>－</v>
      </c>
      <c r="U319" s="5" t="s">
        <v>213</v>
      </c>
      <c r="V319" s="28" t="str">
        <f>"－"</f>
        <v>－</v>
      </c>
      <c r="W319" s="5" t="s">
        <v>213</v>
      </c>
      <c r="X319" s="28" t="str">
        <f>"－"</f>
        <v>－</v>
      </c>
      <c r="Y319" s="28"/>
      <c r="Z319" s="26" t="str">
        <f>"－"</f>
        <v>－</v>
      </c>
      <c r="AA319" s="26" t="str">
        <f>"－"</f>
        <v>－</v>
      </c>
      <c r="AB319" s="4" t="s">
        <v>213</v>
      </c>
      <c r="AC319" s="27" t="str">
        <f>"－"</f>
        <v>－</v>
      </c>
      <c r="AD319" s="5" t="s">
        <v>213</v>
      </c>
      <c r="AE319" s="28" t="str">
        <f>"－"</f>
        <v>－</v>
      </c>
    </row>
    <row r="320">
      <c r="A320" s="20" t="s">
        <v>821</v>
      </c>
      <c r="B320" s="21" t="s">
        <v>822</v>
      </c>
      <c r="C320" s="22"/>
      <c r="D320" s="23"/>
      <c r="E320" s="24" t="s">
        <v>48</v>
      </c>
      <c r="F320" s="25" t="n">
        <f>242</f>
        <v>242.0</v>
      </c>
      <c r="G320" s="26" t="n">
        <f>5652</f>
        <v>5652.0</v>
      </c>
      <c r="H320" s="26"/>
      <c r="I320" s="26" t="n">
        <f>1581</f>
        <v>1581.0</v>
      </c>
      <c r="J320" s="26" t="n">
        <f>23</f>
        <v>23.0</v>
      </c>
      <c r="K320" s="26" t="n">
        <f>7</f>
        <v>7.0</v>
      </c>
      <c r="L320" s="4" t="s">
        <v>545</v>
      </c>
      <c r="M320" s="27" t="n">
        <f>265</f>
        <v>265.0</v>
      </c>
      <c r="N320" s="5" t="s">
        <v>818</v>
      </c>
      <c r="O320" s="28" t="str">
        <f>"－"</f>
        <v>－</v>
      </c>
      <c r="P320" s="3" t="s">
        <v>840</v>
      </c>
      <c r="Q320" s="26"/>
      <c r="R320" s="3" t="s">
        <v>841</v>
      </c>
      <c r="S320" s="26" t="n">
        <f>4721759959</f>
        <v>4.721759959E9</v>
      </c>
      <c r="T320" s="26" t="n">
        <f>1316007314</f>
        <v>1.316007314E9</v>
      </c>
      <c r="U320" s="5" t="s">
        <v>545</v>
      </c>
      <c r="V320" s="28" t="n">
        <f>52645650000</f>
        <v>5.264565E10</v>
      </c>
      <c r="W320" s="5" t="s">
        <v>818</v>
      </c>
      <c r="X320" s="28" t="str">
        <f>"－"</f>
        <v>－</v>
      </c>
      <c r="Y320" s="28"/>
      <c r="Z320" s="26" t="n">
        <f>1117</f>
        <v>1117.0</v>
      </c>
      <c r="AA320" s="26" t="n">
        <f>1</f>
        <v>1.0</v>
      </c>
      <c r="AB320" s="4" t="s">
        <v>131</v>
      </c>
      <c r="AC320" s="27" t="n">
        <f>549</f>
        <v>549.0</v>
      </c>
      <c r="AD320" s="5" t="s">
        <v>706</v>
      </c>
      <c r="AE320" s="28" t="n">
        <f>1</f>
        <v>1.0</v>
      </c>
    </row>
    <row r="321">
      <c r="A321" s="20" t="s">
        <v>821</v>
      </c>
      <c r="B321" s="21" t="s">
        <v>822</v>
      </c>
      <c r="C321" s="22"/>
      <c r="D321" s="23"/>
      <c r="E321" s="24" t="s">
        <v>56</v>
      </c>
      <c r="F321" s="25" t="n">
        <f>245</f>
        <v>245.0</v>
      </c>
      <c r="G321" s="26" t="n">
        <f>2894</f>
        <v>2894.0</v>
      </c>
      <c r="H321" s="26"/>
      <c r="I321" s="26" t="n">
        <f>648</f>
        <v>648.0</v>
      </c>
      <c r="J321" s="26" t="n">
        <f>12</f>
        <v>12.0</v>
      </c>
      <c r="K321" s="26" t="n">
        <f>3</f>
        <v>3.0</v>
      </c>
      <c r="L321" s="4" t="s">
        <v>149</v>
      </c>
      <c r="M321" s="27" t="n">
        <f>153</f>
        <v>153.0</v>
      </c>
      <c r="N321" s="5" t="s">
        <v>213</v>
      </c>
      <c r="O321" s="28" t="str">
        <f>"－"</f>
        <v>－</v>
      </c>
      <c r="P321" s="3" t="s">
        <v>842</v>
      </c>
      <c r="Q321" s="26"/>
      <c r="R321" s="3" t="s">
        <v>843</v>
      </c>
      <c r="S321" s="26" t="n">
        <f>1640541184</f>
        <v>1.640541184E9</v>
      </c>
      <c r="T321" s="26" t="n">
        <f>376064367</f>
        <v>3.76064367E8</v>
      </c>
      <c r="U321" s="5" t="s">
        <v>149</v>
      </c>
      <c r="V321" s="28" t="n">
        <f>23278310000</f>
        <v>2.327831E10</v>
      </c>
      <c r="W321" s="5" t="s">
        <v>213</v>
      </c>
      <c r="X321" s="28" t="str">
        <f>"－"</f>
        <v>－</v>
      </c>
      <c r="Y321" s="28"/>
      <c r="Z321" s="26" t="n">
        <f>408</f>
        <v>408.0</v>
      </c>
      <c r="AA321" s="26" t="n">
        <f>44</f>
        <v>44.0</v>
      </c>
      <c r="AB321" s="4" t="s">
        <v>49</v>
      </c>
      <c r="AC321" s="27" t="n">
        <f>247</f>
        <v>247.0</v>
      </c>
      <c r="AD321" s="5" t="s">
        <v>844</v>
      </c>
      <c r="AE321" s="28" t="str">
        <f>"－"</f>
        <v>－</v>
      </c>
    </row>
    <row r="322">
      <c r="A322" s="20" t="s">
        <v>821</v>
      </c>
      <c r="B322" s="21" t="s">
        <v>822</v>
      </c>
      <c r="C322" s="22"/>
      <c r="D322" s="23"/>
      <c r="E322" s="24" t="s">
        <v>63</v>
      </c>
      <c r="F322" s="25" t="n">
        <f>245</f>
        <v>245.0</v>
      </c>
      <c r="G322" s="26" t="n">
        <f>431</f>
        <v>431.0</v>
      </c>
      <c r="H322" s="26"/>
      <c r="I322" s="26" t="n">
        <f>70</f>
        <v>70.0</v>
      </c>
      <c r="J322" s="26" t="n">
        <f>2</f>
        <v>2.0</v>
      </c>
      <c r="K322" s="26" t="n">
        <f>0</f>
        <v>0.0</v>
      </c>
      <c r="L322" s="4" t="s">
        <v>286</v>
      </c>
      <c r="M322" s="27" t="n">
        <f>82</f>
        <v>82.0</v>
      </c>
      <c r="N322" s="5" t="s">
        <v>619</v>
      </c>
      <c r="O322" s="28" t="str">
        <f>"－"</f>
        <v>－</v>
      </c>
      <c r="P322" s="3" t="s">
        <v>845</v>
      </c>
      <c r="Q322" s="26"/>
      <c r="R322" s="3" t="s">
        <v>846</v>
      </c>
      <c r="S322" s="26" t="n">
        <f>278160163</f>
        <v>2.78160163E8</v>
      </c>
      <c r="T322" s="26" t="n">
        <f>46110000</f>
        <v>4.611E7</v>
      </c>
      <c r="U322" s="5" t="s">
        <v>286</v>
      </c>
      <c r="V322" s="28" t="n">
        <f>13234050000</f>
        <v>1.323405E10</v>
      </c>
      <c r="W322" s="5" t="s">
        <v>619</v>
      </c>
      <c r="X322" s="28" t="str">
        <f>"－"</f>
        <v>－</v>
      </c>
      <c r="Y322" s="28"/>
      <c r="Z322" s="26" t="n">
        <f>79</f>
        <v>79.0</v>
      </c>
      <c r="AA322" s="26" t="n">
        <f>23</f>
        <v>23.0</v>
      </c>
      <c r="AB322" s="4" t="s">
        <v>239</v>
      </c>
      <c r="AC322" s="27" t="n">
        <f>59</f>
        <v>59.0</v>
      </c>
      <c r="AD322" s="5" t="s">
        <v>638</v>
      </c>
      <c r="AE322" s="28" t="n">
        <f>2</f>
        <v>2.0</v>
      </c>
    </row>
    <row r="323">
      <c r="A323" s="20" t="s">
        <v>821</v>
      </c>
      <c r="B323" s="21" t="s">
        <v>822</v>
      </c>
      <c r="C323" s="22"/>
      <c r="D323" s="23"/>
      <c r="E323" s="24" t="s">
        <v>70</v>
      </c>
      <c r="F323" s="25" t="n">
        <f>245</f>
        <v>245.0</v>
      </c>
      <c r="G323" s="26" t="n">
        <f>222</f>
        <v>222.0</v>
      </c>
      <c r="H323" s="26"/>
      <c r="I323" s="26" t="str">
        <f>"－"</f>
        <v>－</v>
      </c>
      <c r="J323" s="26" t="n">
        <f>1</f>
        <v>1.0</v>
      </c>
      <c r="K323" s="26" t="str">
        <f>"－"</f>
        <v>－</v>
      </c>
      <c r="L323" s="4" t="s">
        <v>286</v>
      </c>
      <c r="M323" s="27" t="n">
        <f>16</f>
        <v>16.0</v>
      </c>
      <c r="N323" s="5" t="s">
        <v>399</v>
      </c>
      <c r="O323" s="28" t="str">
        <f>"－"</f>
        <v>－</v>
      </c>
      <c r="P323" s="3" t="s">
        <v>847</v>
      </c>
      <c r="Q323" s="26"/>
      <c r="R323" s="3" t="s">
        <v>160</v>
      </c>
      <c r="S323" s="26" t="n">
        <f>140243959</f>
        <v>1.40243959E8</v>
      </c>
      <c r="T323" s="26" t="str">
        <f>"－"</f>
        <v>－</v>
      </c>
      <c r="U323" s="5" t="s">
        <v>286</v>
      </c>
      <c r="V323" s="28" t="n">
        <f>2484480000</f>
        <v>2.48448E9</v>
      </c>
      <c r="W323" s="5" t="s">
        <v>399</v>
      </c>
      <c r="X323" s="28" t="str">
        <f>"－"</f>
        <v>－</v>
      </c>
      <c r="Y323" s="28"/>
      <c r="Z323" s="26" t="n">
        <f>7</f>
        <v>7.0</v>
      </c>
      <c r="AA323" s="26" t="n">
        <f>1</f>
        <v>1.0</v>
      </c>
      <c r="AB323" s="4" t="s">
        <v>474</v>
      </c>
      <c r="AC323" s="27" t="n">
        <f>24</f>
        <v>24.0</v>
      </c>
      <c r="AD323" s="5" t="s">
        <v>562</v>
      </c>
      <c r="AE323" s="28" t="n">
        <f>1</f>
        <v>1.0</v>
      </c>
    </row>
    <row r="324">
      <c r="A324" s="20" t="s">
        <v>821</v>
      </c>
      <c r="B324" s="21" t="s">
        <v>822</v>
      </c>
      <c r="C324" s="22"/>
      <c r="D324" s="23"/>
      <c r="E324" s="24" t="s">
        <v>76</v>
      </c>
      <c r="F324" s="25" t="n">
        <f>244</f>
        <v>244.0</v>
      </c>
      <c r="G324" s="26" t="n">
        <f>138</f>
        <v>138.0</v>
      </c>
      <c r="H324" s="26"/>
      <c r="I324" s="26" t="str">
        <f>"－"</f>
        <v>－</v>
      </c>
      <c r="J324" s="26" t="n">
        <f>1</f>
        <v>1.0</v>
      </c>
      <c r="K324" s="26" t="str">
        <f>"－"</f>
        <v>－</v>
      </c>
      <c r="L324" s="4" t="s">
        <v>90</v>
      </c>
      <c r="M324" s="27" t="n">
        <f>13</f>
        <v>13.0</v>
      </c>
      <c r="N324" s="5" t="s">
        <v>389</v>
      </c>
      <c r="O324" s="28" t="str">
        <f>"－"</f>
        <v>－</v>
      </c>
      <c r="P324" s="3" t="s">
        <v>848</v>
      </c>
      <c r="Q324" s="26"/>
      <c r="R324" s="3" t="s">
        <v>160</v>
      </c>
      <c r="S324" s="26" t="n">
        <f>88226762</f>
        <v>8.8226762E7</v>
      </c>
      <c r="T324" s="26" t="str">
        <f>"－"</f>
        <v>－</v>
      </c>
      <c r="U324" s="5" t="s">
        <v>90</v>
      </c>
      <c r="V324" s="28" t="n">
        <f>2032190000</f>
        <v>2.03219E9</v>
      </c>
      <c r="W324" s="5" t="s">
        <v>389</v>
      </c>
      <c r="X324" s="28" t="str">
        <f>"－"</f>
        <v>－</v>
      </c>
      <c r="Y324" s="28"/>
      <c r="Z324" s="26" t="str">
        <f>"－"</f>
        <v>－</v>
      </c>
      <c r="AA324" s="26" t="n">
        <f>3</f>
        <v>3.0</v>
      </c>
      <c r="AB324" s="4" t="s">
        <v>462</v>
      </c>
      <c r="AC324" s="27" t="n">
        <f>11</f>
        <v>11.0</v>
      </c>
      <c r="AD324" s="5" t="s">
        <v>565</v>
      </c>
      <c r="AE324" s="28" t="str">
        <f>"－"</f>
        <v>－</v>
      </c>
    </row>
    <row r="325">
      <c r="A325" s="20" t="s">
        <v>821</v>
      </c>
      <c r="B325" s="21" t="s">
        <v>822</v>
      </c>
      <c r="C325" s="22"/>
      <c r="D325" s="23"/>
      <c r="E325" s="24" t="s">
        <v>81</v>
      </c>
      <c r="F325" s="25" t="n">
        <f>241</f>
        <v>241.0</v>
      </c>
      <c r="G325" s="26" t="n">
        <f>19</f>
        <v>19.0</v>
      </c>
      <c r="H325" s="26"/>
      <c r="I325" s="26" t="str">
        <f>"－"</f>
        <v>－</v>
      </c>
      <c r="J325" s="26" t="n">
        <f>0</f>
        <v>0.0</v>
      </c>
      <c r="K325" s="26" t="str">
        <f>"－"</f>
        <v>－</v>
      </c>
      <c r="L325" s="4" t="s">
        <v>448</v>
      </c>
      <c r="M325" s="27" t="n">
        <f>6</f>
        <v>6.0</v>
      </c>
      <c r="N325" s="5" t="s">
        <v>213</v>
      </c>
      <c r="O325" s="28" t="str">
        <f>"－"</f>
        <v>－</v>
      </c>
      <c r="P325" s="3" t="s">
        <v>849</v>
      </c>
      <c r="Q325" s="26"/>
      <c r="R325" s="3" t="s">
        <v>160</v>
      </c>
      <c r="S325" s="26" t="n">
        <f>12645145</f>
        <v>1.2645145E7</v>
      </c>
      <c r="T325" s="26" t="str">
        <f>"－"</f>
        <v>－</v>
      </c>
      <c r="U325" s="5" t="s">
        <v>448</v>
      </c>
      <c r="V325" s="28" t="n">
        <f>956820000</f>
        <v>9.5682E8</v>
      </c>
      <c r="W325" s="5" t="s">
        <v>213</v>
      </c>
      <c r="X325" s="28" t="str">
        <f>"－"</f>
        <v>－</v>
      </c>
      <c r="Y325" s="28"/>
      <c r="Z325" s="26" t="str">
        <f>"－"</f>
        <v>－</v>
      </c>
      <c r="AA325" s="26" t="str">
        <f>"－"</f>
        <v>－</v>
      </c>
      <c r="AB325" s="4" t="s">
        <v>794</v>
      </c>
      <c r="AC325" s="27" t="n">
        <f>6</f>
        <v>6.0</v>
      </c>
      <c r="AD325" s="5" t="s">
        <v>174</v>
      </c>
      <c r="AE325" s="28" t="str">
        <f>"－"</f>
        <v>－</v>
      </c>
    </row>
    <row r="326">
      <c r="A326" s="20" t="s">
        <v>821</v>
      </c>
      <c r="B326" s="21" t="s">
        <v>822</v>
      </c>
      <c r="C326" s="22"/>
      <c r="D326" s="23"/>
      <c r="E326" s="24" t="s">
        <v>87</v>
      </c>
      <c r="F326" s="25" t="n">
        <f>245</f>
        <v>245.0</v>
      </c>
      <c r="G326" s="26" t="str">
        <f>"－"</f>
        <v>－</v>
      </c>
      <c r="H326" s="26"/>
      <c r="I326" s="26" t="str">
        <f>"－"</f>
        <v>－</v>
      </c>
      <c r="J326" s="26" t="str">
        <f>"－"</f>
        <v>－</v>
      </c>
      <c r="K326" s="26" t="str">
        <f>"－"</f>
        <v>－</v>
      </c>
      <c r="L326" s="4" t="s">
        <v>213</v>
      </c>
      <c r="M326" s="27" t="str">
        <f>"－"</f>
        <v>－</v>
      </c>
      <c r="N326" s="5" t="s">
        <v>213</v>
      </c>
      <c r="O326" s="28" t="str">
        <f>"－"</f>
        <v>－</v>
      </c>
      <c r="P326" s="3" t="s">
        <v>160</v>
      </c>
      <c r="Q326" s="26"/>
      <c r="R326" s="3" t="s">
        <v>160</v>
      </c>
      <c r="S326" s="26" t="str">
        <f>"－"</f>
        <v>－</v>
      </c>
      <c r="T326" s="26" t="str">
        <f>"－"</f>
        <v>－</v>
      </c>
      <c r="U326" s="5" t="s">
        <v>213</v>
      </c>
      <c r="V326" s="28" t="str">
        <f>"－"</f>
        <v>－</v>
      </c>
      <c r="W326" s="5" t="s">
        <v>213</v>
      </c>
      <c r="X326" s="28" t="str">
        <f>"－"</f>
        <v>－</v>
      </c>
      <c r="Y326" s="28"/>
      <c r="Z326" s="26" t="str">
        <f>"－"</f>
        <v>－</v>
      </c>
      <c r="AA326" s="26" t="str">
        <f>"－"</f>
        <v>－</v>
      </c>
      <c r="AB326" s="4" t="s">
        <v>213</v>
      </c>
      <c r="AC326" s="27" t="str">
        <f>"－"</f>
        <v>－</v>
      </c>
      <c r="AD326" s="5" t="s">
        <v>213</v>
      </c>
      <c r="AE326" s="28" t="str">
        <f>"－"</f>
        <v>－</v>
      </c>
    </row>
    <row r="327">
      <c r="A327" s="20" t="s">
        <v>821</v>
      </c>
      <c r="B327" s="21" t="s">
        <v>822</v>
      </c>
      <c r="C327" s="22"/>
      <c r="D327" s="23"/>
      <c r="E327" s="24" t="s">
        <v>92</v>
      </c>
      <c r="F327" s="25" t="n">
        <f>244</f>
        <v>244.0</v>
      </c>
      <c r="G327" s="26" t="str">
        <f>"－"</f>
        <v>－</v>
      </c>
      <c r="H327" s="26"/>
      <c r="I327" s="26" t="str">
        <f>"－"</f>
        <v>－</v>
      </c>
      <c r="J327" s="26" t="str">
        <f>"－"</f>
        <v>－</v>
      </c>
      <c r="K327" s="26" t="str">
        <f>"－"</f>
        <v>－</v>
      </c>
      <c r="L327" s="4" t="s">
        <v>213</v>
      </c>
      <c r="M327" s="27" t="str">
        <f>"－"</f>
        <v>－</v>
      </c>
      <c r="N327" s="5" t="s">
        <v>213</v>
      </c>
      <c r="O327" s="28" t="str">
        <f>"－"</f>
        <v>－</v>
      </c>
      <c r="P327" s="3" t="s">
        <v>160</v>
      </c>
      <c r="Q327" s="26"/>
      <c r="R327" s="3" t="s">
        <v>160</v>
      </c>
      <c r="S327" s="26" t="str">
        <f>"－"</f>
        <v>－</v>
      </c>
      <c r="T327" s="26" t="str">
        <f>"－"</f>
        <v>－</v>
      </c>
      <c r="U327" s="5" t="s">
        <v>213</v>
      </c>
      <c r="V327" s="28" t="str">
        <f>"－"</f>
        <v>－</v>
      </c>
      <c r="W327" s="5" t="s">
        <v>213</v>
      </c>
      <c r="X327" s="28" t="str">
        <f>"－"</f>
        <v>－</v>
      </c>
      <c r="Y327" s="28"/>
      <c r="Z327" s="26" t="str">
        <f>"－"</f>
        <v>－</v>
      </c>
      <c r="AA327" s="26" t="str">
        <f>"－"</f>
        <v>－</v>
      </c>
      <c r="AB327" s="4" t="s">
        <v>213</v>
      </c>
      <c r="AC327" s="27" t="str">
        <f>"－"</f>
        <v>－</v>
      </c>
      <c r="AD327" s="5" t="s">
        <v>213</v>
      </c>
      <c r="AE327" s="28" t="str">
        <f>"－"</f>
        <v>－</v>
      </c>
    </row>
    <row r="328">
      <c r="A328" s="20" t="s">
        <v>821</v>
      </c>
      <c r="B328" s="21" t="s">
        <v>822</v>
      </c>
      <c r="C328" s="22"/>
      <c r="D328" s="23"/>
      <c r="E328" s="24" t="s">
        <v>98</v>
      </c>
      <c r="F328" s="25" t="n">
        <f>245</f>
        <v>245.0</v>
      </c>
      <c r="G328" s="26" t="n">
        <f>72</f>
        <v>72.0</v>
      </c>
      <c r="H328" s="26"/>
      <c r="I328" s="26" t="n">
        <f>3</f>
        <v>3.0</v>
      </c>
      <c r="J328" s="26" t="n">
        <f>0</f>
        <v>0.0</v>
      </c>
      <c r="K328" s="26" t="n">
        <f>0</f>
        <v>0.0</v>
      </c>
      <c r="L328" s="4" t="s">
        <v>474</v>
      </c>
      <c r="M328" s="27" t="n">
        <f>13</f>
        <v>13.0</v>
      </c>
      <c r="N328" s="5" t="s">
        <v>213</v>
      </c>
      <c r="O328" s="28" t="str">
        <f>"－"</f>
        <v>－</v>
      </c>
      <c r="P328" s="3" t="s">
        <v>850</v>
      </c>
      <c r="Q328" s="26"/>
      <c r="R328" s="3" t="s">
        <v>851</v>
      </c>
      <c r="S328" s="26" t="n">
        <f>4417845</f>
        <v>4417845.0</v>
      </c>
      <c r="T328" s="26" t="n">
        <f>183184</f>
        <v>183184.0</v>
      </c>
      <c r="U328" s="5" t="s">
        <v>474</v>
      </c>
      <c r="V328" s="28" t="n">
        <f>195128000</f>
        <v>1.95128E8</v>
      </c>
      <c r="W328" s="5" t="s">
        <v>213</v>
      </c>
      <c r="X328" s="28" t="str">
        <f>"－"</f>
        <v>－</v>
      </c>
      <c r="Y328" s="28"/>
      <c r="Z328" s="26" t="n">
        <f>6</f>
        <v>6.0</v>
      </c>
      <c r="AA328" s="26" t="str">
        <f>"－"</f>
        <v>－</v>
      </c>
      <c r="AB328" s="4" t="s">
        <v>531</v>
      </c>
      <c r="AC328" s="27" t="n">
        <f>15</f>
        <v>15.0</v>
      </c>
      <c r="AD328" s="5" t="s">
        <v>213</v>
      </c>
      <c r="AE328" s="28" t="str">
        <f>"－"</f>
        <v>－</v>
      </c>
    </row>
    <row r="329">
      <c r="A329" s="20" t="s">
        <v>821</v>
      </c>
      <c r="B329" s="21" t="s">
        <v>822</v>
      </c>
      <c r="C329" s="22"/>
      <c r="D329" s="23"/>
      <c r="E329" s="24" t="s">
        <v>103</v>
      </c>
      <c r="F329" s="25" t="n">
        <f>244</f>
        <v>244.0</v>
      </c>
      <c r="G329" s="26" t="str">
        <f>"－"</f>
        <v>－</v>
      </c>
      <c r="H329" s="26"/>
      <c r="I329" s="26" t="str">
        <f>"－"</f>
        <v>－</v>
      </c>
      <c r="J329" s="26" t="str">
        <f>"－"</f>
        <v>－</v>
      </c>
      <c r="K329" s="26" t="str">
        <f>"－"</f>
        <v>－</v>
      </c>
      <c r="L329" s="4" t="s">
        <v>399</v>
      </c>
      <c r="M329" s="27" t="str">
        <f>"－"</f>
        <v>－</v>
      </c>
      <c r="N329" s="5" t="s">
        <v>399</v>
      </c>
      <c r="O329" s="28" t="str">
        <f>"－"</f>
        <v>－</v>
      </c>
      <c r="P329" s="3" t="s">
        <v>160</v>
      </c>
      <c r="Q329" s="26"/>
      <c r="R329" s="3" t="s">
        <v>160</v>
      </c>
      <c r="S329" s="26" t="str">
        <f>"－"</f>
        <v>－</v>
      </c>
      <c r="T329" s="26" t="str">
        <f>"－"</f>
        <v>－</v>
      </c>
      <c r="U329" s="5" t="s">
        <v>399</v>
      </c>
      <c r="V329" s="28" t="str">
        <f>"－"</f>
        <v>－</v>
      </c>
      <c r="W329" s="5" t="s">
        <v>399</v>
      </c>
      <c r="X329" s="28" t="str">
        <f>"－"</f>
        <v>－</v>
      </c>
      <c r="Y329" s="28"/>
      <c r="Z329" s="26" t="str">
        <f>"－"</f>
        <v>－</v>
      </c>
      <c r="AA329" s="26" t="str">
        <f>"－"</f>
        <v>－</v>
      </c>
      <c r="AB329" s="4" t="s">
        <v>399</v>
      </c>
      <c r="AC329" s="27" t="str">
        <f>"－"</f>
        <v>－</v>
      </c>
      <c r="AD329" s="5" t="s">
        <v>399</v>
      </c>
      <c r="AE329" s="28" t="str">
        <f>"－"</f>
        <v>－</v>
      </c>
    </row>
    <row r="330">
      <c r="A330" s="20" t="s">
        <v>852</v>
      </c>
      <c r="B330" s="21" t="s">
        <v>853</v>
      </c>
      <c r="C330" s="22"/>
      <c r="D330" s="23"/>
      <c r="E330" s="24" t="s">
        <v>103</v>
      </c>
      <c r="F330" s="25" t="n">
        <f>207</f>
        <v>207.0</v>
      </c>
      <c r="G330" s="26" t="n">
        <f>651124</f>
        <v>651124.0</v>
      </c>
      <c r="H330" s="26"/>
      <c r="I330" s="26" t="n">
        <f>2262</f>
        <v>2262.0</v>
      </c>
      <c r="J330" s="26" t="n">
        <f>3146</f>
        <v>3146.0</v>
      </c>
      <c r="K330" s="26" t="n">
        <f>11</f>
        <v>11.0</v>
      </c>
      <c r="L330" s="4" t="s">
        <v>71</v>
      </c>
      <c r="M330" s="27" t="n">
        <f>18461</f>
        <v>18461.0</v>
      </c>
      <c r="N330" s="5" t="s">
        <v>82</v>
      </c>
      <c r="O330" s="28" t="str">
        <f>"－"</f>
        <v>－</v>
      </c>
      <c r="P330" s="3" t="s">
        <v>854</v>
      </c>
      <c r="Q330" s="26"/>
      <c r="R330" s="3" t="s">
        <v>855</v>
      </c>
      <c r="S330" s="26" t="n">
        <f>78555471337</f>
        <v>7.8555471337E10</v>
      </c>
      <c r="T330" s="26" t="n">
        <f>272847973</f>
        <v>2.72847973E8</v>
      </c>
      <c r="U330" s="5" t="s">
        <v>71</v>
      </c>
      <c r="V330" s="28" t="n">
        <f>460767715350</f>
        <v>4.6076771535E11</v>
      </c>
      <c r="W330" s="5" t="s">
        <v>82</v>
      </c>
      <c r="X330" s="28" t="str">
        <f>"－"</f>
        <v>－</v>
      </c>
      <c r="Y330" s="28"/>
      <c r="Z330" s="26" t="n">
        <f>24381</f>
        <v>24381.0</v>
      </c>
      <c r="AA330" s="26" t="n">
        <f>18500</f>
        <v>18500.0</v>
      </c>
      <c r="AB330" s="4" t="s">
        <v>351</v>
      </c>
      <c r="AC330" s="27" t="n">
        <f>26382</f>
        <v>26382.0</v>
      </c>
      <c r="AD330" s="5" t="s">
        <v>152</v>
      </c>
      <c r="AE330" s="28" t="n">
        <f>2694</f>
        <v>2694.0</v>
      </c>
    </row>
    <row r="331">
      <c r="A331" s="20" t="s">
        <v>856</v>
      </c>
      <c r="B331" s="21" t="s">
        <v>857</v>
      </c>
      <c r="C331" s="22"/>
      <c r="D331" s="23"/>
      <c r="E331" s="24" t="s">
        <v>87</v>
      </c>
      <c r="F331" s="25" t="n">
        <f>168</f>
        <v>168.0</v>
      </c>
      <c r="G331" s="26" t="n">
        <f>5289267</f>
        <v>5289267.0</v>
      </c>
      <c r="H331" s="26"/>
      <c r="I331" s="26" t="n">
        <f>2962</f>
        <v>2962.0</v>
      </c>
      <c r="J331" s="26" t="n">
        <f>31484</f>
        <v>31484.0</v>
      </c>
      <c r="K331" s="26" t="n">
        <f>18</f>
        <v>18.0</v>
      </c>
      <c r="L331" s="4" t="s">
        <v>560</v>
      </c>
      <c r="M331" s="27" t="n">
        <f>134115</f>
        <v>134115.0</v>
      </c>
      <c r="N331" s="5" t="s">
        <v>82</v>
      </c>
      <c r="O331" s="28" t="n">
        <f>9162</f>
        <v>9162.0</v>
      </c>
      <c r="P331" s="3" t="s">
        <v>858</v>
      </c>
      <c r="Q331" s="26"/>
      <c r="R331" s="3" t="s">
        <v>859</v>
      </c>
      <c r="S331" s="26" t="n">
        <f>200469822970</f>
        <v>2.0046982297E11</v>
      </c>
      <c r="T331" s="26" t="n">
        <f>112296560</f>
        <v>1.1229656E8</v>
      </c>
      <c r="U331" s="5" t="s">
        <v>560</v>
      </c>
      <c r="V331" s="28" t="n">
        <f>887417994000</f>
        <v>8.87417994E11</v>
      </c>
      <c r="W331" s="5" t="s">
        <v>82</v>
      </c>
      <c r="X331" s="28" t="n">
        <f>57443408000</f>
        <v>5.7443408E10</v>
      </c>
      <c r="Y331" s="28"/>
      <c r="Z331" s="26" t="n">
        <f>1173</f>
        <v>1173.0</v>
      </c>
      <c r="AA331" s="26" t="n">
        <f>49457</f>
        <v>49457.0</v>
      </c>
      <c r="AB331" s="4" t="s">
        <v>336</v>
      </c>
      <c r="AC331" s="27" t="n">
        <f>59942</f>
        <v>59942.0</v>
      </c>
      <c r="AD331" s="5" t="s">
        <v>181</v>
      </c>
      <c r="AE331" s="28" t="n">
        <f>43437</f>
        <v>43437.0</v>
      </c>
    </row>
    <row r="332">
      <c r="A332" s="20" t="s">
        <v>856</v>
      </c>
      <c r="B332" s="21" t="s">
        <v>857</v>
      </c>
      <c r="C332" s="22"/>
      <c r="D332" s="23"/>
      <c r="E332" s="24" t="s">
        <v>92</v>
      </c>
      <c r="F332" s="25" t="n">
        <f>244</f>
        <v>244.0</v>
      </c>
      <c r="G332" s="26" t="n">
        <f>6672239</f>
        <v>6672239.0</v>
      </c>
      <c r="H332" s="26"/>
      <c r="I332" s="26" t="n">
        <f>804</f>
        <v>804.0</v>
      </c>
      <c r="J332" s="26" t="n">
        <f>27345</f>
        <v>27345.0</v>
      </c>
      <c r="K332" s="26" t="n">
        <f>3</f>
        <v>3.0</v>
      </c>
      <c r="L332" s="4" t="s">
        <v>61</v>
      </c>
      <c r="M332" s="27" t="n">
        <f>132967</f>
        <v>132967.0</v>
      </c>
      <c r="N332" s="5" t="s">
        <v>580</v>
      </c>
      <c r="O332" s="28" t="n">
        <f>5466</f>
        <v>5466.0</v>
      </c>
      <c r="P332" s="3" t="s">
        <v>860</v>
      </c>
      <c r="Q332" s="26"/>
      <c r="R332" s="3" t="s">
        <v>861</v>
      </c>
      <c r="S332" s="26" t="n">
        <f>182577745012</f>
        <v>1.82577745012E11</v>
      </c>
      <c r="T332" s="26" t="n">
        <f>21803561</f>
        <v>2.1803561E7</v>
      </c>
      <c r="U332" s="5" t="s">
        <v>61</v>
      </c>
      <c r="V332" s="28" t="n">
        <f>1004823275000</f>
        <v>1.004823275E12</v>
      </c>
      <c r="W332" s="5" t="s">
        <v>580</v>
      </c>
      <c r="X332" s="28" t="n">
        <f>33931210000</f>
        <v>3.393121E10</v>
      </c>
      <c r="Y332" s="28"/>
      <c r="Z332" s="26" t="n">
        <f>1404</f>
        <v>1404.0</v>
      </c>
      <c r="AA332" s="26" t="n">
        <f>38461</f>
        <v>38461.0</v>
      </c>
      <c r="AB332" s="4" t="s">
        <v>862</v>
      </c>
      <c r="AC332" s="27" t="n">
        <f>53454</f>
        <v>53454.0</v>
      </c>
      <c r="AD332" s="5" t="s">
        <v>55</v>
      </c>
      <c r="AE332" s="28" t="n">
        <f>37680</f>
        <v>37680.0</v>
      </c>
    </row>
    <row r="333">
      <c r="A333" s="20" t="s">
        <v>856</v>
      </c>
      <c r="B333" s="21" t="s">
        <v>857</v>
      </c>
      <c r="C333" s="22"/>
      <c r="D333" s="23"/>
      <c r="E333" s="24" t="s">
        <v>98</v>
      </c>
      <c r="F333" s="25" t="n">
        <f>245</f>
        <v>245.0</v>
      </c>
      <c r="G333" s="26" t="n">
        <f>7008630</f>
        <v>7008630.0</v>
      </c>
      <c r="H333" s="26"/>
      <c r="I333" s="26" t="n">
        <f>881</f>
        <v>881.0</v>
      </c>
      <c r="J333" s="26" t="n">
        <f>28607</f>
        <v>28607.0</v>
      </c>
      <c r="K333" s="26" t="n">
        <f>4</f>
        <v>4.0</v>
      </c>
      <c r="L333" s="4" t="s">
        <v>863</v>
      </c>
      <c r="M333" s="27" t="n">
        <f>86372</f>
        <v>86372.0</v>
      </c>
      <c r="N333" s="5" t="s">
        <v>93</v>
      </c>
      <c r="O333" s="28" t="n">
        <f>10209</f>
        <v>10209.0</v>
      </c>
      <c r="P333" s="3" t="s">
        <v>864</v>
      </c>
      <c r="Q333" s="26"/>
      <c r="R333" s="3" t="s">
        <v>865</v>
      </c>
      <c r="S333" s="26" t="n">
        <f>224110951853</f>
        <v>2.24110951853E11</v>
      </c>
      <c r="T333" s="26" t="n">
        <f>28186841</f>
        <v>2.8186841E7</v>
      </c>
      <c r="U333" s="5" t="s">
        <v>863</v>
      </c>
      <c r="V333" s="28" t="n">
        <f>678364997000</f>
        <v>6.78364997E11</v>
      </c>
      <c r="W333" s="5" t="s">
        <v>93</v>
      </c>
      <c r="X333" s="28" t="n">
        <f>78623270000</f>
        <v>7.862327E10</v>
      </c>
      <c r="Y333" s="28"/>
      <c r="Z333" s="26" t="n">
        <f>4</f>
        <v>4.0</v>
      </c>
      <c r="AA333" s="26" t="n">
        <f>36050</f>
        <v>36050.0</v>
      </c>
      <c r="AB333" s="4" t="s">
        <v>102</v>
      </c>
      <c r="AC333" s="27" t="n">
        <f>57426</f>
        <v>57426.0</v>
      </c>
      <c r="AD333" s="5" t="s">
        <v>834</v>
      </c>
      <c r="AE333" s="28" t="n">
        <f>34142</f>
        <v>34142.0</v>
      </c>
    </row>
    <row r="334">
      <c r="A334" s="20" t="s">
        <v>856</v>
      </c>
      <c r="B334" s="21" t="s">
        <v>857</v>
      </c>
      <c r="C334" s="22"/>
      <c r="D334" s="23"/>
      <c r="E334" s="24" t="s">
        <v>103</v>
      </c>
      <c r="F334" s="25" t="n">
        <f>244</f>
        <v>244.0</v>
      </c>
      <c r="G334" s="26" t="n">
        <f>8115580</f>
        <v>8115580.0</v>
      </c>
      <c r="H334" s="26"/>
      <c r="I334" s="26" t="n">
        <f>1280</f>
        <v>1280.0</v>
      </c>
      <c r="J334" s="26" t="n">
        <f>33261</f>
        <v>33261.0</v>
      </c>
      <c r="K334" s="26" t="n">
        <f>5</f>
        <v>5.0</v>
      </c>
      <c r="L334" s="4" t="s">
        <v>144</v>
      </c>
      <c r="M334" s="27" t="n">
        <f>101641</f>
        <v>101641.0</v>
      </c>
      <c r="N334" s="5" t="s">
        <v>431</v>
      </c>
      <c r="O334" s="28" t="n">
        <f>10317</f>
        <v>10317.0</v>
      </c>
      <c r="P334" s="3" t="s">
        <v>866</v>
      </c>
      <c r="Q334" s="26"/>
      <c r="R334" s="3" t="s">
        <v>867</v>
      </c>
      <c r="S334" s="26" t="n">
        <f>309074943049</f>
        <v>3.09074943049E11</v>
      </c>
      <c r="T334" s="26" t="n">
        <f>49507672</f>
        <v>4.9507672E7</v>
      </c>
      <c r="U334" s="5" t="s">
        <v>147</v>
      </c>
      <c r="V334" s="28" t="n">
        <f>1060235220000</f>
        <v>1.06023522E12</v>
      </c>
      <c r="W334" s="5" t="s">
        <v>431</v>
      </c>
      <c r="X334" s="28" t="n">
        <f>87647988000</f>
        <v>8.7647988E10</v>
      </c>
      <c r="Y334" s="28"/>
      <c r="Z334" s="26" t="n">
        <f>15537</f>
        <v>15537.0</v>
      </c>
      <c r="AA334" s="26" t="n">
        <f>38529</f>
        <v>38529.0</v>
      </c>
      <c r="AB334" s="4" t="s">
        <v>170</v>
      </c>
      <c r="AC334" s="27" t="n">
        <f>57396</f>
        <v>57396.0</v>
      </c>
      <c r="AD334" s="5" t="s">
        <v>868</v>
      </c>
      <c r="AE334" s="28" t="n">
        <f>35217</f>
        <v>35217.0</v>
      </c>
    </row>
    <row r="335">
      <c r="A335" s="20" t="s">
        <v>869</v>
      </c>
      <c r="B335" s="21" t="s">
        <v>870</v>
      </c>
      <c r="C335" s="22"/>
      <c r="D335" s="23"/>
      <c r="E335" s="24" t="s">
        <v>87</v>
      </c>
      <c r="F335" s="25" t="n">
        <f>168</f>
        <v>168.0</v>
      </c>
      <c r="G335" s="26" t="n">
        <f>1473936</f>
        <v>1473936.0</v>
      </c>
      <c r="H335" s="26"/>
      <c r="I335" s="26" t="n">
        <f>8539</f>
        <v>8539.0</v>
      </c>
      <c r="J335" s="26" t="n">
        <f>8773</f>
        <v>8773.0</v>
      </c>
      <c r="K335" s="26" t="n">
        <f>51</f>
        <v>51.0</v>
      </c>
      <c r="L335" s="4" t="s">
        <v>135</v>
      </c>
      <c r="M335" s="27" t="n">
        <f>42869</f>
        <v>42869.0</v>
      </c>
      <c r="N335" s="5" t="s">
        <v>82</v>
      </c>
      <c r="O335" s="28" t="n">
        <f>2748</f>
        <v>2748.0</v>
      </c>
      <c r="P335" s="3" t="s">
        <v>871</v>
      </c>
      <c r="Q335" s="26"/>
      <c r="R335" s="3" t="s">
        <v>872</v>
      </c>
      <c r="S335" s="26" t="n">
        <f>5557245536</f>
        <v>5.557245536E9</v>
      </c>
      <c r="T335" s="26" t="n">
        <f>32441509</f>
        <v>3.2441509E7</v>
      </c>
      <c r="U335" s="5" t="s">
        <v>135</v>
      </c>
      <c r="V335" s="28" t="n">
        <f>27508796700</f>
        <v>2.75087967E10</v>
      </c>
      <c r="W335" s="5" t="s">
        <v>82</v>
      </c>
      <c r="X335" s="28" t="n">
        <f>1722844200</f>
        <v>1.7228442E9</v>
      </c>
      <c r="Y335" s="28"/>
      <c r="Z335" s="26" t="str">
        <f>"－"</f>
        <v>－</v>
      </c>
      <c r="AA335" s="26" t="n">
        <f>13861</f>
        <v>13861.0</v>
      </c>
      <c r="AB335" s="4" t="s">
        <v>57</v>
      </c>
      <c r="AC335" s="27" t="n">
        <f>17585</f>
        <v>17585.0</v>
      </c>
      <c r="AD335" s="5" t="s">
        <v>179</v>
      </c>
      <c r="AE335" s="28" t="n">
        <f>11095</f>
        <v>11095.0</v>
      </c>
    </row>
    <row r="336">
      <c r="A336" s="20" t="s">
        <v>869</v>
      </c>
      <c r="B336" s="21" t="s">
        <v>870</v>
      </c>
      <c r="C336" s="22"/>
      <c r="D336" s="23"/>
      <c r="E336" s="24" t="s">
        <v>92</v>
      </c>
      <c r="F336" s="25" t="n">
        <f>244</f>
        <v>244.0</v>
      </c>
      <c r="G336" s="26" t="n">
        <f>1921127</f>
        <v>1921127.0</v>
      </c>
      <c r="H336" s="26"/>
      <c r="I336" s="26" t="n">
        <f>10</f>
        <v>10.0</v>
      </c>
      <c r="J336" s="26" t="n">
        <f>7873</f>
        <v>7873.0</v>
      </c>
      <c r="K336" s="26" t="n">
        <f>0</f>
        <v>0.0</v>
      </c>
      <c r="L336" s="4" t="s">
        <v>61</v>
      </c>
      <c r="M336" s="27" t="n">
        <f>44650</f>
        <v>44650.0</v>
      </c>
      <c r="N336" s="5" t="s">
        <v>580</v>
      </c>
      <c r="O336" s="28" t="n">
        <f>1310</f>
        <v>1310.0</v>
      </c>
      <c r="P336" s="3" t="s">
        <v>873</v>
      </c>
      <c r="Q336" s="26"/>
      <c r="R336" s="3" t="s">
        <v>874</v>
      </c>
      <c r="S336" s="26" t="n">
        <f>5269946282</f>
        <v>5.269946282E9</v>
      </c>
      <c r="T336" s="26" t="n">
        <f>26939</f>
        <v>26939.0</v>
      </c>
      <c r="U336" s="5" t="s">
        <v>61</v>
      </c>
      <c r="V336" s="28" t="n">
        <f>33722915200</f>
        <v>3.37229152E10</v>
      </c>
      <c r="W336" s="5" t="s">
        <v>580</v>
      </c>
      <c r="X336" s="28" t="n">
        <f>813318700</f>
        <v>8.133187E8</v>
      </c>
      <c r="Y336" s="28"/>
      <c r="Z336" s="26" t="str">
        <f>"－"</f>
        <v>－</v>
      </c>
      <c r="AA336" s="26" t="n">
        <f>10833</f>
        <v>10833.0</v>
      </c>
      <c r="AB336" s="4" t="s">
        <v>875</v>
      </c>
      <c r="AC336" s="27" t="n">
        <f>16445</f>
        <v>16445.0</v>
      </c>
      <c r="AD336" s="5" t="s">
        <v>115</v>
      </c>
      <c r="AE336" s="28" t="n">
        <f>10229</f>
        <v>10229.0</v>
      </c>
    </row>
    <row r="337">
      <c r="A337" s="20" t="s">
        <v>869</v>
      </c>
      <c r="B337" s="21" t="s">
        <v>870</v>
      </c>
      <c r="C337" s="22"/>
      <c r="D337" s="23"/>
      <c r="E337" s="24" t="s">
        <v>98</v>
      </c>
      <c r="F337" s="25" t="n">
        <f>245</f>
        <v>245.0</v>
      </c>
      <c r="G337" s="26" t="n">
        <f>1539560</f>
        <v>1539560.0</v>
      </c>
      <c r="H337" s="26"/>
      <c r="I337" s="26" t="n">
        <f>67</f>
        <v>67.0</v>
      </c>
      <c r="J337" s="26" t="n">
        <f>6284</f>
        <v>6284.0</v>
      </c>
      <c r="K337" s="26" t="n">
        <f>0</f>
        <v>0.0</v>
      </c>
      <c r="L337" s="4" t="s">
        <v>824</v>
      </c>
      <c r="M337" s="27" t="n">
        <f>18509</f>
        <v>18509.0</v>
      </c>
      <c r="N337" s="5" t="s">
        <v>310</v>
      </c>
      <c r="O337" s="28" t="n">
        <f>2214</f>
        <v>2214.0</v>
      </c>
      <c r="P337" s="3" t="s">
        <v>876</v>
      </c>
      <c r="Q337" s="26"/>
      <c r="R337" s="3" t="s">
        <v>877</v>
      </c>
      <c r="S337" s="26" t="n">
        <f>4910635440</f>
        <v>4.91063544E9</v>
      </c>
      <c r="T337" s="26" t="n">
        <f>218038</f>
        <v>218038.0</v>
      </c>
      <c r="U337" s="5" t="s">
        <v>824</v>
      </c>
      <c r="V337" s="28" t="n">
        <f>14075012100</f>
        <v>1.40750121E10</v>
      </c>
      <c r="W337" s="5" t="s">
        <v>310</v>
      </c>
      <c r="X337" s="28" t="n">
        <f>1755543850</f>
        <v>1.75554385E9</v>
      </c>
      <c r="Y337" s="28"/>
      <c r="Z337" s="26" t="str">
        <f>"－"</f>
        <v>－</v>
      </c>
      <c r="AA337" s="26" t="n">
        <f>9881</f>
        <v>9881.0</v>
      </c>
      <c r="AB337" s="4" t="s">
        <v>58</v>
      </c>
      <c r="AC337" s="27" t="n">
        <f>12499</f>
        <v>12499.0</v>
      </c>
      <c r="AD337" s="5" t="s">
        <v>61</v>
      </c>
      <c r="AE337" s="28" t="n">
        <f>8886</f>
        <v>8886.0</v>
      </c>
    </row>
    <row r="338">
      <c r="A338" s="20" t="s">
        <v>869</v>
      </c>
      <c r="B338" s="21" t="s">
        <v>870</v>
      </c>
      <c r="C338" s="22"/>
      <c r="D338" s="23"/>
      <c r="E338" s="24" t="s">
        <v>103</v>
      </c>
      <c r="F338" s="25" t="n">
        <f>244</f>
        <v>244.0</v>
      </c>
      <c r="G338" s="26" t="n">
        <f>1300994</f>
        <v>1300994.0</v>
      </c>
      <c r="H338" s="26"/>
      <c r="I338" s="26" t="n">
        <f>64</f>
        <v>64.0</v>
      </c>
      <c r="J338" s="26" t="n">
        <f>5332</f>
        <v>5332.0</v>
      </c>
      <c r="K338" s="26" t="n">
        <f>0</f>
        <v>0.0</v>
      </c>
      <c r="L338" s="4" t="s">
        <v>144</v>
      </c>
      <c r="M338" s="27" t="n">
        <f>19426</f>
        <v>19426.0</v>
      </c>
      <c r="N338" s="5" t="s">
        <v>50</v>
      </c>
      <c r="O338" s="28" t="n">
        <f>1937</f>
        <v>1937.0</v>
      </c>
      <c r="P338" s="3" t="s">
        <v>878</v>
      </c>
      <c r="Q338" s="26"/>
      <c r="R338" s="3" t="s">
        <v>879</v>
      </c>
      <c r="S338" s="26" t="n">
        <f>4949042285</f>
        <v>4.949042285E9</v>
      </c>
      <c r="T338" s="26" t="n">
        <f>244342</f>
        <v>244342.0</v>
      </c>
      <c r="U338" s="5" t="s">
        <v>144</v>
      </c>
      <c r="V338" s="28" t="n">
        <f>17061788300</f>
        <v>1.70617883E10</v>
      </c>
      <c r="W338" s="5" t="s">
        <v>880</v>
      </c>
      <c r="X338" s="28" t="n">
        <f>1745439850</f>
        <v>1.74543985E9</v>
      </c>
      <c r="Y338" s="28"/>
      <c r="Z338" s="26" t="n">
        <f>424</f>
        <v>424.0</v>
      </c>
      <c r="AA338" s="26" t="n">
        <f>10040</f>
        <v>10040.0</v>
      </c>
      <c r="AB338" s="4" t="s">
        <v>881</v>
      </c>
      <c r="AC338" s="27" t="n">
        <f>12219</f>
        <v>12219.0</v>
      </c>
      <c r="AD338" s="5" t="s">
        <v>837</v>
      </c>
      <c r="AE338" s="28" t="n">
        <f>8617</f>
        <v>8617.0</v>
      </c>
    </row>
    <row r="339">
      <c r="A339" s="20" t="s">
        <v>882</v>
      </c>
      <c r="B339" s="21" t="s">
        <v>883</v>
      </c>
      <c r="C339" s="22"/>
      <c r="D339" s="23"/>
      <c r="E339" s="24" t="s">
        <v>87</v>
      </c>
      <c r="F339" s="25" t="n">
        <f>168</f>
        <v>168.0</v>
      </c>
      <c r="G339" s="26" t="n">
        <f>755471</f>
        <v>755471.0</v>
      </c>
      <c r="H339" s="26"/>
      <c r="I339" s="26" t="n">
        <f>8733</f>
        <v>8733.0</v>
      </c>
      <c r="J339" s="26" t="n">
        <f>4497</f>
        <v>4497.0</v>
      </c>
      <c r="K339" s="26" t="n">
        <f>52</f>
        <v>52.0</v>
      </c>
      <c r="L339" s="4" t="s">
        <v>560</v>
      </c>
      <c r="M339" s="27" t="n">
        <f>31061</f>
        <v>31061.0</v>
      </c>
      <c r="N339" s="5" t="s">
        <v>656</v>
      </c>
      <c r="O339" s="28" t="n">
        <f>995</f>
        <v>995.0</v>
      </c>
      <c r="P339" s="3" t="s">
        <v>884</v>
      </c>
      <c r="Q339" s="26"/>
      <c r="R339" s="3" t="s">
        <v>885</v>
      </c>
      <c r="S339" s="26" t="n">
        <f>2917840943</f>
        <v>2.917840943E9</v>
      </c>
      <c r="T339" s="26" t="n">
        <f>34530314</f>
        <v>3.4530314E7</v>
      </c>
      <c r="U339" s="5" t="s">
        <v>560</v>
      </c>
      <c r="V339" s="28" t="n">
        <f>20658649200</f>
        <v>2.06586492E10</v>
      </c>
      <c r="W339" s="5" t="s">
        <v>656</v>
      </c>
      <c r="X339" s="28" t="n">
        <f>625736600</f>
        <v>6.257366E8</v>
      </c>
      <c r="Y339" s="28"/>
      <c r="Z339" s="26" t="str">
        <f>"－"</f>
        <v>－</v>
      </c>
      <c r="AA339" s="26" t="n">
        <f>53702</f>
        <v>53702.0</v>
      </c>
      <c r="AB339" s="4" t="s">
        <v>886</v>
      </c>
      <c r="AC339" s="27" t="n">
        <f>57609</f>
        <v>57609.0</v>
      </c>
      <c r="AD339" s="5" t="s">
        <v>514</v>
      </c>
      <c r="AE339" s="28" t="n">
        <f>48849</f>
        <v>48849.0</v>
      </c>
    </row>
    <row r="340">
      <c r="A340" s="20" t="s">
        <v>882</v>
      </c>
      <c r="B340" s="21" t="s">
        <v>883</v>
      </c>
      <c r="C340" s="22"/>
      <c r="D340" s="23"/>
      <c r="E340" s="24" t="s">
        <v>92</v>
      </c>
      <c r="F340" s="25" t="n">
        <f>244</f>
        <v>244.0</v>
      </c>
      <c r="G340" s="26" t="n">
        <f>795266</f>
        <v>795266.0</v>
      </c>
      <c r="H340" s="26"/>
      <c r="I340" s="26" t="n">
        <f>859</f>
        <v>859.0</v>
      </c>
      <c r="J340" s="26" t="n">
        <f>3259</f>
        <v>3259.0</v>
      </c>
      <c r="K340" s="26" t="n">
        <f>4</f>
        <v>4.0</v>
      </c>
      <c r="L340" s="4" t="s">
        <v>53</v>
      </c>
      <c r="M340" s="27" t="n">
        <f>18540</f>
        <v>18540.0</v>
      </c>
      <c r="N340" s="5" t="s">
        <v>254</v>
      </c>
      <c r="O340" s="28" t="n">
        <f>663</f>
        <v>663.0</v>
      </c>
      <c r="P340" s="3" t="s">
        <v>887</v>
      </c>
      <c r="Q340" s="26"/>
      <c r="R340" s="3" t="s">
        <v>888</v>
      </c>
      <c r="S340" s="26" t="n">
        <f>2205620635</f>
        <v>2.205620635E9</v>
      </c>
      <c r="T340" s="26" t="n">
        <f>2360986</f>
        <v>2360986.0</v>
      </c>
      <c r="U340" s="5" t="s">
        <v>53</v>
      </c>
      <c r="V340" s="28" t="n">
        <f>13867816100</f>
        <v>1.38678161E10</v>
      </c>
      <c r="W340" s="5" t="s">
        <v>254</v>
      </c>
      <c r="X340" s="28" t="n">
        <f>423496800</f>
        <v>4.234968E8</v>
      </c>
      <c r="Y340" s="28"/>
      <c r="Z340" s="26" t="str">
        <f>"－"</f>
        <v>－</v>
      </c>
      <c r="AA340" s="26" t="n">
        <f>52669</f>
        <v>52669.0</v>
      </c>
      <c r="AB340" s="4" t="s">
        <v>889</v>
      </c>
      <c r="AC340" s="27" t="n">
        <f>54042</f>
        <v>54042.0</v>
      </c>
      <c r="AD340" s="5" t="s">
        <v>591</v>
      </c>
      <c r="AE340" s="28" t="n">
        <f>49056</f>
        <v>49056.0</v>
      </c>
    </row>
    <row r="341">
      <c r="A341" s="20" t="s">
        <v>882</v>
      </c>
      <c r="B341" s="21" t="s">
        <v>883</v>
      </c>
      <c r="C341" s="22"/>
      <c r="D341" s="23"/>
      <c r="E341" s="24" t="s">
        <v>98</v>
      </c>
      <c r="F341" s="25" t="n">
        <f>245</f>
        <v>245.0</v>
      </c>
      <c r="G341" s="26" t="n">
        <f>1347569</f>
        <v>1347569.0</v>
      </c>
      <c r="H341" s="26"/>
      <c r="I341" s="26" t="n">
        <f>166</f>
        <v>166.0</v>
      </c>
      <c r="J341" s="26" t="n">
        <f>5500</f>
        <v>5500.0</v>
      </c>
      <c r="K341" s="26" t="n">
        <f>1</f>
        <v>1.0</v>
      </c>
      <c r="L341" s="4" t="s">
        <v>706</v>
      </c>
      <c r="M341" s="27" t="n">
        <f>28847</f>
        <v>28847.0</v>
      </c>
      <c r="N341" s="5" t="s">
        <v>616</v>
      </c>
      <c r="O341" s="28" t="n">
        <f>1430</f>
        <v>1430.0</v>
      </c>
      <c r="P341" s="3" t="s">
        <v>890</v>
      </c>
      <c r="Q341" s="26"/>
      <c r="R341" s="3" t="s">
        <v>891</v>
      </c>
      <c r="S341" s="26" t="n">
        <f>4350795477</f>
        <v>4.350795477E9</v>
      </c>
      <c r="T341" s="26" t="n">
        <f>522724</f>
        <v>522724.0</v>
      </c>
      <c r="U341" s="5" t="s">
        <v>706</v>
      </c>
      <c r="V341" s="28" t="n">
        <f>24111598100</f>
        <v>2.41115981E10</v>
      </c>
      <c r="W341" s="5" t="s">
        <v>616</v>
      </c>
      <c r="X341" s="28" t="n">
        <f>1097551600</f>
        <v>1.0975516E9</v>
      </c>
      <c r="Y341" s="28"/>
      <c r="Z341" s="26" t="str">
        <f>"－"</f>
        <v>－</v>
      </c>
      <c r="AA341" s="26" t="n">
        <f>69855</f>
        <v>69855.0</v>
      </c>
      <c r="AB341" s="4" t="s">
        <v>102</v>
      </c>
      <c r="AC341" s="27" t="n">
        <f>76108</f>
        <v>76108.0</v>
      </c>
      <c r="AD341" s="5" t="s">
        <v>403</v>
      </c>
      <c r="AE341" s="28" t="n">
        <f>52252</f>
        <v>52252.0</v>
      </c>
    </row>
    <row r="342">
      <c r="A342" s="20" t="s">
        <v>882</v>
      </c>
      <c r="B342" s="21" t="s">
        <v>883</v>
      </c>
      <c r="C342" s="22"/>
      <c r="D342" s="23"/>
      <c r="E342" s="24" t="s">
        <v>103</v>
      </c>
      <c r="F342" s="25" t="n">
        <f>244</f>
        <v>244.0</v>
      </c>
      <c r="G342" s="26" t="n">
        <f>2182494</f>
        <v>2182494.0</v>
      </c>
      <c r="H342" s="26"/>
      <c r="I342" s="26" t="n">
        <f>635</f>
        <v>635.0</v>
      </c>
      <c r="J342" s="26" t="n">
        <f>8945</f>
        <v>8945.0</v>
      </c>
      <c r="K342" s="26" t="n">
        <f>3</f>
        <v>3.0</v>
      </c>
      <c r="L342" s="4" t="s">
        <v>809</v>
      </c>
      <c r="M342" s="27" t="n">
        <f>33454</f>
        <v>33454.0</v>
      </c>
      <c r="N342" s="5" t="s">
        <v>300</v>
      </c>
      <c r="O342" s="28" t="n">
        <f>2971</f>
        <v>2971.0</v>
      </c>
      <c r="P342" s="3" t="s">
        <v>892</v>
      </c>
      <c r="Q342" s="26"/>
      <c r="R342" s="3" t="s">
        <v>893</v>
      </c>
      <c r="S342" s="26" t="n">
        <f>8317985180</f>
        <v>8.31798518E9</v>
      </c>
      <c r="T342" s="26" t="n">
        <f>2468335</f>
        <v>2468335.0</v>
      </c>
      <c r="U342" s="5" t="s">
        <v>147</v>
      </c>
      <c r="V342" s="28" t="n">
        <f>30734583900</f>
        <v>3.07345839E10</v>
      </c>
      <c r="W342" s="5" t="s">
        <v>300</v>
      </c>
      <c r="X342" s="28" t="n">
        <f>2789378400</f>
        <v>2.7893784E9</v>
      </c>
      <c r="Y342" s="28"/>
      <c r="Z342" s="26" t="str">
        <f>"－"</f>
        <v>－</v>
      </c>
      <c r="AA342" s="26" t="n">
        <f>85464</f>
        <v>85464.0</v>
      </c>
      <c r="AB342" s="4" t="s">
        <v>300</v>
      </c>
      <c r="AC342" s="27" t="n">
        <f>106062</f>
        <v>106062.0</v>
      </c>
      <c r="AD342" s="5" t="s">
        <v>222</v>
      </c>
      <c r="AE342" s="28" t="n">
        <f>67530</f>
        <v>67530.0</v>
      </c>
    </row>
    <row r="343">
      <c r="A343" s="20" t="s">
        <v>894</v>
      </c>
      <c r="B343" s="21" t="s">
        <v>895</v>
      </c>
      <c r="C343" s="22"/>
      <c r="D343" s="23"/>
      <c r="E343" s="24" t="s">
        <v>87</v>
      </c>
      <c r="F343" s="25" t="n">
        <f>168</f>
        <v>168.0</v>
      </c>
      <c r="G343" s="26" t="n">
        <f>47258</f>
        <v>47258.0</v>
      </c>
      <c r="H343" s="26"/>
      <c r="I343" s="26" t="n">
        <f>360</f>
        <v>360.0</v>
      </c>
      <c r="J343" s="26" t="n">
        <f>281</f>
        <v>281.0</v>
      </c>
      <c r="K343" s="26" t="n">
        <f>2</f>
        <v>2.0</v>
      </c>
      <c r="L343" s="4" t="s">
        <v>560</v>
      </c>
      <c r="M343" s="27" t="n">
        <f>1151</f>
        <v>1151.0</v>
      </c>
      <c r="N343" s="5" t="s">
        <v>604</v>
      </c>
      <c r="O343" s="28" t="n">
        <f>29</f>
        <v>29.0</v>
      </c>
      <c r="P343" s="3" t="s">
        <v>896</v>
      </c>
      <c r="Q343" s="26"/>
      <c r="R343" s="3" t="s">
        <v>897</v>
      </c>
      <c r="S343" s="26" t="n">
        <f>246437905</f>
        <v>2.46437905E8</v>
      </c>
      <c r="T343" s="26" t="n">
        <f>1653048</f>
        <v>1653048.0</v>
      </c>
      <c r="U343" s="5" t="s">
        <v>733</v>
      </c>
      <c r="V343" s="28" t="n">
        <f>1046840000</f>
        <v>1.04684E9</v>
      </c>
      <c r="W343" s="5" t="s">
        <v>604</v>
      </c>
      <c r="X343" s="28" t="n">
        <f>24575000</f>
        <v>2.4575E7</v>
      </c>
      <c r="Y343" s="28"/>
      <c r="Z343" s="26" t="str">
        <f>"－"</f>
        <v>－</v>
      </c>
      <c r="AA343" s="26" t="n">
        <f>2043</f>
        <v>2043.0</v>
      </c>
      <c r="AB343" s="4" t="s">
        <v>209</v>
      </c>
      <c r="AC343" s="27" t="n">
        <f>2043</f>
        <v>2043.0</v>
      </c>
      <c r="AD343" s="5" t="s">
        <v>271</v>
      </c>
      <c r="AE343" s="28" t="n">
        <f>977</f>
        <v>977.0</v>
      </c>
    </row>
    <row r="344">
      <c r="A344" s="20" t="s">
        <v>894</v>
      </c>
      <c r="B344" s="21" t="s">
        <v>895</v>
      </c>
      <c r="C344" s="22"/>
      <c r="D344" s="23"/>
      <c r="E344" s="24" t="s">
        <v>92</v>
      </c>
      <c r="F344" s="25" t="n">
        <f>244</f>
        <v>244.0</v>
      </c>
      <c r="G344" s="26" t="n">
        <f>39141</f>
        <v>39141.0</v>
      </c>
      <c r="H344" s="26"/>
      <c r="I344" s="26" t="n">
        <f>19</f>
        <v>19.0</v>
      </c>
      <c r="J344" s="26" t="n">
        <f>160</f>
        <v>160.0</v>
      </c>
      <c r="K344" s="26" t="n">
        <f>0</f>
        <v>0.0</v>
      </c>
      <c r="L344" s="4" t="s">
        <v>775</v>
      </c>
      <c r="M344" s="27" t="n">
        <f>952</f>
        <v>952.0</v>
      </c>
      <c r="N344" s="5" t="s">
        <v>679</v>
      </c>
      <c r="O344" s="28" t="n">
        <f>8</f>
        <v>8.0</v>
      </c>
      <c r="P344" s="3" t="s">
        <v>898</v>
      </c>
      <c r="Q344" s="26"/>
      <c r="R344" s="3" t="s">
        <v>899</v>
      </c>
      <c r="S344" s="26" t="n">
        <f>144121234</f>
        <v>1.44121234E8</v>
      </c>
      <c r="T344" s="26" t="n">
        <f>78217</f>
        <v>78217.0</v>
      </c>
      <c r="U344" s="5" t="s">
        <v>775</v>
      </c>
      <c r="V344" s="28" t="n">
        <f>883583000</f>
        <v>8.83583E8</v>
      </c>
      <c r="W344" s="5" t="s">
        <v>679</v>
      </c>
      <c r="X344" s="28" t="n">
        <f>6844000</f>
        <v>6844000.0</v>
      </c>
      <c r="Y344" s="28"/>
      <c r="Z344" s="26" t="str">
        <f>"－"</f>
        <v>－</v>
      </c>
      <c r="AA344" s="26" t="n">
        <f>1796</f>
        <v>1796.0</v>
      </c>
      <c r="AB344" s="4" t="s">
        <v>388</v>
      </c>
      <c r="AC344" s="27" t="n">
        <f>2065</f>
        <v>2065.0</v>
      </c>
      <c r="AD344" s="5" t="s">
        <v>900</v>
      </c>
      <c r="AE344" s="28" t="n">
        <f>1383</f>
        <v>1383.0</v>
      </c>
    </row>
    <row r="345">
      <c r="A345" s="20" t="s">
        <v>894</v>
      </c>
      <c r="B345" s="21" t="s">
        <v>895</v>
      </c>
      <c r="C345" s="22"/>
      <c r="D345" s="23"/>
      <c r="E345" s="24" t="s">
        <v>98</v>
      </c>
      <c r="F345" s="25" t="n">
        <f>245</f>
        <v>245.0</v>
      </c>
      <c r="G345" s="26" t="n">
        <f>28314</f>
        <v>28314.0</v>
      </c>
      <c r="H345" s="26"/>
      <c r="I345" s="26" t="n">
        <f>23</f>
        <v>23.0</v>
      </c>
      <c r="J345" s="26" t="n">
        <f>116</f>
        <v>116.0</v>
      </c>
      <c r="K345" s="26" t="n">
        <f>0</f>
        <v>0.0</v>
      </c>
      <c r="L345" s="4" t="s">
        <v>901</v>
      </c>
      <c r="M345" s="27" t="n">
        <f>798</f>
        <v>798.0</v>
      </c>
      <c r="N345" s="5" t="s">
        <v>902</v>
      </c>
      <c r="O345" s="28" t="n">
        <f>6</f>
        <v>6.0</v>
      </c>
      <c r="P345" s="3" t="s">
        <v>903</v>
      </c>
      <c r="Q345" s="26"/>
      <c r="R345" s="3" t="s">
        <v>904</v>
      </c>
      <c r="S345" s="26" t="n">
        <f>105612310</f>
        <v>1.0561231E8</v>
      </c>
      <c r="T345" s="26" t="n">
        <f>85808</f>
        <v>85808.0</v>
      </c>
      <c r="U345" s="5" t="s">
        <v>901</v>
      </c>
      <c r="V345" s="28" t="n">
        <f>634877000</f>
        <v>6.34877E8</v>
      </c>
      <c r="W345" s="5" t="s">
        <v>902</v>
      </c>
      <c r="X345" s="28" t="n">
        <f>4962000</f>
        <v>4962000.0</v>
      </c>
      <c r="Y345" s="28"/>
      <c r="Z345" s="26" t="str">
        <f>"－"</f>
        <v>－</v>
      </c>
      <c r="AA345" s="26" t="n">
        <f>779</f>
        <v>779.0</v>
      </c>
      <c r="AB345" s="4" t="s">
        <v>727</v>
      </c>
      <c r="AC345" s="27" t="n">
        <f>2395</f>
        <v>2395.0</v>
      </c>
      <c r="AD345" s="5" t="s">
        <v>209</v>
      </c>
      <c r="AE345" s="28" t="n">
        <f>779</f>
        <v>779.0</v>
      </c>
    </row>
    <row r="346">
      <c r="A346" s="20" t="s">
        <v>894</v>
      </c>
      <c r="B346" s="21" t="s">
        <v>895</v>
      </c>
      <c r="C346" s="22"/>
      <c r="D346" s="23"/>
      <c r="E346" s="24" t="s">
        <v>103</v>
      </c>
      <c r="F346" s="25" t="n">
        <f>244</f>
        <v>244.0</v>
      </c>
      <c r="G346" s="26" t="n">
        <f>5492</f>
        <v>5492.0</v>
      </c>
      <c r="H346" s="26"/>
      <c r="I346" s="26" t="n">
        <f>22</f>
        <v>22.0</v>
      </c>
      <c r="J346" s="26" t="n">
        <f>23</f>
        <v>23.0</v>
      </c>
      <c r="K346" s="26" t="n">
        <f>0</f>
        <v>0.0</v>
      </c>
      <c r="L346" s="4" t="s">
        <v>680</v>
      </c>
      <c r="M346" s="27" t="n">
        <f>231</f>
        <v>231.0</v>
      </c>
      <c r="N346" s="5" t="s">
        <v>562</v>
      </c>
      <c r="O346" s="28" t="str">
        <f>"－"</f>
        <v>－</v>
      </c>
      <c r="P346" s="3" t="s">
        <v>905</v>
      </c>
      <c r="Q346" s="26"/>
      <c r="R346" s="3" t="s">
        <v>906</v>
      </c>
      <c r="S346" s="26" t="n">
        <f>34351496</f>
        <v>3.4351496E7</v>
      </c>
      <c r="T346" s="26" t="n">
        <f>96230</f>
        <v>96230.0</v>
      </c>
      <c r="U346" s="5" t="s">
        <v>680</v>
      </c>
      <c r="V346" s="28" t="n">
        <f>243160000</f>
        <v>2.4316E8</v>
      </c>
      <c r="W346" s="5" t="s">
        <v>562</v>
      </c>
      <c r="X346" s="28" t="str">
        <f>"－"</f>
        <v>－</v>
      </c>
      <c r="Y346" s="28"/>
      <c r="Z346" s="26" t="str">
        <f>"－"</f>
        <v>－</v>
      </c>
      <c r="AA346" s="26" t="n">
        <f>224</f>
        <v>224.0</v>
      </c>
      <c r="AB346" s="4" t="s">
        <v>442</v>
      </c>
      <c r="AC346" s="27" t="n">
        <f>847</f>
        <v>847.0</v>
      </c>
      <c r="AD346" s="5" t="s">
        <v>828</v>
      </c>
      <c r="AE346" s="28" t="n">
        <f>223</f>
        <v>223.0</v>
      </c>
    </row>
    <row r="347">
      <c r="A347" s="20" t="s">
        <v>907</v>
      </c>
      <c r="B347" s="21" t="s">
        <v>908</v>
      </c>
      <c r="C347" s="22"/>
      <c r="D347" s="23"/>
      <c r="E347" s="24" t="s">
        <v>87</v>
      </c>
      <c r="F347" s="25" t="n">
        <f>168</f>
        <v>168.0</v>
      </c>
      <c r="G347" s="26" t="n">
        <f>1502921</f>
        <v>1502921.0</v>
      </c>
      <c r="H347" s="26"/>
      <c r="I347" s="26" t="n">
        <f>873</f>
        <v>873.0</v>
      </c>
      <c r="J347" s="26" t="n">
        <f>8946</f>
        <v>8946.0</v>
      </c>
      <c r="K347" s="26" t="n">
        <f>5</f>
        <v>5.0</v>
      </c>
      <c r="L347" s="4" t="s">
        <v>693</v>
      </c>
      <c r="M347" s="27" t="n">
        <f>26560</f>
        <v>26560.0</v>
      </c>
      <c r="N347" s="5" t="s">
        <v>175</v>
      </c>
      <c r="O347" s="28" t="n">
        <f>3300</f>
        <v>3300.0</v>
      </c>
      <c r="P347" s="3" t="s">
        <v>909</v>
      </c>
      <c r="Q347" s="26"/>
      <c r="R347" s="3" t="s">
        <v>910</v>
      </c>
      <c r="S347" s="26" t="n">
        <f>15898031628</f>
        <v>1.5898031628E10</v>
      </c>
      <c r="T347" s="26" t="n">
        <f>8115914</f>
        <v>8115914.0</v>
      </c>
      <c r="U347" s="5" t="s">
        <v>693</v>
      </c>
      <c r="V347" s="28" t="n">
        <f>58595744000</f>
        <v>5.8595744E10</v>
      </c>
      <c r="W347" s="5" t="s">
        <v>175</v>
      </c>
      <c r="X347" s="28" t="n">
        <f>4884801000</f>
        <v>4.884801E9</v>
      </c>
      <c r="Y347" s="28"/>
      <c r="Z347" s="26" t="n">
        <f>1063</f>
        <v>1063.0</v>
      </c>
      <c r="AA347" s="26" t="n">
        <f>28792</f>
        <v>28792.0</v>
      </c>
      <c r="AB347" s="4" t="s">
        <v>209</v>
      </c>
      <c r="AC347" s="27" t="n">
        <f>28792</f>
        <v>28792.0</v>
      </c>
      <c r="AD347" s="5" t="s">
        <v>324</v>
      </c>
      <c r="AE347" s="28" t="n">
        <f>20237</f>
        <v>20237.0</v>
      </c>
    </row>
    <row r="348">
      <c r="A348" s="20" t="s">
        <v>907</v>
      </c>
      <c r="B348" s="21" t="s">
        <v>908</v>
      </c>
      <c r="C348" s="22"/>
      <c r="D348" s="23"/>
      <c r="E348" s="24" t="s">
        <v>92</v>
      </c>
      <c r="F348" s="25" t="n">
        <f>244</f>
        <v>244.0</v>
      </c>
      <c r="G348" s="26" t="n">
        <f>2514748</f>
        <v>2514748.0</v>
      </c>
      <c r="H348" s="26"/>
      <c r="I348" s="26" t="n">
        <f>1349</f>
        <v>1349.0</v>
      </c>
      <c r="J348" s="26" t="n">
        <f>10306</f>
        <v>10306.0</v>
      </c>
      <c r="K348" s="26" t="n">
        <f>6</f>
        <v>6.0</v>
      </c>
      <c r="L348" s="4" t="s">
        <v>61</v>
      </c>
      <c r="M348" s="27" t="n">
        <f>27241</f>
        <v>27241.0</v>
      </c>
      <c r="N348" s="5" t="s">
        <v>148</v>
      </c>
      <c r="O348" s="28" t="n">
        <f>3060</f>
        <v>3060.0</v>
      </c>
      <c r="P348" s="3" t="s">
        <v>911</v>
      </c>
      <c r="Q348" s="26"/>
      <c r="R348" s="3" t="s">
        <v>912</v>
      </c>
      <c r="S348" s="26" t="n">
        <f>19631052430</f>
        <v>1.963105243E10</v>
      </c>
      <c r="T348" s="26" t="n">
        <f>10591674</f>
        <v>1.0591674E7</v>
      </c>
      <c r="U348" s="5" t="s">
        <v>61</v>
      </c>
      <c r="V348" s="28" t="n">
        <f>57900030000</f>
        <v>5.790003E10</v>
      </c>
      <c r="W348" s="5" t="s">
        <v>148</v>
      </c>
      <c r="X348" s="28" t="n">
        <f>6433256500</f>
        <v>6.4332565E9</v>
      </c>
      <c r="Y348" s="28"/>
      <c r="Z348" s="26" t="n">
        <f>170</f>
        <v>170.0</v>
      </c>
      <c r="AA348" s="26" t="n">
        <f>27972</f>
        <v>27972.0</v>
      </c>
      <c r="AB348" s="4" t="s">
        <v>862</v>
      </c>
      <c r="AC348" s="27" t="n">
        <f>47141</f>
        <v>47141.0</v>
      </c>
      <c r="AD348" s="5" t="s">
        <v>309</v>
      </c>
      <c r="AE348" s="28" t="n">
        <f>26734</f>
        <v>26734.0</v>
      </c>
    </row>
    <row r="349">
      <c r="A349" s="20" t="s">
        <v>907</v>
      </c>
      <c r="B349" s="21" t="s">
        <v>908</v>
      </c>
      <c r="C349" s="22"/>
      <c r="D349" s="23"/>
      <c r="E349" s="24" t="s">
        <v>98</v>
      </c>
      <c r="F349" s="25" t="n">
        <f>245</f>
        <v>245.0</v>
      </c>
      <c r="G349" s="26" t="n">
        <f>2471660</f>
        <v>2471660.0</v>
      </c>
      <c r="H349" s="26"/>
      <c r="I349" s="26" t="n">
        <f>397</f>
        <v>397.0</v>
      </c>
      <c r="J349" s="26" t="n">
        <f>10088</f>
        <v>10088.0</v>
      </c>
      <c r="K349" s="26" t="n">
        <f>2</f>
        <v>2.0</v>
      </c>
      <c r="L349" s="4" t="s">
        <v>824</v>
      </c>
      <c r="M349" s="27" t="n">
        <f>25712</f>
        <v>25712.0</v>
      </c>
      <c r="N349" s="5" t="s">
        <v>162</v>
      </c>
      <c r="O349" s="28" t="n">
        <f>3882</f>
        <v>3882.0</v>
      </c>
      <c r="P349" s="3" t="s">
        <v>913</v>
      </c>
      <c r="Q349" s="26"/>
      <c r="R349" s="3" t="s">
        <v>914</v>
      </c>
      <c r="S349" s="26" t="n">
        <f>20415039210</f>
        <v>2.041503921E10</v>
      </c>
      <c r="T349" s="26" t="n">
        <f>3299253</f>
        <v>3299253.0</v>
      </c>
      <c r="U349" s="5" t="s">
        <v>824</v>
      </c>
      <c r="V349" s="28" t="n">
        <f>50259792000</f>
        <v>5.0259792E10</v>
      </c>
      <c r="W349" s="5" t="s">
        <v>162</v>
      </c>
      <c r="X349" s="28" t="n">
        <f>8401626000</f>
        <v>8.401626E9</v>
      </c>
      <c r="Y349" s="28"/>
      <c r="Z349" s="26" t="n">
        <f>124</f>
        <v>124.0</v>
      </c>
      <c r="AA349" s="26" t="n">
        <f>35406</f>
        <v>35406.0</v>
      </c>
      <c r="AB349" s="4" t="s">
        <v>102</v>
      </c>
      <c r="AC349" s="27" t="n">
        <f>43869</f>
        <v>43869.0</v>
      </c>
      <c r="AD349" s="5" t="s">
        <v>662</v>
      </c>
      <c r="AE349" s="28" t="n">
        <f>24519</f>
        <v>24519.0</v>
      </c>
    </row>
    <row r="350">
      <c r="A350" s="20" t="s">
        <v>907</v>
      </c>
      <c r="B350" s="21" t="s">
        <v>908</v>
      </c>
      <c r="C350" s="22"/>
      <c r="D350" s="23"/>
      <c r="E350" s="24" t="s">
        <v>103</v>
      </c>
      <c r="F350" s="25" t="n">
        <f>244</f>
        <v>244.0</v>
      </c>
      <c r="G350" s="26" t="n">
        <f>2554636</f>
        <v>2554636.0</v>
      </c>
      <c r="H350" s="26"/>
      <c r="I350" s="26" t="n">
        <f>5654</f>
        <v>5654.0</v>
      </c>
      <c r="J350" s="26" t="n">
        <f>10470</f>
        <v>10470.0</v>
      </c>
      <c r="K350" s="26" t="n">
        <f>23</f>
        <v>23.0</v>
      </c>
      <c r="L350" s="4" t="s">
        <v>144</v>
      </c>
      <c r="M350" s="27" t="n">
        <f>28292</f>
        <v>28292.0</v>
      </c>
      <c r="N350" s="5" t="s">
        <v>431</v>
      </c>
      <c r="O350" s="28" t="n">
        <f>2832</f>
        <v>2832.0</v>
      </c>
      <c r="P350" s="3" t="s">
        <v>915</v>
      </c>
      <c r="Q350" s="26"/>
      <c r="R350" s="3" t="s">
        <v>916</v>
      </c>
      <c r="S350" s="26" t="n">
        <f>22764367070</f>
        <v>2.276436707E10</v>
      </c>
      <c r="T350" s="26" t="n">
        <f>50129727</f>
        <v>5.0129727E7</v>
      </c>
      <c r="U350" s="5" t="s">
        <v>144</v>
      </c>
      <c r="V350" s="28" t="n">
        <f>63853098000</f>
        <v>6.3853098E10</v>
      </c>
      <c r="W350" s="5" t="s">
        <v>431</v>
      </c>
      <c r="X350" s="28" t="n">
        <f>5977867500</f>
        <v>5.9778675E9</v>
      </c>
      <c r="Y350" s="28"/>
      <c r="Z350" s="26" t="n">
        <f>3331</f>
        <v>3331.0</v>
      </c>
      <c r="AA350" s="26" t="n">
        <f>30768</f>
        <v>30768.0</v>
      </c>
      <c r="AB350" s="4" t="s">
        <v>735</v>
      </c>
      <c r="AC350" s="27" t="n">
        <f>51986</f>
        <v>51986.0</v>
      </c>
      <c r="AD350" s="5" t="s">
        <v>917</v>
      </c>
      <c r="AE350" s="28" t="n">
        <f>24580</f>
        <v>24580.0</v>
      </c>
    </row>
    <row r="351">
      <c r="A351" s="20" t="s">
        <v>918</v>
      </c>
      <c r="B351" s="21" t="s">
        <v>919</v>
      </c>
      <c r="C351" s="22"/>
      <c r="D351" s="23"/>
      <c r="E351" s="24" t="s">
        <v>87</v>
      </c>
      <c r="F351" s="25" t="n">
        <f>168</f>
        <v>168.0</v>
      </c>
      <c r="G351" s="26" t="n">
        <f>197115</f>
        <v>197115.0</v>
      </c>
      <c r="H351" s="26"/>
      <c r="I351" s="26" t="n">
        <f>376</f>
        <v>376.0</v>
      </c>
      <c r="J351" s="26" t="n">
        <f>1173</f>
        <v>1173.0</v>
      </c>
      <c r="K351" s="26" t="n">
        <f>2</f>
        <v>2.0</v>
      </c>
      <c r="L351" s="4" t="s">
        <v>300</v>
      </c>
      <c r="M351" s="27" t="n">
        <f>6027</f>
        <v>6027.0</v>
      </c>
      <c r="N351" s="5" t="s">
        <v>920</v>
      </c>
      <c r="O351" s="28" t="n">
        <f>263</f>
        <v>263.0</v>
      </c>
      <c r="P351" s="3" t="s">
        <v>921</v>
      </c>
      <c r="Q351" s="26"/>
      <c r="R351" s="3" t="s">
        <v>922</v>
      </c>
      <c r="S351" s="26" t="n">
        <f>416000342</f>
        <v>4.16000342E8</v>
      </c>
      <c r="T351" s="26" t="n">
        <f>677355</f>
        <v>677355.0</v>
      </c>
      <c r="U351" s="5" t="s">
        <v>300</v>
      </c>
      <c r="V351" s="28" t="n">
        <f>2011479500</f>
        <v>2.0114795E9</v>
      </c>
      <c r="W351" s="5" t="s">
        <v>920</v>
      </c>
      <c r="X351" s="28" t="n">
        <f>82431600</f>
        <v>8.24316E7</v>
      </c>
      <c r="Y351" s="28"/>
      <c r="Z351" s="26" t="str">
        <f>"－"</f>
        <v>－</v>
      </c>
      <c r="AA351" s="26" t="n">
        <f>2247</f>
        <v>2247.0</v>
      </c>
      <c r="AB351" s="4" t="s">
        <v>923</v>
      </c>
      <c r="AC351" s="27" t="n">
        <f>2614</f>
        <v>2614.0</v>
      </c>
      <c r="AD351" s="5" t="s">
        <v>503</v>
      </c>
      <c r="AE351" s="28" t="n">
        <f>1708</f>
        <v>1708.0</v>
      </c>
    </row>
    <row r="352">
      <c r="A352" s="20" t="s">
        <v>918</v>
      </c>
      <c r="B352" s="21" t="s">
        <v>919</v>
      </c>
      <c r="C352" s="22"/>
      <c r="D352" s="23"/>
      <c r="E352" s="24" t="s">
        <v>92</v>
      </c>
      <c r="F352" s="25" t="n">
        <f>244</f>
        <v>244.0</v>
      </c>
      <c r="G352" s="26" t="n">
        <f>420590</f>
        <v>420590.0</v>
      </c>
      <c r="H352" s="26"/>
      <c r="I352" s="26" t="n">
        <f>54</f>
        <v>54.0</v>
      </c>
      <c r="J352" s="26" t="n">
        <f>1724</f>
        <v>1724.0</v>
      </c>
      <c r="K352" s="26" t="n">
        <f>0</f>
        <v>0.0</v>
      </c>
      <c r="L352" s="4" t="s">
        <v>61</v>
      </c>
      <c r="M352" s="27" t="n">
        <f>6430</f>
        <v>6430.0</v>
      </c>
      <c r="N352" s="5" t="s">
        <v>148</v>
      </c>
      <c r="O352" s="28" t="n">
        <f>290</f>
        <v>290.0</v>
      </c>
      <c r="P352" s="3" t="s">
        <v>924</v>
      </c>
      <c r="Q352" s="26"/>
      <c r="R352" s="3" t="s">
        <v>925</v>
      </c>
      <c r="S352" s="26" t="n">
        <f>652204442</f>
        <v>6.52204442E8</v>
      </c>
      <c r="T352" s="26" t="n">
        <f>76413</f>
        <v>76413.0</v>
      </c>
      <c r="U352" s="5" t="s">
        <v>61</v>
      </c>
      <c r="V352" s="28" t="n">
        <f>2716228500</f>
        <v>2.7162285E9</v>
      </c>
      <c r="W352" s="5" t="s">
        <v>148</v>
      </c>
      <c r="X352" s="28" t="n">
        <f>121966100</f>
        <v>1.219661E8</v>
      </c>
      <c r="Y352" s="28"/>
      <c r="Z352" s="26" t="str">
        <f>"－"</f>
        <v>－</v>
      </c>
      <c r="AA352" s="26" t="n">
        <f>3278</f>
        <v>3278.0</v>
      </c>
      <c r="AB352" s="4" t="s">
        <v>862</v>
      </c>
      <c r="AC352" s="27" t="n">
        <f>5589</f>
        <v>5589.0</v>
      </c>
      <c r="AD352" s="5" t="s">
        <v>545</v>
      </c>
      <c r="AE352" s="28" t="n">
        <f>2172</f>
        <v>2172.0</v>
      </c>
    </row>
    <row r="353">
      <c r="A353" s="20" t="s">
        <v>918</v>
      </c>
      <c r="B353" s="21" t="s">
        <v>919</v>
      </c>
      <c r="C353" s="22"/>
      <c r="D353" s="23"/>
      <c r="E353" s="24" t="s">
        <v>98</v>
      </c>
      <c r="F353" s="25" t="n">
        <f>245</f>
        <v>245.0</v>
      </c>
      <c r="G353" s="26" t="n">
        <f>406444</f>
        <v>406444.0</v>
      </c>
      <c r="H353" s="26"/>
      <c r="I353" s="26" t="n">
        <f>69</f>
        <v>69.0</v>
      </c>
      <c r="J353" s="26" t="n">
        <f>1659</f>
        <v>1659.0</v>
      </c>
      <c r="K353" s="26" t="n">
        <f>0</f>
        <v>0.0</v>
      </c>
      <c r="L353" s="4" t="s">
        <v>619</v>
      </c>
      <c r="M353" s="27" t="n">
        <f>4335</f>
        <v>4335.0</v>
      </c>
      <c r="N353" s="5" t="s">
        <v>926</v>
      </c>
      <c r="O353" s="28" t="n">
        <f>503</f>
        <v>503.0</v>
      </c>
      <c r="P353" s="3" t="s">
        <v>927</v>
      </c>
      <c r="Q353" s="26"/>
      <c r="R353" s="3" t="s">
        <v>928</v>
      </c>
      <c r="S353" s="26" t="n">
        <f>667869992</f>
        <v>6.67869992E8</v>
      </c>
      <c r="T353" s="26" t="n">
        <f>111553</f>
        <v>111553.0</v>
      </c>
      <c r="U353" s="5" t="s">
        <v>619</v>
      </c>
      <c r="V353" s="28" t="n">
        <f>1673499700</f>
        <v>1.6734997E9</v>
      </c>
      <c r="W353" s="5" t="s">
        <v>926</v>
      </c>
      <c r="X353" s="28" t="n">
        <f>203209450</f>
        <v>2.0320945E8</v>
      </c>
      <c r="Y353" s="28"/>
      <c r="Z353" s="26" t="str">
        <f>"－"</f>
        <v>－</v>
      </c>
      <c r="AA353" s="26" t="n">
        <f>3060</f>
        <v>3060.0</v>
      </c>
      <c r="AB353" s="4" t="s">
        <v>929</v>
      </c>
      <c r="AC353" s="27" t="n">
        <f>3978</f>
        <v>3978.0</v>
      </c>
      <c r="AD353" s="5" t="s">
        <v>302</v>
      </c>
      <c r="AE353" s="28" t="n">
        <f>2268</f>
        <v>2268.0</v>
      </c>
    </row>
    <row r="354">
      <c r="A354" s="20" t="s">
        <v>918</v>
      </c>
      <c r="B354" s="21" t="s">
        <v>919</v>
      </c>
      <c r="C354" s="22"/>
      <c r="D354" s="23"/>
      <c r="E354" s="24" t="s">
        <v>103</v>
      </c>
      <c r="F354" s="25" t="n">
        <f>244</f>
        <v>244.0</v>
      </c>
      <c r="G354" s="26" t="n">
        <f>218375</f>
        <v>218375.0</v>
      </c>
      <c r="H354" s="26"/>
      <c r="I354" s="26" t="n">
        <f>3</f>
        <v>3.0</v>
      </c>
      <c r="J354" s="26" t="n">
        <f>895</f>
        <v>895.0</v>
      </c>
      <c r="K354" s="26" t="n">
        <f>0</f>
        <v>0.0</v>
      </c>
      <c r="L354" s="4" t="s">
        <v>144</v>
      </c>
      <c r="M354" s="27" t="n">
        <f>2871</f>
        <v>2871.0</v>
      </c>
      <c r="N354" s="5" t="s">
        <v>50</v>
      </c>
      <c r="O354" s="28" t="n">
        <f>300</f>
        <v>300.0</v>
      </c>
      <c r="P354" s="3" t="s">
        <v>930</v>
      </c>
      <c r="Q354" s="26"/>
      <c r="R354" s="3" t="s">
        <v>931</v>
      </c>
      <c r="S354" s="26" t="n">
        <f>389274295</f>
        <v>3.89274295E8</v>
      </c>
      <c r="T354" s="26" t="n">
        <f>5119</f>
        <v>5119.0</v>
      </c>
      <c r="U354" s="5" t="s">
        <v>144</v>
      </c>
      <c r="V354" s="28" t="n">
        <f>1296122500</f>
        <v>1.2961225E9</v>
      </c>
      <c r="W354" s="5" t="s">
        <v>431</v>
      </c>
      <c r="X354" s="28" t="n">
        <f>126689850</f>
        <v>1.2668985E8</v>
      </c>
      <c r="Y354" s="28"/>
      <c r="Z354" s="26" t="str">
        <f>"－"</f>
        <v>－</v>
      </c>
      <c r="AA354" s="26" t="n">
        <f>2600</f>
        <v>2600.0</v>
      </c>
      <c r="AB354" s="4" t="s">
        <v>932</v>
      </c>
      <c r="AC354" s="27" t="n">
        <f>3619</f>
        <v>3619.0</v>
      </c>
      <c r="AD354" s="5" t="s">
        <v>165</v>
      </c>
      <c r="AE354" s="28" t="n">
        <f>2128</f>
        <v>2128.0</v>
      </c>
    </row>
    <row r="355">
      <c r="A355" s="20" t="s">
        <v>933</v>
      </c>
      <c r="B355" s="21" t="s">
        <v>934</v>
      </c>
      <c r="C355" s="22"/>
      <c r="D355" s="23"/>
      <c r="E355" s="24" t="s">
        <v>87</v>
      </c>
      <c r="F355" s="25" t="n">
        <f>168</f>
        <v>168.0</v>
      </c>
      <c r="G355" s="26" t="n">
        <f>76033</f>
        <v>76033.0</v>
      </c>
      <c r="H355" s="26"/>
      <c r="I355" s="26" t="n">
        <f>1</f>
        <v>1.0</v>
      </c>
      <c r="J355" s="26" t="n">
        <f>453</f>
        <v>453.0</v>
      </c>
      <c r="K355" s="26" t="n">
        <f>0</f>
        <v>0.0</v>
      </c>
      <c r="L355" s="4" t="s">
        <v>693</v>
      </c>
      <c r="M355" s="27" t="n">
        <f>1612</f>
        <v>1612.0</v>
      </c>
      <c r="N355" s="5" t="s">
        <v>881</v>
      </c>
      <c r="O355" s="28" t="n">
        <f>71</f>
        <v>71.0</v>
      </c>
      <c r="P355" s="3" t="s">
        <v>935</v>
      </c>
      <c r="Q355" s="26"/>
      <c r="R355" s="3" t="s">
        <v>936</v>
      </c>
      <c r="S355" s="26" t="n">
        <f>162380080</f>
        <v>1.6238008E8</v>
      </c>
      <c r="T355" s="26" t="n">
        <f>2686</f>
        <v>2686.0</v>
      </c>
      <c r="U355" s="5" t="s">
        <v>693</v>
      </c>
      <c r="V355" s="28" t="n">
        <f>713770600</f>
        <v>7.137706E8</v>
      </c>
      <c r="W355" s="5" t="s">
        <v>881</v>
      </c>
      <c r="X355" s="28" t="n">
        <f>22014000</f>
        <v>2.2014E7</v>
      </c>
      <c r="Y355" s="28"/>
      <c r="Z355" s="26" t="str">
        <f>"－"</f>
        <v>－</v>
      </c>
      <c r="AA355" s="26" t="n">
        <f>12670</f>
        <v>12670.0</v>
      </c>
      <c r="AB355" s="4" t="s">
        <v>828</v>
      </c>
      <c r="AC355" s="27" t="n">
        <f>12678</f>
        <v>12678.0</v>
      </c>
      <c r="AD355" s="5" t="s">
        <v>324</v>
      </c>
      <c r="AE355" s="28" t="n">
        <f>11171</f>
        <v>11171.0</v>
      </c>
    </row>
    <row r="356">
      <c r="A356" s="20" t="s">
        <v>933</v>
      </c>
      <c r="B356" s="21" t="s">
        <v>934</v>
      </c>
      <c r="C356" s="22"/>
      <c r="D356" s="23"/>
      <c r="E356" s="24" t="s">
        <v>92</v>
      </c>
      <c r="F356" s="25" t="n">
        <f>244</f>
        <v>244.0</v>
      </c>
      <c r="G356" s="26" t="n">
        <f>112136</f>
        <v>112136.0</v>
      </c>
      <c r="H356" s="26"/>
      <c r="I356" s="26" t="n">
        <f>989</f>
        <v>989.0</v>
      </c>
      <c r="J356" s="26" t="n">
        <f>460</f>
        <v>460.0</v>
      </c>
      <c r="K356" s="26" t="n">
        <f>4</f>
        <v>4.0</v>
      </c>
      <c r="L356" s="4" t="s">
        <v>937</v>
      </c>
      <c r="M356" s="27" t="n">
        <f>2157</f>
        <v>2157.0</v>
      </c>
      <c r="N356" s="5" t="s">
        <v>148</v>
      </c>
      <c r="O356" s="28" t="n">
        <f>61</f>
        <v>61.0</v>
      </c>
      <c r="P356" s="3" t="s">
        <v>938</v>
      </c>
      <c r="Q356" s="26"/>
      <c r="R356" s="3" t="s">
        <v>939</v>
      </c>
      <c r="S356" s="26" t="n">
        <f>178756114</f>
        <v>1.78756114E8</v>
      </c>
      <c r="T356" s="26" t="n">
        <f>1668631</f>
        <v>1668631.0</v>
      </c>
      <c r="U356" s="5" t="s">
        <v>937</v>
      </c>
      <c r="V356" s="28" t="n">
        <f>768293600</f>
        <v>7.682936E8</v>
      </c>
      <c r="W356" s="5" t="s">
        <v>148</v>
      </c>
      <c r="X356" s="28" t="n">
        <f>26080100</f>
        <v>2.60801E7</v>
      </c>
      <c r="Y356" s="28"/>
      <c r="Z356" s="26" t="str">
        <f>"－"</f>
        <v>－</v>
      </c>
      <c r="AA356" s="26" t="n">
        <f>13344</f>
        <v>13344.0</v>
      </c>
      <c r="AB356" s="4" t="s">
        <v>68</v>
      </c>
      <c r="AC356" s="27" t="n">
        <f>14080</f>
        <v>14080.0</v>
      </c>
      <c r="AD356" s="5" t="s">
        <v>545</v>
      </c>
      <c r="AE356" s="28" t="n">
        <f>11967</f>
        <v>11967.0</v>
      </c>
    </row>
    <row r="357">
      <c r="A357" s="20" t="s">
        <v>933</v>
      </c>
      <c r="B357" s="21" t="s">
        <v>934</v>
      </c>
      <c r="C357" s="22"/>
      <c r="D357" s="23"/>
      <c r="E357" s="24" t="s">
        <v>98</v>
      </c>
      <c r="F357" s="25" t="n">
        <f>245</f>
        <v>245.0</v>
      </c>
      <c r="G357" s="26" t="n">
        <f>281241</f>
        <v>281241.0</v>
      </c>
      <c r="H357" s="26"/>
      <c r="I357" s="26" t="n">
        <f>6</f>
        <v>6.0</v>
      </c>
      <c r="J357" s="26" t="n">
        <f>1148</f>
        <v>1148.0</v>
      </c>
      <c r="K357" s="26" t="n">
        <f>0</f>
        <v>0.0</v>
      </c>
      <c r="L357" s="4" t="s">
        <v>310</v>
      </c>
      <c r="M357" s="27" t="n">
        <f>4558</f>
        <v>4558.0</v>
      </c>
      <c r="N357" s="5" t="s">
        <v>940</v>
      </c>
      <c r="O357" s="28" t="n">
        <f>139</f>
        <v>139.0</v>
      </c>
      <c r="P357" s="3" t="s">
        <v>941</v>
      </c>
      <c r="Q357" s="26"/>
      <c r="R357" s="3" t="s">
        <v>942</v>
      </c>
      <c r="S357" s="26" t="n">
        <f>477623882</f>
        <v>4.77623882E8</v>
      </c>
      <c r="T357" s="26" t="n">
        <f>10760</f>
        <v>10760.0</v>
      </c>
      <c r="U357" s="5" t="s">
        <v>310</v>
      </c>
      <c r="V357" s="28" t="n">
        <f>1902599800</f>
        <v>1.9025998E9</v>
      </c>
      <c r="W357" s="5" t="s">
        <v>940</v>
      </c>
      <c r="X357" s="28" t="n">
        <f>54023200</f>
        <v>5.40232E7</v>
      </c>
      <c r="Y357" s="28"/>
      <c r="Z357" s="26" t="str">
        <f>"－"</f>
        <v>－</v>
      </c>
      <c r="AA357" s="26" t="n">
        <f>25179</f>
        <v>25179.0</v>
      </c>
      <c r="AB357" s="4" t="s">
        <v>926</v>
      </c>
      <c r="AC357" s="27" t="n">
        <f>25947</f>
        <v>25947.0</v>
      </c>
      <c r="AD357" s="5" t="s">
        <v>455</v>
      </c>
      <c r="AE357" s="28" t="n">
        <f>13322</f>
        <v>13322.0</v>
      </c>
    </row>
    <row r="358">
      <c r="A358" s="20" t="s">
        <v>933</v>
      </c>
      <c r="B358" s="21" t="s">
        <v>934</v>
      </c>
      <c r="C358" s="22"/>
      <c r="D358" s="23"/>
      <c r="E358" s="24" t="s">
        <v>103</v>
      </c>
      <c r="F358" s="25" t="n">
        <f>244</f>
        <v>244.0</v>
      </c>
      <c r="G358" s="26" t="n">
        <f>947529</f>
        <v>947529.0</v>
      </c>
      <c r="H358" s="26"/>
      <c r="I358" s="26" t="n">
        <f>60</f>
        <v>60.0</v>
      </c>
      <c r="J358" s="26" t="n">
        <f>3883</f>
        <v>3883.0</v>
      </c>
      <c r="K358" s="26" t="n">
        <f>0</f>
        <v>0.0</v>
      </c>
      <c r="L358" s="4" t="s">
        <v>182</v>
      </c>
      <c r="M358" s="27" t="n">
        <f>17299</f>
        <v>17299.0</v>
      </c>
      <c r="N358" s="5" t="s">
        <v>309</v>
      </c>
      <c r="O358" s="28" t="n">
        <f>726</f>
        <v>726.0</v>
      </c>
      <c r="P358" s="3" t="s">
        <v>943</v>
      </c>
      <c r="Q358" s="26"/>
      <c r="R358" s="3" t="s">
        <v>944</v>
      </c>
      <c r="S358" s="26" t="n">
        <f>1694076584</f>
        <v>1.694076584E9</v>
      </c>
      <c r="T358" s="26" t="n">
        <f>105197</f>
        <v>105197.0</v>
      </c>
      <c r="U358" s="5" t="s">
        <v>182</v>
      </c>
      <c r="V358" s="28" t="n">
        <f>7595997100</f>
        <v>7.5959971E9</v>
      </c>
      <c r="W358" s="5" t="s">
        <v>309</v>
      </c>
      <c r="X358" s="28" t="n">
        <f>309978800</f>
        <v>3.099788E8</v>
      </c>
      <c r="Y358" s="28"/>
      <c r="Z358" s="26" t="str">
        <f>"－"</f>
        <v>－</v>
      </c>
      <c r="AA358" s="26" t="n">
        <f>44516</f>
        <v>44516.0</v>
      </c>
      <c r="AB358" s="4" t="s">
        <v>656</v>
      </c>
      <c r="AC358" s="27" t="n">
        <f>65135</f>
        <v>65135.0</v>
      </c>
      <c r="AD358" s="5" t="s">
        <v>222</v>
      </c>
      <c r="AE358" s="28" t="n">
        <f>23044</f>
        <v>23044.0</v>
      </c>
    </row>
    <row r="359">
      <c r="A359" s="20" t="s">
        <v>945</v>
      </c>
      <c r="B359" s="21" t="s">
        <v>946</v>
      </c>
      <c r="C359" s="22"/>
      <c r="D359" s="23"/>
      <c r="E359" s="24" t="s">
        <v>87</v>
      </c>
      <c r="F359" s="25" t="n">
        <f>168</f>
        <v>168.0</v>
      </c>
      <c r="G359" s="26" t="n">
        <f>2967</f>
        <v>2967.0</v>
      </c>
      <c r="H359" s="26"/>
      <c r="I359" s="26" t="n">
        <f>140</f>
        <v>140.0</v>
      </c>
      <c r="J359" s="26" t="n">
        <f>18</f>
        <v>18.0</v>
      </c>
      <c r="K359" s="26" t="n">
        <f>1</f>
        <v>1.0</v>
      </c>
      <c r="L359" s="4" t="s">
        <v>947</v>
      </c>
      <c r="M359" s="27" t="n">
        <f>518</f>
        <v>518.0</v>
      </c>
      <c r="N359" s="5" t="s">
        <v>75</v>
      </c>
      <c r="O359" s="28" t="str">
        <f>"－"</f>
        <v>－</v>
      </c>
      <c r="P359" s="3" t="s">
        <v>948</v>
      </c>
      <c r="Q359" s="26"/>
      <c r="R359" s="3" t="s">
        <v>949</v>
      </c>
      <c r="S359" s="26" t="n">
        <f>69228009</f>
        <v>6.9228009E7</v>
      </c>
      <c r="T359" s="26" t="n">
        <f>3135208</f>
        <v>3135208.0</v>
      </c>
      <c r="U359" s="5" t="s">
        <v>947</v>
      </c>
      <c r="V359" s="28" t="n">
        <f>2039149000</f>
        <v>2.039149E9</v>
      </c>
      <c r="W359" s="5" t="s">
        <v>75</v>
      </c>
      <c r="X359" s="28" t="str">
        <f>"－"</f>
        <v>－</v>
      </c>
      <c r="Y359" s="28"/>
      <c r="Z359" s="26" t="str">
        <f>"－"</f>
        <v>－</v>
      </c>
      <c r="AA359" s="26" t="n">
        <f>465</f>
        <v>465.0</v>
      </c>
      <c r="AB359" s="4" t="s">
        <v>514</v>
      </c>
      <c r="AC359" s="27" t="n">
        <f>544</f>
        <v>544.0</v>
      </c>
      <c r="AD359" s="5" t="s">
        <v>950</v>
      </c>
      <c r="AE359" s="28" t="n">
        <f>318</f>
        <v>318.0</v>
      </c>
    </row>
    <row r="360">
      <c r="A360" s="20" t="s">
        <v>945</v>
      </c>
      <c r="B360" s="21" t="s">
        <v>946</v>
      </c>
      <c r="C360" s="22"/>
      <c r="D360" s="23"/>
      <c r="E360" s="24" t="s">
        <v>92</v>
      </c>
      <c r="F360" s="25" t="n">
        <f>244</f>
        <v>244.0</v>
      </c>
      <c r="G360" s="26" t="n">
        <f>993</f>
        <v>993.0</v>
      </c>
      <c r="H360" s="26"/>
      <c r="I360" s="26" t="n">
        <f>1</f>
        <v>1.0</v>
      </c>
      <c r="J360" s="26" t="n">
        <f>4</f>
        <v>4.0</v>
      </c>
      <c r="K360" s="26" t="n">
        <f>0</f>
        <v>0.0</v>
      </c>
      <c r="L360" s="4" t="s">
        <v>875</v>
      </c>
      <c r="M360" s="27" t="n">
        <f>137</f>
        <v>137.0</v>
      </c>
      <c r="N360" s="5" t="s">
        <v>213</v>
      </c>
      <c r="O360" s="28" t="str">
        <f>"－"</f>
        <v>－</v>
      </c>
      <c r="P360" s="3" t="s">
        <v>951</v>
      </c>
      <c r="Q360" s="26"/>
      <c r="R360" s="3" t="s">
        <v>952</v>
      </c>
      <c r="S360" s="26" t="n">
        <f>19026971</f>
        <v>1.9026971E7</v>
      </c>
      <c r="T360" s="26" t="n">
        <f>15680</f>
        <v>15680.0</v>
      </c>
      <c r="U360" s="5" t="s">
        <v>875</v>
      </c>
      <c r="V360" s="28" t="n">
        <f>707027000</f>
        <v>7.07027E8</v>
      </c>
      <c r="W360" s="5" t="s">
        <v>213</v>
      </c>
      <c r="X360" s="28" t="str">
        <f>"－"</f>
        <v>－</v>
      </c>
      <c r="Y360" s="28"/>
      <c r="Z360" s="26" t="str">
        <f>"－"</f>
        <v>－</v>
      </c>
      <c r="AA360" s="26" t="n">
        <f>41</f>
        <v>41.0</v>
      </c>
      <c r="AB360" s="4" t="s">
        <v>213</v>
      </c>
      <c r="AC360" s="27" t="n">
        <f>465</f>
        <v>465.0</v>
      </c>
      <c r="AD360" s="5" t="s">
        <v>164</v>
      </c>
      <c r="AE360" s="28" t="n">
        <f>35</f>
        <v>35.0</v>
      </c>
    </row>
    <row r="361">
      <c r="A361" s="20" t="s">
        <v>945</v>
      </c>
      <c r="B361" s="21" t="s">
        <v>946</v>
      </c>
      <c r="C361" s="22"/>
      <c r="D361" s="23"/>
      <c r="E361" s="24" t="s">
        <v>98</v>
      </c>
      <c r="F361" s="25" t="n">
        <f>245</f>
        <v>245.0</v>
      </c>
      <c r="G361" s="26" t="n">
        <f>88</f>
        <v>88.0</v>
      </c>
      <c r="H361" s="26"/>
      <c r="I361" s="26" t="str">
        <f>"－"</f>
        <v>－</v>
      </c>
      <c r="J361" s="26" t="n">
        <f>0</f>
        <v>0.0</v>
      </c>
      <c r="K361" s="26" t="str">
        <f>"－"</f>
        <v>－</v>
      </c>
      <c r="L361" s="4" t="s">
        <v>222</v>
      </c>
      <c r="M361" s="27" t="n">
        <f>12</f>
        <v>12.0</v>
      </c>
      <c r="N361" s="5" t="s">
        <v>455</v>
      </c>
      <c r="O361" s="28" t="str">
        <f>"－"</f>
        <v>－</v>
      </c>
      <c r="P361" s="3" t="s">
        <v>953</v>
      </c>
      <c r="Q361" s="26"/>
      <c r="R361" s="3" t="s">
        <v>160</v>
      </c>
      <c r="S361" s="26" t="n">
        <f>1576896</f>
        <v>1576896.0</v>
      </c>
      <c r="T361" s="26" t="str">
        <f>"－"</f>
        <v>－</v>
      </c>
      <c r="U361" s="5" t="s">
        <v>222</v>
      </c>
      <c r="V361" s="28" t="n">
        <f>59789500</f>
        <v>5.97895E7</v>
      </c>
      <c r="W361" s="5" t="s">
        <v>455</v>
      </c>
      <c r="X361" s="28" t="str">
        <f>"－"</f>
        <v>－</v>
      </c>
      <c r="Y361" s="28"/>
      <c r="Z361" s="26" t="str">
        <f>"－"</f>
        <v>－</v>
      </c>
      <c r="AA361" s="26" t="n">
        <f>11</f>
        <v>11.0</v>
      </c>
      <c r="AB361" s="4" t="s">
        <v>222</v>
      </c>
      <c r="AC361" s="27" t="n">
        <f>42</f>
        <v>42.0</v>
      </c>
      <c r="AD361" s="5" t="s">
        <v>102</v>
      </c>
      <c r="AE361" s="28" t="n">
        <f>8</f>
        <v>8.0</v>
      </c>
    </row>
    <row r="362">
      <c r="A362" s="20" t="s">
        <v>945</v>
      </c>
      <c r="B362" s="21" t="s">
        <v>946</v>
      </c>
      <c r="C362" s="22"/>
      <c r="D362" s="23"/>
      <c r="E362" s="24" t="s">
        <v>103</v>
      </c>
      <c r="F362" s="25" t="n">
        <f>244</f>
        <v>244.0</v>
      </c>
      <c r="G362" s="26" t="n">
        <f>13</f>
        <v>13.0</v>
      </c>
      <c r="H362" s="26"/>
      <c r="I362" s="26" t="str">
        <f>"－"</f>
        <v>－</v>
      </c>
      <c r="J362" s="26" t="n">
        <f>0</f>
        <v>0.0</v>
      </c>
      <c r="K362" s="26" t="str">
        <f>"－"</f>
        <v>－</v>
      </c>
      <c r="L362" s="4" t="s">
        <v>771</v>
      </c>
      <c r="M362" s="27" t="n">
        <f>3</f>
        <v>3.0</v>
      </c>
      <c r="N362" s="5" t="s">
        <v>399</v>
      </c>
      <c r="O362" s="28" t="str">
        <f>"－"</f>
        <v>－</v>
      </c>
      <c r="P362" s="3" t="s">
        <v>954</v>
      </c>
      <c r="Q362" s="26"/>
      <c r="R362" s="3" t="s">
        <v>160</v>
      </c>
      <c r="S362" s="26" t="n">
        <f>150748</f>
        <v>150748.0</v>
      </c>
      <c r="T362" s="26" t="str">
        <f>"－"</f>
        <v>－</v>
      </c>
      <c r="U362" s="5" t="s">
        <v>771</v>
      </c>
      <c r="V362" s="28" t="n">
        <f>8925000</f>
        <v>8925000.0</v>
      </c>
      <c r="W362" s="5" t="s">
        <v>399</v>
      </c>
      <c r="X362" s="28" t="str">
        <f>"－"</f>
        <v>－</v>
      </c>
      <c r="Y362" s="28"/>
      <c r="Z362" s="26" t="str">
        <f>"－"</f>
        <v>－</v>
      </c>
      <c r="AA362" s="26" t="str">
        <f>"－"</f>
        <v>－</v>
      </c>
      <c r="AB362" s="4" t="s">
        <v>399</v>
      </c>
      <c r="AC362" s="27" t="n">
        <f>11</f>
        <v>11.0</v>
      </c>
      <c r="AD362" s="5" t="s">
        <v>638</v>
      </c>
      <c r="AE362" s="28" t="str">
        <f>"－"</f>
        <v>－</v>
      </c>
    </row>
    <row r="363">
      <c r="A363" s="20" t="s">
        <v>955</v>
      </c>
      <c r="B363" s="21" t="s">
        <v>956</v>
      </c>
      <c r="C363" s="22"/>
      <c r="D363" s="23"/>
      <c r="E363" s="24" t="s">
        <v>92</v>
      </c>
      <c r="F363" s="25" t="n">
        <f>129</f>
        <v>129.0</v>
      </c>
      <c r="G363" s="26" t="n">
        <f>13204</f>
        <v>13204.0</v>
      </c>
      <c r="H363" s="26"/>
      <c r="I363" s="26" t="n">
        <f>133</f>
        <v>133.0</v>
      </c>
      <c r="J363" s="26" t="n">
        <f>102</f>
        <v>102.0</v>
      </c>
      <c r="K363" s="26" t="n">
        <f>1</f>
        <v>1.0</v>
      </c>
      <c r="L363" s="4" t="s">
        <v>957</v>
      </c>
      <c r="M363" s="27" t="n">
        <f>1013</f>
        <v>1013.0</v>
      </c>
      <c r="N363" s="5" t="s">
        <v>115</v>
      </c>
      <c r="O363" s="28" t="str">
        <f>"－"</f>
        <v>－</v>
      </c>
      <c r="P363" s="3" t="s">
        <v>958</v>
      </c>
      <c r="Q363" s="26"/>
      <c r="R363" s="3" t="s">
        <v>959</v>
      </c>
      <c r="S363" s="26" t="n">
        <f>197763152</f>
        <v>1.97763152E8</v>
      </c>
      <c r="T363" s="26" t="n">
        <f>2020814</f>
        <v>2020814.0</v>
      </c>
      <c r="U363" s="5" t="s">
        <v>957</v>
      </c>
      <c r="V363" s="28" t="n">
        <f>2022557000</f>
        <v>2.022557E9</v>
      </c>
      <c r="W363" s="5" t="s">
        <v>115</v>
      </c>
      <c r="X363" s="28" t="str">
        <f>"－"</f>
        <v>－</v>
      </c>
      <c r="Y363" s="28"/>
      <c r="Z363" s="26" t="str">
        <f>"－"</f>
        <v>－</v>
      </c>
      <c r="AA363" s="26" t="n">
        <f>92</f>
        <v>92.0</v>
      </c>
      <c r="AB363" s="4" t="s">
        <v>960</v>
      </c>
      <c r="AC363" s="27" t="n">
        <f>966</f>
        <v>966.0</v>
      </c>
      <c r="AD363" s="5" t="s">
        <v>926</v>
      </c>
      <c r="AE363" s="28" t="n">
        <f>92</f>
        <v>92.0</v>
      </c>
    </row>
    <row r="364">
      <c r="A364" s="20" t="s">
        <v>955</v>
      </c>
      <c r="B364" s="21" t="s">
        <v>956</v>
      </c>
      <c r="C364" s="22"/>
      <c r="D364" s="23"/>
      <c r="E364" s="24" t="s">
        <v>98</v>
      </c>
      <c r="F364" s="25" t="n">
        <f>245</f>
        <v>245.0</v>
      </c>
      <c r="G364" s="26" t="n">
        <f>404</f>
        <v>404.0</v>
      </c>
      <c r="H364" s="26"/>
      <c r="I364" s="26" t="n">
        <f>19</f>
        <v>19.0</v>
      </c>
      <c r="J364" s="26" t="n">
        <f>2</f>
        <v>2.0</v>
      </c>
      <c r="K364" s="26" t="n">
        <f>0</f>
        <v>0.0</v>
      </c>
      <c r="L364" s="4" t="s">
        <v>403</v>
      </c>
      <c r="M364" s="27" t="n">
        <f>50</f>
        <v>50.0</v>
      </c>
      <c r="N364" s="5" t="s">
        <v>309</v>
      </c>
      <c r="O364" s="28" t="str">
        <f>"－"</f>
        <v>－</v>
      </c>
      <c r="P364" s="3" t="s">
        <v>961</v>
      </c>
      <c r="Q364" s="26"/>
      <c r="R364" s="3" t="s">
        <v>962</v>
      </c>
      <c r="S364" s="26" t="n">
        <f>4088378</f>
        <v>4088378.0</v>
      </c>
      <c r="T364" s="26" t="n">
        <f>198324</f>
        <v>198324.0</v>
      </c>
      <c r="U364" s="5" t="s">
        <v>403</v>
      </c>
      <c r="V364" s="28" t="n">
        <f>122797000</f>
        <v>1.22797E8</v>
      </c>
      <c r="W364" s="5" t="s">
        <v>309</v>
      </c>
      <c r="X364" s="28" t="str">
        <f>"－"</f>
        <v>－</v>
      </c>
      <c r="Y364" s="28"/>
      <c r="Z364" s="26" t="str">
        <f>"－"</f>
        <v>－</v>
      </c>
      <c r="AA364" s="26" t="n">
        <f>4</f>
        <v>4.0</v>
      </c>
      <c r="AB364" s="4" t="s">
        <v>213</v>
      </c>
      <c r="AC364" s="27" t="n">
        <f>90</f>
        <v>90.0</v>
      </c>
      <c r="AD364" s="5" t="s">
        <v>364</v>
      </c>
      <c r="AE364" s="28" t="str">
        <f>"－"</f>
        <v>－</v>
      </c>
    </row>
    <row r="365">
      <c r="A365" s="20" t="s">
        <v>955</v>
      </c>
      <c r="B365" s="21" t="s">
        <v>956</v>
      </c>
      <c r="C365" s="22"/>
      <c r="D365" s="23"/>
      <c r="E365" s="24" t="s">
        <v>103</v>
      </c>
      <c r="F365" s="25" t="n">
        <f>244</f>
        <v>244.0</v>
      </c>
      <c r="G365" s="26" t="n">
        <f>427</f>
        <v>427.0</v>
      </c>
      <c r="H365" s="26"/>
      <c r="I365" s="26" t="n">
        <f>42</f>
        <v>42.0</v>
      </c>
      <c r="J365" s="26" t="n">
        <f>2</f>
        <v>2.0</v>
      </c>
      <c r="K365" s="26" t="n">
        <f>0</f>
        <v>0.0</v>
      </c>
      <c r="L365" s="4" t="s">
        <v>99</v>
      </c>
      <c r="M365" s="27" t="n">
        <f>41</f>
        <v>41.0</v>
      </c>
      <c r="N365" s="5" t="s">
        <v>455</v>
      </c>
      <c r="O365" s="28" t="str">
        <f>"－"</f>
        <v>－</v>
      </c>
      <c r="P365" s="3" t="s">
        <v>963</v>
      </c>
      <c r="Q365" s="26"/>
      <c r="R365" s="3" t="s">
        <v>964</v>
      </c>
      <c r="S365" s="26" t="n">
        <f>3470170</f>
        <v>3470170.0</v>
      </c>
      <c r="T365" s="26" t="n">
        <f>345795</f>
        <v>345795.0</v>
      </c>
      <c r="U365" s="5" t="s">
        <v>164</v>
      </c>
      <c r="V365" s="28" t="n">
        <f>78210000</f>
        <v>7.821E7</v>
      </c>
      <c r="W365" s="5" t="s">
        <v>455</v>
      </c>
      <c r="X365" s="28" t="str">
        <f>"－"</f>
        <v>－</v>
      </c>
      <c r="Y365" s="28"/>
      <c r="Z365" s="26" t="str">
        <f>"－"</f>
        <v>－</v>
      </c>
      <c r="AA365" s="26" t="n">
        <f>6</f>
        <v>6.0</v>
      </c>
      <c r="AB365" s="4" t="s">
        <v>99</v>
      </c>
      <c r="AC365" s="27" t="n">
        <f>62</f>
        <v>62.0</v>
      </c>
      <c r="AD365" s="5" t="s">
        <v>147</v>
      </c>
      <c r="AE365" s="28" t="str">
        <f>"－"</f>
        <v>－</v>
      </c>
    </row>
    <row r="366">
      <c r="A366" s="20" t="s">
        <v>965</v>
      </c>
      <c r="B366" s="21" t="s">
        <v>966</v>
      </c>
      <c r="C366" s="22"/>
      <c r="D366" s="23"/>
      <c r="E366" s="24" t="s">
        <v>87</v>
      </c>
      <c r="F366" s="25" t="n">
        <f>168</f>
        <v>168.0</v>
      </c>
      <c r="G366" s="26" t="n">
        <f>798724</f>
        <v>798724.0</v>
      </c>
      <c r="H366" s="26"/>
      <c r="I366" s="26" t="n">
        <f>3583</f>
        <v>3583.0</v>
      </c>
      <c r="J366" s="26" t="n">
        <f>4754</f>
        <v>4754.0</v>
      </c>
      <c r="K366" s="26" t="n">
        <f>21</f>
        <v>21.0</v>
      </c>
      <c r="L366" s="4" t="s">
        <v>967</v>
      </c>
      <c r="M366" s="27" t="n">
        <f>22405</f>
        <v>22405.0</v>
      </c>
      <c r="N366" s="5" t="s">
        <v>268</v>
      </c>
      <c r="O366" s="28" t="n">
        <f>1389</f>
        <v>1389.0</v>
      </c>
      <c r="P366" s="3" t="s">
        <v>968</v>
      </c>
      <c r="Q366" s="26"/>
      <c r="R366" s="3" t="s">
        <v>969</v>
      </c>
      <c r="S366" s="26" t="n">
        <f>5391233574</f>
        <v>5.391233574E9</v>
      </c>
      <c r="T366" s="26" t="n">
        <f>26060955</f>
        <v>2.6060955E7</v>
      </c>
      <c r="U366" s="5" t="s">
        <v>967</v>
      </c>
      <c r="V366" s="28" t="n">
        <f>29320863500</f>
        <v>2.93208635E10</v>
      </c>
      <c r="W366" s="5" t="s">
        <v>268</v>
      </c>
      <c r="X366" s="28" t="n">
        <f>1217846000</f>
        <v>1.217846E9</v>
      </c>
      <c r="Y366" s="28"/>
      <c r="Z366" s="26" t="str">
        <f>"－"</f>
        <v>－</v>
      </c>
      <c r="AA366" s="26" t="n">
        <f>11885</f>
        <v>11885.0</v>
      </c>
      <c r="AB366" s="4" t="s">
        <v>158</v>
      </c>
      <c r="AC366" s="27" t="n">
        <f>18155</f>
        <v>18155.0</v>
      </c>
      <c r="AD366" s="5" t="s">
        <v>828</v>
      </c>
      <c r="AE366" s="28" t="n">
        <f>11184</f>
        <v>11184.0</v>
      </c>
    </row>
    <row r="367">
      <c r="A367" s="20" t="s">
        <v>965</v>
      </c>
      <c r="B367" s="21" t="s">
        <v>966</v>
      </c>
      <c r="C367" s="22"/>
      <c r="D367" s="23"/>
      <c r="E367" s="24" t="s">
        <v>92</v>
      </c>
      <c r="F367" s="25" t="n">
        <f>244</f>
        <v>244.0</v>
      </c>
      <c r="G367" s="26" t="n">
        <f>672164</f>
        <v>672164.0</v>
      </c>
      <c r="H367" s="26"/>
      <c r="I367" s="26" t="n">
        <f>3052</f>
        <v>3052.0</v>
      </c>
      <c r="J367" s="26" t="n">
        <f>2755</f>
        <v>2755.0</v>
      </c>
      <c r="K367" s="26" t="n">
        <f>13</f>
        <v>13.0</v>
      </c>
      <c r="L367" s="4" t="s">
        <v>74</v>
      </c>
      <c r="M367" s="27" t="n">
        <f>6607</f>
        <v>6607.0</v>
      </c>
      <c r="N367" s="5" t="s">
        <v>131</v>
      </c>
      <c r="O367" s="28" t="n">
        <f>625</f>
        <v>625.0</v>
      </c>
      <c r="P367" s="3" t="s">
        <v>970</v>
      </c>
      <c r="Q367" s="26"/>
      <c r="R367" s="3" t="s">
        <v>971</v>
      </c>
      <c r="S367" s="26" t="n">
        <f>3201418390</f>
        <v>3.20141839E9</v>
      </c>
      <c r="T367" s="26" t="n">
        <f>14709204</f>
        <v>1.4709204E7</v>
      </c>
      <c r="U367" s="5" t="s">
        <v>972</v>
      </c>
      <c r="V367" s="28" t="n">
        <f>8077334500</f>
        <v>8.0773345E9</v>
      </c>
      <c r="W367" s="5" t="s">
        <v>131</v>
      </c>
      <c r="X367" s="28" t="n">
        <f>737494500</f>
        <v>7.374945E8</v>
      </c>
      <c r="Y367" s="28"/>
      <c r="Z367" s="26" t="str">
        <f>"－"</f>
        <v>－</v>
      </c>
      <c r="AA367" s="26" t="n">
        <f>8013</f>
        <v>8013.0</v>
      </c>
      <c r="AB367" s="4" t="s">
        <v>920</v>
      </c>
      <c r="AC367" s="27" t="n">
        <f>13002</f>
        <v>13002.0</v>
      </c>
      <c r="AD367" s="5" t="s">
        <v>350</v>
      </c>
      <c r="AE367" s="28" t="n">
        <f>7533</f>
        <v>7533.0</v>
      </c>
    </row>
    <row r="368">
      <c r="A368" s="20" t="s">
        <v>965</v>
      </c>
      <c r="B368" s="21" t="s">
        <v>966</v>
      </c>
      <c r="C368" s="22"/>
      <c r="D368" s="23"/>
      <c r="E368" s="24" t="s">
        <v>98</v>
      </c>
      <c r="F368" s="25" t="n">
        <f>245</f>
        <v>245.0</v>
      </c>
      <c r="G368" s="26" t="n">
        <f>583820</f>
        <v>583820.0</v>
      </c>
      <c r="H368" s="26"/>
      <c r="I368" s="26" t="n">
        <f>2666</f>
        <v>2666.0</v>
      </c>
      <c r="J368" s="26" t="n">
        <f>2383</f>
        <v>2383.0</v>
      </c>
      <c r="K368" s="26" t="n">
        <f>11</f>
        <v>11.0</v>
      </c>
      <c r="L368" s="4" t="s">
        <v>455</v>
      </c>
      <c r="M368" s="27" t="n">
        <f>6832</f>
        <v>6832.0</v>
      </c>
      <c r="N368" s="5" t="s">
        <v>514</v>
      </c>
      <c r="O368" s="28" t="n">
        <f>488</f>
        <v>488.0</v>
      </c>
      <c r="P368" s="3" t="s">
        <v>973</v>
      </c>
      <c r="Q368" s="26"/>
      <c r="R368" s="3" t="s">
        <v>974</v>
      </c>
      <c r="S368" s="26" t="n">
        <f>2758613720</f>
        <v>2.75861372E9</v>
      </c>
      <c r="T368" s="26" t="n">
        <f>12222394</f>
        <v>1.2222394E7</v>
      </c>
      <c r="U368" s="5" t="s">
        <v>455</v>
      </c>
      <c r="V368" s="28" t="n">
        <f>9107731500</f>
        <v>9.1077315E9</v>
      </c>
      <c r="W368" s="5" t="s">
        <v>514</v>
      </c>
      <c r="X368" s="28" t="n">
        <f>584804000</f>
        <v>5.84804E8</v>
      </c>
      <c r="Y368" s="28"/>
      <c r="Z368" s="26" t="str">
        <f>"－"</f>
        <v>－</v>
      </c>
      <c r="AA368" s="26" t="n">
        <f>14218</f>
        <v>14218.0</v>
      </c>
      <c r="AB368" s="4" t="s">
        <v>209</v>
      </c>
      <c r="AC368" s="27" t="n">
        <f>14218</f>
        <v>14218.0</v>
      </c>
      <c r="AD368" s="5" t="s">
        <v>720</v>
      </c>
      <c r="AE368" s="28" t="n">
        <f>7686</f>
        <v>7686.0</v>
      </c>
    </row>
    <row r="369">
      <c r="A369" s="20" t="s">
        <v>965</v>
      </c>
      <c r="B369" s="21" t="s">
        <v>966</v>
      </c>
      <c r="C369" s="22"/>
      <c r="D369" s="23"/>
      <c r="E369" s="24" t="s">
        <v>103</v>
      </c>
      <c r="F369" s="25" t="n">
        <f>244</f>
        <v>244.0</v>
      </c>
      <c r="G369" s="26" t="n">
        <f>625918</f>
        <v>625918.0</v>
      </c>
      <c r="H369" s="26"/>
      <c r="I369" s="26" t="n">
        <f>4943</f>
        <v>4943.0</v>
      </c>
      <c r="J369" s="26" t="n">
        <f>2565</f>
        <v>2565.0</v>
      </c>
      <c r="K369" s="26" t="n">
        <f>20</f>
        <v>20.0</v>
      </c>
      <c r="L369" s="4" t="s">
        <v>200</v>
      </c>
      <c r="M369" s="27" t="n">
        <f>13912</f>
        <v>13912.0</v>
      </c>
      <c r="N369" s="5" t="s">
        <v>361</v>
      </c>
      <c r="O369" s="28" t="n">
        <f>626</f>
        <v>626.0</v>
      </c>
      <c r="P369" s="3" t="s">
        <v>975</v>
      </c>
      <c r="Q369" s="26"/>
      <c r="R369" s="3" t="s">
        <v>976</v>
      </c>
      <c r="S369" s="26" t="n">
        <f>3077570334</f>
        <v>3.077570334E9</v>
      </c>
      <c r="T369" s="26" t="n">
        <f>23517027</f>
        <v>2.3517027E7</v>
      </c>
      <c r="U369" s="5" t="s">
        <v>200</v>
      </c>
      <c r="V369" s="28" t="n">
        <f>16172852500</f>
        <v>1.61728525E10</v>
      </c>
      <c r="W369" s="5" t="s">
        <v>361</v>
      </c>
      <c r="X369" s="28" t="n">
        <f>662017000</f>
        <v>6.62017E8</v>
      </c>
      <c r="Y369" s="28"/>
      <c r="Z369" s="26" t="str">
        <f>"－"</f>
        <v>－</v>
      </c>
      <c r="AA369" s="26" t="n">
        <f>8154</f>
        <v>8154.0</v>
      </c>
      <c r="AB369" s="4" t="s">
        <v>369</v>
      </c>
      <c r="AC369" s="27" t="n">
        <f>19962</f>
        <v>19962.0</v>
      </c>
      <c r="AD369" s="5" t="s">
        <v>977</v>
      </c>
      <c r="AE369" s="28" t="n">
        <f>5093</f>
        <v>5093.0</v>
      </c>
    </row>
    <row r="370">
      <c r="A370" s="20" t="s">
        <v>978</v>
      </c>
      <c r="B370" s="21" t="s">
        <v>979</v>
      </c>
      <c r="C370" s="22"/>
      <c r="D370" s="23"/>
      <c r="E370" s="24" t="s">
        <v>87</v>
      </c>
      <c r="F370" s="25" t="n">
        <f>168</f>
        <v>168.0</v>
      </c>
      <c r="G370" s="26" t="n">
        <f>90</f>
        <v>90.0</v>
      </c>
      <c r="H370" s="26"/>
      <c r="I370" s="26" t="n">
        <f>40</f>
        <v>40.0</v>
      </c>
      <c r="J370" s="26" t="n">
        <f>1</f>
        <v>1.0</v>
      </c>
      <c r="K370" s="26" t="n">
        <f>0</f>
        <v>0.0</v>
      </c>
      <c r="L370" s="4" t="s">
        <v>387</v>
      </c>
      <c r="M370" s="27" t="n">
        <f>40</f>
        <v>40.0</v>
      </c>
      <c r="N370" s="5" t="s">
        <v>514</v>
      </c>
      <c r="O370" s="28" t="str">
        <f>"－"</f>
        <v>－</v>
      </c>
      <c r="P370" s="3" t="s">
        <v>980</v>
      </c>
      <c r="Q370" s="26"/>
      <c r="R370" s="3" t="s">
        <v>981</v>
      </c>
      <c r="S370" s="26" t="n">
        <f>393690</f>
        <v>393690.0</v>
      </c>
      <c r="T370" s="26" t="n">
        <f>172619</f>
        <v>172619.0</v>
      </c>
      <c r="U370" s="5" t="s">
        <v>982</v>
      </c>
      <c r="V370" s="28" t="n">
        <f>29000000</f>
        <v>2.9E7</v>
      </c>
      <c r="W370" s="5" t="s">
        <v>514</v>
      </c>
      <c r="X370" s="28" t="str">
        <f>"－"</f>
        <v>－</v>
      </c>
      <c r="Y370" s="28"/>
      <c r="Z370" s="26" t="str">
        <f>"－"</f>
        <v>－</v>
      </c>
      <c r="AA370" s="26" t="str">
        <f>"－"</f>
        <v>－</v>
      </c>
      <c r="AB370" s="4" t="s">
        <v>387</v>
      </c>
      <c r="AC370" s="27" t="n">
        <f>40</f>
        <v>40.0</v>
      </c>
      <c r="AD370" s="5" t="s">
        <v>514</v>
      </c>
      <c r="AE370" s="28" t="str">
        <f>"－"</f>
        <v>－</v>
      </c>
    </row>
    <row r="371">
      <c r="A371" s="20" t="s">
        <v>978</v>
      </c>
      <c r="B371" s="21" t="s">
        <v>979</v>
      </c>
      <c r="C371" s="22"/>
      <c r="D371" s="23"/>
      <c r="E371" s="24" t="s">
        <v>92</v>
      </c>
      <c r="F371" s="25" t="n">
        <f>244</f>
        <v>244.0</v>
      </c>
      <c r="G371" s="26" t="n">
        <f>634</f>
        <v>634.0</v>
      </c>
      <c r="H371" s="26"/>
      <c r="I371" s="26" t="n">
        <f>20</f>
        <v>20.0</v>
      </c>
      <c r="J371" s="26" t="n">
        <f>3</f>
        <v>3.0</v>
      </c>
      <c r="K371" s="26" t="n">
        <f>0</f>
        <v>0.0</v>
      </c>
      <c r="L371" s="4" t="s">
        <v>983</v>
      </c>
      <c r="M371" s="27" t="n">
        <f>50</f>
        <v>50.0</v>
      </c>
      <c r="N371" s="5" t="s">
        <v>213</v>
      </c>
      <c r="O371" s="28" t="str">
        <f>"－"</f>
        <v>－</v>
      </c>
      <c r="P371" s="3" t="s">
        <v>984</v>
      </c>
      <c r="Q371" s="26"/>
      <c r="R371" s="3" t="s">
        <v>985</v>
      </c>
      <c r="S371" s="26" t="n">
        <f>2576689</f>
        <v>2576689.0</v>
      </c>
      <c r="T371" s="26" t="n">
        <f>77463</f>
        <v>77463.0</v>
      </c>
      <c r="U371" s="5" t="s">
        <v>983</v>
      </c>
      <c r="V371" s="28" t="n">
        <f>47901500</f>
        <v>4.79015E7</v>
      </c>
      <c r="W371" s="5" t="s">
        <v>213</v>
      </c>
      <c r="X371" s="28" t="str">
        <f>"－"</f>
        <v>－</v>
      </c>
      <c r="Y371" s="28"/>
      <c r="Z371" s="26" t="str">
        <f>"－"</f>
        <v>－</v>
      </c>
      <c r="AA371" s="26" t="str">
        <f>"－"</f>
        <v>－</v>
      </c>
      <c r="AB371" s="4" t="s">
        <v>902</v>
      </c>
      <c r="AC371" s="27" t="n">
        <f>21</f>
        <v>21.0</v>
      </c>
      <c r="AD371" s="5" t="s">
        <v>213</v>
      </c>
      <c r="AE371" s="28" t="str">
        <f>"－"</f>
        <v>－</v>
      </c>
    </row>
    <row r="372">
      <c r="A372" s="20" t="s">
        <v>978</v>
      </c>
      <c r="B372" s="21" t="s">
        <v>979</v>
      </c>
      <c r="C372" s="22"/>
      <c r="D372" s="23"/>
      <c r="E372" s="24" t="s">
        <v>98</v>
      </c>
      <c r="F372" s="25" t="n">
        <f>245</f>
        <v>245.0</v>
      </c>
      <c r="G372" s="26" t="n">
        <f>416</f>
        <v>416.0</v>
      </c>
      <c r="H372" s="26"/>
      <c r="I372" s="26" t="str">
        <f>"－"</f>
        <v>－</v>
      </c>
      <c r="J372" s="26" t="n">
        <f>2</f>
        <v>2.0</v>
      </c>
      <c r="K372" s="26" t="str">
        <f>"－"</f>
        <v>－</v>
      </c>
      <c r="L372" s="4" t="s">
        <v>96</v>
      </c>
      <c r="M372" s="27" t="n">
        <f>45</f>
        <v>45.0</v>
      </c>
      <c r="N372" s="5" t="s">
        <v>455</v>
      </c>
      <c r="O372" s="28" t="str">
        <f>"－"</f>
        <v>－</v>
      </c>
      <c r="P372" s="3" t="s">
        <v>986</v>
      </c>
      <c r="Q372" s="26"/>
      <c r="R372" s="3" t="s">
        <v>160</v>
      </c>
      <c r="S372" s="26" t="n">
        <f>1627576</f>
        <v>1627576.0</v>
      </c>
      <c r="T372" s="26" t="str">
        <f>"－"</f>
        <v>－</v>
      </c>
      <c r="U372" s="5" t="s">
        <v>380</v>
      </c>
      <c r="V372" s="28" t="n">
        <f>42394500</f>
        <v>4.23945E7</v>
      </c>
      <c r="W372" s="5" t="s">
        <v>455</v>
      </c>
      <c r="X372" s="28" t="str">
        <f>"－"</f>
        <v>－</v>
      </c>
      <c r="Y372" s="28"/>
      <c r="Z372" s="26" t="str">
        <f>"－"</f>
        <v>－</v>
      </c>
      <c r="AA372" s="26" t="str">
        <f>"－"</f>
        <v>－</v>
      </c>
      <c r="AB372" s="4" t="s">
        <v>148</v>
      </c>
      <c r="AC372" s="27" t="n">
        <f>6</f>
        <v>6.0</v>
      </c>
      <c r="AD372" s="5" t="s">
        <v>213</v>
      </c>
      <c r="AE372" s="28" t="str">
        <f>"－"</f>
        <v>－</v>
      </c>
    </row>
    <row r="373">
      <c r="A373" s="20" t="s">
        <v>978</v>
      </c>
      <c r="B373" s="21" t="s">
        <v>979</v>
      </c>
      <c r="C373" s="22"/>
      <c r="D373" s="23"/>
      <c r="E373" s="24" t="s">
        <v>103</v>
      </c>
      <c r="F373" s="25" t="n">
        <f>244</f>
        <v>244.0</v>
      </c>
      <c r="G373" s="26" t="n">
        <f>46</f>
        <v>46.0</v>
      </c>
      <c r="H373" s="26"/>
      <c r="I373" s="26" t="str">
        <f>"－"</f>
        <v>－</v>
      </c>
      <c r="J373" s="26" t="n">
        <f>0</f>
        <v>0.0</v>
      </c>
      <c r="K373" s="26" t="str">
        <f>"－"</f>
        <v>－</v>
      </c>
      <c r="L373" s="4" t="s">
        <v>809</v>
      </c>
      <c r="M373" s="27" t="n">
        <f>12</f>
        <v>12.0</v>
      </c>
      <c r="N373" s="5" t="s">
        <v>399</v>
      </c>
      <c r="O373" s="28" t="str">
        <f>"－"</f>
        <v>－</v>
      </c>
      <c r="P373" s="3" t="s">
        <v>987</v>
      </c>
      <c r="Q373" s="26"/>
      <c r="R373" s="3" t="s">
        <v>160</v>
      </c>
      <c r="S373" s="26" t="n">
        <f>190475</f>
        <v>190475.0</v>
      </c>
      <c r="T373" s="26" t="str">
        <f>"－"</f>
        <v>－</v>
      </c>
      <c r="U373" s="5" t="s">
        <v>809</v>
      </c>
      <c r="V373" s="28" t="n">
        <f>10878000</f>
        <v>1.0878E7</v>
      </c>
      <c r="W373" s="5" t="s">
        <v>399</v>
      </c>
      <c r="X373" s="28" t="str">
        <f>"－"</f>
        <v>－</v>
      </c>
      <c r="Y373" s="28"/>
      <c r="Z373" s="26" t="str">
        <f>"－"</f>
        <v>－</v>
      </c>
      <c r="AA373" s="26" t="str">
        <f>"－"</f>
        <v>－</v>
      </c>
      <c r="AB373" s="4" t="s">
        <v>940</v>
      </c>
      <c r="AC373" s="27" t="n">
        <f>3</f>
        <v>3.0</v>
      </c>
      <c r="AD373" s="5" t="s">
        <v>399</v>
      </c>
      <c r="AE373" s="28" t="str">
        <f>"－"</f>
        <v>－</v>
      </c>
    </row>
    <row r="374">
      <c r="A374" s="20" t="s">
        <v>988</v>
      </c>
      <c r="B374" s="21" t="s">
        <v>989</v>
      </c>
      <c r="C374" s="22"/>
      <c r="D374" s="23"/>
      <c r="E374" s="24" t="s">
        <v>87</v>
      </c>
      <c r="F374" s="25" t="n">
        <f>168</f>
        <v>168.0</v>
      </c>
      <c r="G374" s="26" t="n">
        <f>32415</f>
        <v>32415.0</v>
      </c>
      <c r="H374" s="26"/>
      <c r="I374" s="26" t="n">
        <f>374</f>
        <v>374.0</v>
      </c>
      <c r="J374" s="26" t="n">
        <f>193</f>
        <v>193.0</v>
      </c>
      <c r="K374" s="26" t="n">
        <f>2</f>
        <v>2.0</v>
      </c>
      <c r="L374" s="4" t="s">
        <v>203</v>
      </c>
      <c r="M374" s="27" t="n">
        <f>857</f>
        <v>857.0</v>
      </c>
      <c r="N374" s="5" t="s">
        <v>947</v>
      </c>
      <c r="O374" s="28" t="n">
        <f>19</f>
        <v>19.0</v>
      </c>
      <c r="P374" s="3" t="s">
        <v>990</v>
      </c>
      <c r="Q374" s="26"/>
      <c r="R374" s="3" t="s">
        <v>991</v>
      </c>
      <c r="S374" s="26" t="n">
        <f>249385152</f>
        <v>2.49385152E8</v>
      </c>
      <c r="T374" s="26" t="n">
        <f>2845631</f>
        <v>2845631.0</v>
      </c>
      <c r="U374" s="5" t="s">
        <v>203</v>
      </c>
      <c r="V374" s="28" t="n">
        <f>1185993500</f>
        <v>1.1859935E9</v>
      </c>
      <c r="W374" s="5" t="s">
        <v>947</v>
      </c>
      <c r="X374" s="28" t="n">
        <f>22506500</f>
        <v>2.25065E7</v>
      </c>
      <c r="Y374" s="28"/>
      <c r="Z374" s="26" t="str">
        <f>"－"</f>
        <v>－</v>
      </c>
      <c r="AA374" s="26" t="n">
        <f>1783</f>
        <v>1783.0</v>
      </c>
      <c r="AB374" s="4" t="s">
        <v>624</v>
      </c>
      <c r="AC374" s="27" t="n">
        <f>1951</f>
        <v>1951.0</v>
      </c>
      <c r="AD374" s="5" t="s">
        <v>511</v>
      </c>
      <c r="AE374" s="28" t="n">
        <f>1408</f>
        <v>1408.0</v>
      </c>
    </row>
    <row r="375">
      <c r="A375" s="20" t="s">
        <v>988</v>
      </c>
      <c r="B375" s="21" t="s">
        <v>989</v>
      </c>
      <c r="C375" s="22"/>
      <c r="D375" s="23"/>
      <c r="E375" s="24" t="s">
        <v>92</v>
      </c>
      <c r="F375" s="25" t="n">
        <f>244</f>
        <v>244.0</v>
      </c>
      <c r="G375" s="26" t="n">
        <f>70477</f>
        <v>70477.0</v>
      </c>
      <c r="H375" s="26"/>
      <c r="I375" s="26" t="n">
        <f>421</f>
        <v>421.0</v>
      </c>
      <c r="J375" s="26" t="n">
        <f>289</f>
        <v>289.0</v>
      </c>
      <c r="K375" s="26" t="n">
        <f>2</f>
        <v>2.0</v>
      </c>
      <c r="L375" s="4" t="s">
        <v>622</v>
      </c>
      <c r="M375" s="27" t="n">
        <f>1188</f>
        <v>1188.0</v>
      </c>
      <c r="N375" s="5" t="s">
        <v>511</v>
      </c>
      <c r="O375" s="28" t="n">
        <f>25</f>
        <v>25.0</v>
      </c>
      <c r="P375" s="3" t="s">
        <v>992</v>
      </c>
      <c r="Q375" s="26"/>
      <c r="R375" s="3" t="s">
        <v>993</v>
      </c>
      <c r="S375" s="26" t="n">
        <f>540824225</f>
        <v>5.40824225E8</v>
      </c>
      <c r="T375" s="26" t="n">
        <f>3377100</f>
        <v>3377100.0</v>
      </c>
      <c r="U375" s="5" t="s">
        <v>622</v>
      </c>
      <c r="V375" s="28" t="n">
        <f>1982200000</f>
        <v>1.9822E9</v>
      </c>
      <c r="W375" s="5" t="s">
        <v>511</v>
      </c>
      <c r="X375" s="28" t="n">
        <f>47638000</f>
        <v>4.7638E7</v>
      </c>
      <c r="Y375" s="28"/>
      <c r="Z375" s="26" t="str">
        <f>"－"</f>
        <v>－</v>
      </c>
      <c r="AA375" s="26" t="n">
        <f>2162</f>
        <v>2162.0</v>
      </c>
      <c r="AB375" s="4" t="s">
        <v>715</v>
      </c>
      <c r="AC375" s="27" t="n">
        <f>2230</f>
        <v>2230.0</v>
      </c>
      <c r="AD375" s="5" t="s">
        <v>994</v>
      </c>
      <c r="AE375" s="28" t="n">
        <f>1609</f>
        <v>1609.0</v>
      </c>
    </row>
    <row r="376">
      <c r="A376" s="20" t="s">
        <v>988</v>
      </c>
      <c r="B376" s="21" t="s">
        <v>989</v>
      </c>
      <c r="C376" s="22"/>
      <c r="D376" s="23"/>
      <c r="E376" s="24" t="s">
        <v>98</v>
      </c>
      <c r="F376" s="25" t="n">
        <f>245</f>
        <v>245.0</v>
      </c>
      <c r="G376" s="26" t="n">
        <f>45019</f>
        <v>45019.0</v>
      </c>
      <c r="H376" s="26"/>
      <c r="I376" s="26" t="n">
        <f>1574</f>
        <v>1574.0</v>
      </c>
      <c r="J376" s="26" t="n">
        <f>184</f>
        <v>184.0</v>
      </c>
      <c r="K376" s="26" t="n">
        <f>6</f>
        <v>6.0</v>
      </c>
      <c r="L376" s="4" t="s">
        <v>448</v>
      </c>
      <c r="M376" s="27" t="n">
        <f>975</f>
        <v>975.0</v>
      </c>
      <c r="N376" s="5" t="s">
        <v>164</v>
      </c>
      <c r="O376" s="28" t="n">
        <f>16</f>
        <v>16.0</v>
      </c>
      <c r="P376" s="3" t="s">
        <v>995</v>
      </c>
      <c r="Q376" s="26"/>
      <c r="R376" s="3" t="s">
        <v>996</v>
      </c>
      <c r="S376" s="26" t="n">
        <f>461329059</f>
        <v>4.61329059E8</v>
      </c>
      <c r="T376" s="26" t="n">
        <f>16210490</f>
        <v>1.621049E7</v>
      </c>
      <c r="U376" s="5" t="s">
        <v>448</v>
      </c>
      <c r="V376" s="28" t="n">
        <f>2793792000</f>
        <v>2.793792E9</v>
      </c>
      <c r="W376" s="5" t="s">
        <v>164</v>
      </c>
      <c r="X376" s="28" t="n">
        <f>34978000</f>
        <v>3.4978E7</v>
      </c>
      <c r="Y376" s="28"/>
      <c r="Z376" s="26" t="str">
        <f>"－"</f>
        <v>－</v>
      </c>
      <c r="AA376" s="26" t="n">
        <f>1175</f>
        <v>1175.0</v>
      </c>
      <c r="AB376" s="4" t="s">
        <v>614</v>
      </c>
      <c r="AC376" s="27" t="n">
        <f>2352</f>
        <v>2352.0</v>
      </c>
      <c r="AD376" s="5" t="s">
        <v>417</v>
      </c>
      <c r="AE376" s="28" t="n">
        <f>1168</f>
        <v>1168.0</v>
      </c>
    </row>
    <row r="377">
      <c r="A377" s="20" t="s">
        <v>988</v>
      </c>
      <c r="B377" s="21" t="s">
        <v>989</v>
      </c>
      <c r="C377" s="22"/>
      <c r="D377" s="23"/>
      <c r="E377" s="24" t="s">
        <v>103</v>
      </c>
      <c r="F377" s="25" t="n">
        <f>244</f>
        <v>244.0</v>
      </c>
      <c r="G377" s="26" t="n">
        <f>17507</f>
        <v>17507.0</v>
      </c>
      <c r="H377" s="26"/>
      <c r="I377" s="26" t="n">
        <f>612</f>
        <v>612.0</v>
      </c>
      <c r="J377" s="26" t="n">
        <f>72</f>
        <v>72.0</v>
      </c>
      <c r="K377" s="26" t="n">
        <f>3</f>
        <v>3.0</v>
      </c>
      <c r="L377" s="4" t="s">
        <v>318</v>
      </c>
      <c r="M377" s="27" t="n">
        <f>982</f>
        <v>982.0</v>
      </c>
      <c r="N377" s="5" t="s">
        <v>735</v>
      </c>
      <c r="O377" s="28" t="n">
        <f>2</f>
        <v>2.0</v>
      </c>
      <c r="P377" s="3" t="s">
        <v>997</v>
      </c>
      <c r="Q377" s="26"/>
      <c r="R377" s="3" t="s">
        <v>998</v>
      </c>
      <c r="S377" s="26" t="n">
        <f>143728902</f>
        <v>1.43728902E8</v>
      </c>
      <c r="T377" s="26" t="n">
        <f>4676555</f>
        <v>4676555.0</v>
      </c>
      <c r="U377" s="5" t="s">
        <v>318</v>
      </c>
      <c r="V377" s="28" t="n">
        <f>2009491500</f>
        <v>2.0094915E9</v>
      </c>
      <c r="W377" s="5" t="s">
        <v>735</v>
      </c>
      <c r="X377" s="28" t="n">
        <f>3745000</f>
        <v>3745000.0</v>
      </c>
      <c r="Y377" s="28"/>
      <c r="Z377" s="26" t="str">
        <f>"－"</f>
        <v>－</v>
      </c>
      <c r="AA377" s="26" t="n">
        <f>1296</f>
        <v>1296.0</v>
      </c>
      <c r="AB377" s="4" t="s">
        <v>321</v>
      </c>
      <c r="AC377" s="27" t="n">
        <f>2069</f>
        <v>2069.0</v>
      </c>
      <c r="AD377" s="5" t="s">
        <v>427</v>
      </c>
      <c r="AE377" s="28" t="n">
        <f>1068</f>
        <v>1068.0</v>
      </c>
    </row>
    <row r="378">
      <c r="A378" s="20" t="s">
        <v>999</v>
      </c>
      <c r="B378" s="21" t="s">
        <v>1000</v>
      </c>
      <c r="C378" s="22"/>
      <c r="D378" s="23"/>
      <c r="E378" s="24" t="s">
        <v>87</v>
      </c>
      <c r="F378" s="25" t="n">
        <f>168</f>
        <v>168.0</v>
      </c>
      <c r="G378" s="26" t="n">
        <f>2</f>
        <v>2.0</v>
      </c>
      <c r="H378" s="26"/>
      <c r="I378" s="26" t="str">
        <f>"－"</f>
        <v>－</v>
      </c>
      <c r="J378" s="26" t="n">
        <f>0</f>
        <v>0.0</v>
      </c>
      <c r="K378" s="26" t="str">
        <f>"－"</f>
        <v>－</v>
      </c>
      <c r="L378" s="4" t="s">
        <v>868</v>
      </c>
      <c r="M378" s="27" t="n">
        <f>1</f>
        <v>1.0</v>
      </c>
      <c r="N378" s="5" t="s">
        <v>514</v>
      </c>
      <c r="O378" s="28" t="str">
        <f>"－"</f>
        <v>－</v>
      </c>
      <c r="P378" s="3" t="s">
        <v>1001</v>
      </c>
      <c r="Q378" s="26"/>
      <c r="R378" s="3" t="s">
        <v>160</v>
      </c>
      <c r="S378" s="26" t="n">
        <f>14405</f>
        <v>14405.0</v>
      </c>
      <c r="T378" s="26" t="str">
        <f>"－"</f>
        <v>－</v>
      </c>
      <c r="U378" s="5" t="s">
        <v>524</v>
      </c>
      <c r="V378" s="28" t="n">
        <f>1270000</f>
        <v>1270000.0</v>
      </c>
      <c r="W378" s="5" t="s">
        <v>514</v>
      </c>
      <c r="X378" s="28" t="str">
        <f>"－"</f>
        <v>－</v>
      </c>
      <c r="Y378" s="28"/>
      <c r="Z378" s="26" t="str">
        <f>"－"</f>
        <v>－</v>
      </c>
      <c r="AA378" s="26" t="str">
        <f>"－"</f>
        <v>－</v>
      </c>
      <c r="AB378" s="4" t="s">
        <v>868</v>
      </c>
      <c r="AC378" s="27" t="n">
        <f>1</f>
        <v>1.0</v>
      </c>
      <c r="AD378" s="5" t="s">
        <v>514</v>
      </c>
      <c r="AE378" s="28" t="str">
        <f>"－"</f>
        <v>－</v>
      </c>
    </row>
    <row r="379">
      <c r="A379" s="20" t="s">
        <v>999</v>
      </c>
      <c r="B379" s="21" t="s">
        <v>1000</v>
      </c>
      <c r="C379" s="22"/>
      <c r="D379" s="23"/>
      <c r="E379" s="24" t="s">
        <v>92</v>
      </c>
      <c r="F379" s="25" t="n">
        <f>244</f>
        <v>244.0</v>
      </c>
      <c r="G379" s="26" t="str">
        <f>"－"</f>
        <v>－</v>
      </c>
      <c r="H379" s="26"/>
      <c r="I379" s="26" t="str">
        <f>"－"</f>
        <v>－</v>
      </c>
      <c r="J379" s="26" t="str">
        <f>"－"</f>
        <v>－</v>
      </c>
      <c r="K379" s="26" t="str">
        <f>"－"</f>
        <v>－</v>
      </c>
      <c r="L379" s="4" t="s">
        <v>213</v>
      </c>
      <c r="M379" s="27" t="str">
        <f>"－"</f>
        <v>－</v>
      </c>
      <c r="N379" s="5" t="s">
        <v>213</v>
      </c>
      <c r="O379" s="28" t="str">
        <f>"－"</f>
        <v>－</v>
      </c>
      <c r="P379" s="3" t="s">
        <v>160</v>
      </c>
      <c r="Q379" s="26"/>
      <c r="R379" s="3" t="s">
        <v>160</v>
      </c>
      <c r="S379" s="26" t="str">
        <f>"－"</f>
        <v>－</v>
      </c>
      <c r="T379" s="26" t="str">
        <f>"－"</f>
        <v>－</v>
      </c>
      <c r="U379" s="5" t="s">
        <v>213</v>
      </c>
      <c r="V379" s="28" t="str">
        <f>"－"</f>
        <v>－</v>
      </c>
      <c r="W379" s="5" t="s">
        <v>213</v>
      </c>
      <c r="X379" s="28" t="str">
        <f>"－"</f>
        <v>－</v>
      </c>
      <c r="Y379" s="28"/>
      <c r="Z379" s="26" t="str">
        <f>"－"</f>
        <v>－</v>
      </c>
      <c r="AA379" s="26" t="str">
        <f>"－"</f>
        <v>－</v>
      </c>
      <c r="AB379" s="4" t="s">
        <v>213</v>
      </c>
      <c r="AC379" s="27" t="str">
        <f>"－"</f>
        <v>－</v>
      </c>
      <c r="AD379" s="5" t="s">
        <v>213</v>
      </c>
      <c r="AE379" s="28" t="str">
        <f>"－"</f>
        <v>－</v>
      </c>
    </row>
    <row r="380">
      <c r="A380" s="20" t="s">
        <v>999</v>
      </c>
      <c r="B380" s="21" t="s">
        <v>1000</v>
      </c>
      <c r="C380" s="22"/>
      <c r="D380" s="23"/>
      <c r="E380" s="24" t="s">
        <v>98</v>
      </c>
      <c r="F380" s="25" t="n">
        <f>245</f>
        <v>245.0</v>
      </c>
      <c r="G380" s="26" t="str">
        <f>"－"</f>
        <v>－</v>
      </c>
      <c r="H380" s="26"/>
      <c r="I380" s="26" t="str">
        <f>"－"</f>
        <v>－</v>
      </c>
      <c r="J380" s="26" t="str">
        <f>"－"</f>
        <v>－</v>
      </c>
      <c r="K380" s="26" t="str">
        <f>"－"</f>
        <v>－</v>
      </c>
      <c r="L380" s="4" t="s">
        <v>213</v>
      </c>
      <c r="M380" s="27" t="str">
        <f>"－"</f>
        <v>－</v>
      </c>
      <c r="N380" s="5" t="s">
        <v>213</v>
      </c>
      <c r="O380" s="28" t="str">
        <f>"－"</f>
        <v>－</v>
      </c>
      <c r="P380" s="3" t="s">
        <v>160</v>
      </c>
      <c r="Q380" s="26"/>
      <c r="R380" s="3" t="s">
        <v>160</v>
      </c>
      <c r="S380" s="26" t="str">
        <f>"－"</f>
        <v>－</v>
      </c>
      <c r="T380" s="26" t="str">
        <f>"－"</f>
        <v>－</v>
      </c>
      <c r="U380" s="5" t="s">
        <v>213</v>
      </c>
      <c r="V380" s="28" t="str">
        <f>"－"</f>
        <v>－</v>
      </c>
      <c r="W380" s="5" t="s">
        <v>213</v>
      </c>
      <c r="X380" s="28" t="str">
        <f>"－"</f>
        <v>－</v>
      </c>
      <c r="Y380" s="28"/>
      <c r="Z380" s="26" t="str">
        <f>"－"</f>
        <v>－</v>
      </c>
      <c r="AA380" s="26" t="str">
        <f>"－"</f>
        <v>－</v>
      </c>
      <c r="AB380" s="4" t="s">
        <v>213</v>
      </c>
      <c r="AC380" s="27" t="str">
        <f>"－"</f>
        <v>－</v>
      </c>
      <c r="AD380" s="5" t="s">
        <v>213</v>
      </c>
      <c r="AE380" s="28" t="str">
        <f>"－"</f>
        <v>－</v>
      </c>
    </row>
    <row r="381">
      <c r="A381" s="20" t="s">
        <v>999</v>
      </c>
      <c r="B381" s="21" t="s">
        <v>1000</v>
      </c>
      <c r="C381" s="22"/>
      <c r="D381" s="23"/>
      <c r="E381" s="24" t="s">
        <v>103</v>
      </c>
      <c r="F381" s="25" t="n">
        <f>244</f>
        <v>244.0</v>
      </c>
      <c r="G381" s="26" t="n">
        <f>2</f>
        <v>2.0</v>
      </c>
      <c r="H381" s="26"/>
      <c r="I381" s="26" t="str">
        <f>"－"</f>
        <v>－</v>
      </c>
      <c r="J381" s="26" t="n">
        <f>0</f>
        <v>0.0</v>
      </c>
      <c r="K381" s="26" t="str">
        <f>"－"</f>
        <v>－</v>
      </c>
      <c r="L381" s="4" t="s">
        <v>809</v>
      </c>
      <c r="M381" s="27" t="n">
        <f>2</f>
        <v>2.0</v>
      </c>
      <c r="N381" s="5" t="s">
        <v>399</v>
      </c>
      <c r="O381" s="28" t="str">
        <f>"－"</f>
        <v>－</v>
      </c>
      <c r="P381" s="3" t="s">
        <v>1002</v>
      </c>
      <c r="Q381" s="26"/>
      <c r="R381" s="3" t="s">
        <v>160</v>
      </c>
      <c r="S381" s="26" t="n">
        <f>12920</f>
        <v>12920.0</v>
      </c>
      <c r="T381" s="26" t="str">
        <f>"－"</f>
        <v>－</v>
      </c>
      <c r="U381" s="5" t="s">
        <v>809</v>
      </c>
      <c r="V381" s="28" t="n">
        <f>3152500</f>
        <v>3152500.0</v>
      </c>
      <c r="W381" s="5" t="s">
        <v>399</v>
      </c>
      <c r="X381" s="28" t="str">
        <f>"－"</f>
        <v>－</v>
      </c>
      <c r="Y381" s="28"/>
      <c r="Z381" s="26" t="str">
        <f>"－"</f>
        <v>－</v>
      </c>
      <c r="AA381" s="26" t="str">
        <f>"－"</f>
        <v>－</v>
      </c>
      <c r="AB381" s="4" t="s">
        <v>399</v>
      </c>
      <c r="AC381" s="27" t="str">
        <f>"－"</f>
        <v>－</v>
      </c>
      <c r="AD381" s="5" t="s">
        <v>399</v>
      </c>
      <c r="AE381" s="28" t="str">
        <f>"－"</f>
        <v>－</v>
      </c>
    </row>
    <row r="382">
      <c r="A382" s="20" t="s">
        <v>1003</v>
      </c>
      <c r="B382" s="21" t="s">
        <v>1004</v>
      </c>
      <c r="C382" s="22"/>
      <c r="D382" s="23"/>
      <c r="E382" s="24" t="s">
        <v>87</v>
      </c>
      <c r="F382" s="25" t="n">
        <f>168</f>
        <v>168.0</v>
      </c>
      <c r="G382" s="26" t="n">
        <f>26</f>
        <v>26.0</v>
      </c>
      <c r="H382" s="26"/>
      <c r="I382" s="26" t="n">
        <f>2</f>
        <v>2.0</v>
      </c>
      <c r="J382" s="26" t="n">
        <f>0</f>
        <v>0.0</v>
      </c>
      <c r="K382" s="26" t="n">
        <f>0</f>
        <v>0.0</v>
      </c>
      <c r="L382" s="4" t="s">
        <v>96</v>
      </c>
      <c r="M382" s="27" t="n">
        <f>3</f>
        <v>3.0</v>
      </c>
      <c r="N382" s="5" t="s">
        <v>514</v>
      </c>
      <c r="O382" s="28" t="str">
        <f>"－"</f>
        <v>－</v>
      </c>
      <c r="P382" s="3" t="s">
        <v>1005</v>
      </c>
      <c r="Q382" s="26"/>
      <c r="R382" s="3" t="s">
        <v>1006</v>
      </c>
      <c r="S382" s="26" t="n">
        <f>138290</f>
        <v>138290.0</v>
      </c>
      <c r="T382" s="26" t="n">
        <f>10119</f>
        <v>10119.0</v>
      </c>
      <c r="U382" s="5" t="s">
        <v>735</v>
      </c>
      <c r="V382" s="28" t="n">
        <f>2952000</f>
        <v>2952000.0</v>
      </c>
      <c r="W382" s="5" t="s">
        <v>514</v>
      </c>
      <c r="X382" s="28" t="str">
        <f>"－"</f>
        <v>－</v>
      </c>
      <c r="Y382" s="28"/>
      <c r="Z382" s="26" t="str">
        <f>"－"</f>
        <v>－</v>
      </c>
      <c r="AA382" s="26" t="n">
        <f>2</f>
        <v>2.0</v>
      </c>
      <c r="AB382" s="4" t="s">
        <v>96</v>
      </c>
      <c r="AC382" s="27" t="n">
        <f>8</f>
        <v>8.0</v>
      </c>
      <c r="AD382" s="5" t="s">
        <v>604</v>
      </c>
      <c r="AE382" s="28" t="str">
        <f>"－"</f>
        <v>－</v>
      </c>
    </row>
    <row r="383">
      <c r="A383" s="20" t="s">
        <v>1003</v>
      </c>
      <c r="B383" s="21" t="s">
        <v>1004</v>
      </c>
      <c r="C383" s="22"/>
      <c r="D383" s="23"/>
      <c r="E383" s="24" t="s">
        <v>92</v>
      </c>
      <c r="F383" s="25" t="n">
        <f>244</f>
        <v>244.0</v>
      </c>
      <c r="G383" s="26" t="str">
        <f>"－"</f>
        <v>－</v>
      </c>
      <c r="H383" s="26"/>
      <c r="I383" s="26" t="str">
        <f>"－"</f>
        <v>－</v>
      </c>
      <c r="J383" s="26" t="str">
        <f>"－"</f>
        <v>－</v>
      </c>
      <c r="K383" s="26" t="str">
        <f>"－"</f>
        <v>－</v>
      </c>
      <c r="L383" s="4" t="s">
        <v>213</v>
      </c>
      <c r="M383" s="27" t="str">
        <f>"－"</f>
        <v>－</v>
      </c>
      <c r="N383" s="5" t="s">
        <v>213</v>
      </c>
      <c r="O383" s="28" t="str">
        <f>"－"</f>
        <v>－</v>
      </c>
      <c r="P383" s="3" t="s">
        <v>160</v>
      </c>
      <c r="Q383" s="26"/>
      <c r="R383" s="3" t="s">
        <v>160</v>
      </c>
      <c r="S383" s="26" t="str">
        <f>"－"</f>
        <v>－</v>
      </c>
      <c r="T383" s="26" t="str">
        <f>"－"</f>
        <v>－</v>
      </c>
      <c r="U383" s="5" t="s">
        <v>213</v>
      </c>
      <c r="V383" s="28" t="str">
        <f>"－"</f>
        <v>－</v>
      </c>
      <c r="W383" s="5" t="s">
        <v>213</v>
      </c>
      <c r="X383" s="28" t="str">
        <f>"－"</f>
        <v>－</v>
      </c>
      <c r="Y383" s="28"/>
      <c r="Z383" s="26" t="str">
        <f>"－"</f>
        <v>－</v>
      </c>
      <c r="AA383" s="26" t="str">
        <f>"－"</f>
        <v>－</v>
      </c>
      <c r="AB383" s="4" t="s">
        <v>213</v>
      </c>
      <c r="AC383" s="27" t="n">
        <f>2</f>
        <v>2.0</v>
      </c>
      <c r="AD383" s="5" t="s">
        <v>801</v>
      </c>
      <c r="AE383" s="28" t="str">
        <f>"－"</f>
        <v>－</v>
      </c>
    </row>
    <row r="384">
      <c r="A384" s="20" t="s">
        <v>1003</v>
      </c>
      <c r="B384" s="21" t="s">
        <v>1004</v>
      </c>
      <c r="C384" s="22"/>
      <c r="D384" s="23"/>
      <c r="E384" s="24" t="s">
        <v>98</v>
      </c>
      <c r="F384" s="25" t="n">
        <f>245</f>
        <v>245.0</v>
      </c>
      <c r="G384" s="26" t="str">
        <f>"－"</f>
        <v>－</v>
      </c>
      <c r="H384" s="26"/>
      <c r="I384" s="26" t="str">
        <f>"－"</f>
        <v>－</v>
      </c>
      <c r="J384" s="26" t="str">
        <f>"－"</f>
        <v>－</v>
      </c>
      <c r="K384" s="26" t="str">
        <f>"－"</f>
        <v>－</v>
      </c>
      <c r="L384" s="4" t="s">
        <v>213</v>
      </c>
      <c r="M384" s="27" t="str">
        <f>"－"</f>
        <v>－</v>
      </c>
      <c r="N384" s="5" t="s">
        <v>213</v>
      </c>
      <c r="O384" s="28" t="str">
        <f>"－"</f>
        <v>－</v>
      </c>
      <c r="P384" s="3" t="s">
        <v>160</v>
      </c>
      <c r="Q384" s="26"/>
      <c r="R384" s="3" t="s">
        <v>160</v>
      </c>
      <c r="S384" s="26" t="str">
        <f>"－"</f>
        <v>－</v>
      </c>
      <c r="T384" s="26" t="str">
        <f>"－"</f>
        <v>－</v>
      </c>
      <c r="U384" s="5" t="s">
        <v>213</v>
      </c>
      <c r="V384" s="28" t="str">
        <f>"－"</f>
        <v>－</v>
      </c>
      <c r="W384" s="5" t="s">
        <v>213</v>
      </c>
      <c r="X384" s="28" t="str">
        <f>"－"</f>
        <v>－</v>
      </c>
      <c r="Y384" s="28"/>
      <c r="Z384" s="26" t="str">
        <f>"－"</f>
        <v>－</v>
      </c>
      <c r="AA384" s="26" t="str">
        <f>"－"</f>
        <v>－</v>
      </c>
      <c r="AB384" s="4" t="s">
        <v>213</v>
      </c>
      <c r="AC384" s="27" t="str">
        <f>"－"</f>
        <v>－</v>
      </c>
      <c r="AD384" s="5" t="s">
        <v>213</v>
      </c>
      <c r="AE384" s="28" t="str">
        <f>"－"</f>
        <v>－</v>
      </c>
    </row>
    <row r="385">
      <c r="A385" s="20" t="s">
        <v>1003</v>
      </c>
      <c r="B385" s="21" t="s">
        <v>1004</v>
      </c>
      <c r="C385" s="22"/>
      <c r="D385" s="23"/>
      <c r="E385" s="24" t="s">
        <v>103</v>
      </c>
      <c r="F385" s="25" t="n">
        <f>244</f>
        <v>244.0</v>
      </c>
      <c r="G385" s="26" t="n">
        <f>2</f>
        <v>2.0</v>
      </c>
      <c r="H385" s="26"/>
      <c r="I385" s="26" t="str">
        <f>"－"</f>
        <v>－</v>
      </c>
      <c r="J385" s="26" t="n">
        <f>0</f>
        <v>0.0</v>
      </c>
      <c r="K385" s="26" t="str">
        <f>"－"</f>
        <v>－</v>
      </c>
      <c r="L385" s="4" t="s">
        <v>809</v>
      </c>
      <c r="M385" s="27" t="n">
        <f>2</f>
        <v>2.0</v>
      </c>
      <c r="N385" s="5" t="s">
        <v>399</v>
      </c>
      <c r="O385" s="28" t="str">
        <f>"－"</f>
        <v>－</v>
      </c>
      <c r="P385" s="3" t="s">
        <v>1007</v>
      </c>
      <c r="Q385" s="26"/>
      <c r="R385" s="3" t="s">
        <v>160</v>
      </c>
      <c r="S385" s="26" t="n">
        <f>8003</f>
        <v>8003.0</v>
      </c>
      <c r="T385" s="26" t="str">
        <f>"－"</f>
        <v>－</v>
      </c>
      <c r="U385" s="5" t="s">
        <v>809</v>
      </c>
      <c r="V385" s="28" t="n">
        <f>1952800</f>
        <v>1952800.0</v>
      </c>
      <c r="W385" s="5" t="s">
        <v>399</v>
      </c>
      <c r="X385" s="28" t="str">
        <f>"－"</f>
        <v>－</v>
      </c>
      <c r="Y385" s="28"/>
      <c r="Z385" s="26" t="str">
        <f>"－"</f>
        <v>－</v>
      </c>
      <c r="AA385" s="26" t="str">
        <f>"－"</f>
        <v>－</v>
      </c>
      <c r="AB385" s="4" t="s">
        <v>399</v>
      </c>
      <c r="AC385" s="27" t="str">
        <f>"－"</f>
        <v>－</v>
      </c>
      <c r="AD385" s="5" t="s">
        <v>399</v>
      </c>
      <c r="AE385" s="28" t="str">
        <f>"－"</f>
        <v>－</v>
      </c>
    </row>
    <row r="386">
      <c r="A386" s="20" t="s">
        <v>1008</v>
      </c>
      <c r="B386" s="21" t="s">
        <v>1009</v>
      </c>
      <c r="C386" s="22"/>
      <c r="D386" s="23"/>
      <c r="E386" s="24" t="s">
        <v>87</v>
      </c>
      <c r="F386" s="25" t="n">
        <f>168</f>
        <v>168.0</v>
      </c>
      <c r="G386" s="26" t="n">
        <f>38438</f>
        <v>38438.0</v>
      </c>
      <c r="H386" s="26"/>
      <c r="I386" s="26" t="n">
        <f>2269</f>
        <v>2269.0</v>
      </c>
      <c r="J386" s="26" t="n">
        <f>229</f>
        <v>229.0</v>
      </c>
      <c r="K386" s="26" t="n">
        <f>14</f>
        <v>14.0</v>
      </c>
      <c r="L386" s="4" t="s">
        <v>170</v>
      </c>
      <c r="M386" s="27" t="n">
        <f>722</f>
        <v>722.0</v>
      </c>
      <c r="N386" s="5" t="s">
        <v>937</v>
      </c>
      <c r="O386" s="28" t="n">
        <f>54</f>
        <v>54.0</v>
      </c>
      <c r="P386" s="3" t="s">
        <v>1010</v>
      </c>
      <c r="Q386" s="26"/>
      <c r="R386" s="3" t="s">
        <v>1011</v>
      </c>
      <c r="S386" s="26" t="n">
        <f>504158065</f>
        <v>5.04158065E8</v>
      </c>
      <c r="T386" s="26" t="n">
        <f>29590917</f>
        <v>2.9590917E7</v>
      </c>
      <c r="U386" s="5" t="s">
        <v>170</v>
      </c>
      <c r="V386" s="28" t="n">
        <f>1423741500</f>
        <v>1.4237415E9</v>
      </c>
      <c r="W386" s="5" t="s">
        <v>937</v>
      </c>
      <c r="X386" s="28" t="n">
        <f>111816500</f>
        <v>1.118165E8</v>
      </c>
      <c r="Y386" s="28"/>
      <c r="Z386" s="26" t="str">
        <f>"－"</f>
        <v>－</v>
      </c>
      <c r="AA386" s="26" t="n">
        <f>1574</f>
        <v>1574.0</v>
      </c>
      <c r="AB386" s="4" t="s">
        <v>57</v>
      </c>
      <c r="AC386" s="27" t="n">
        <f>2066</f>
        <v>2066.0</v>
      </c>
      <c r="AD386" s="5" t="s">
        <v>203</v>
      </c>
      <c r="AE386" s="28" t="n">
        <f>1273</f>
        <v>1273.0</v>
      </c>
    </row>
    <row r="387">
      <c r="A387" s="20" t="s">
        <v>1008</v>
      </c>
      <c r="B387" s="21" t="s">
        <v>1009</v>
      </c>
      <c r="C387" s="22"/>
      <c r="D387" s="23"/>
      <c r="E387" s="24" t="s">
        <v>92</v>
      </c>
      <c r="F387" s="25" t="n">
        <f>244</f>
        <v>244.0</v>
      </c>
      <c r="G387" s="26" t="n">
        <f>27724</f>
        <v>27724.0</v>
      </c>
      <c r="H387" s="26"/>
      <c r="I387" s="26" t="n">
        <f>2018</f>
        <v>2018.0</v>
      </c>
      <c r="J387" s="26" t="n">
        <f>114</f>
        <v>114.0</v>
      </c>
      <c r="K387" s="26" t="n">
        <f>8</f>
        <v>8.0</v>
      </c>
      <c r="L387" s="4" t="s">
        <v>309</v>
      </c>
      <c r="M387" s="27" t="n">
        <f>610</f>
        <v>610.0</v>
      </c>
      <c r="N387" s="5" t="s">
        <v>417</v>
      </c>
      <c r="O387" s="28" t="str">
        <f>"－"</f>
        <v>－</v>
      </c>
      <c r="P387" s="3" t="s">
        <v>1012</v>
      </c>
      <c r="Q387" s="26"/>
      <c r="R387" s="3" t="s">
        <v>1013</v>
      </c>
      <c r="S387" s="26" t="n">
        <f>358481844</f>
        <v>3.58481844E8</v>
      </c>
      <c r="T387" s="26" t="n">
        <f>27382621</f>
        <v>2.7382621E7</v>
      </c>
      <c r="U387" s="5" t="s">
        <v>673</v>
      </c>
      <c r="V387" s="28" t="n">
        <f>1695317000</f>
        <v>1.695317E9</v>
      </c>
      <c r="W387" s="5" t="s">
        <v>417</v>
      </c>
      <c r="X387" s="28" t="str">
        <f>"－"</f>
        <v>－</v>
      </c>
      <c r="Y387" s="28"/>
      <c r="Z387" s="26" t="str">
        <f>"－"</f>
        <v>－</v>
      </c>
      <c r="AA387" s="26" t="n">
        <f>246</f>
        <v>246.0</v>
      </c>
      <c r="AB387" s="4" t="s">
        <v>302</v>
      </c>
      <c r="AC387" s="27" t="n">
        <f>1692</f>
        <v>1692.0</v>
      </c>
      <c r="AD387" s="5" t="s">
        <v>926</v>
      </c>
      <c r="AE387" s="28" t="n">
        <f>246</f>
        <v>246.0</v>
      </c>
    </row>
    <row r="388">
      <c r="A388" s="20" t="s">
        <v>1008</v>
      </c>
      <c r="B388" s="21" t="s">
        <v>1009</v>
      </c>
      <c r="C388" s="22"/>
      <c r="D388" s="23"/>
      <c r="E388" s="24" t="s">
        <v>98</v>
      </c>
      <c r="F388" s="25" t="n">
        <f>245</f>
        <v>245.0</v>
      </c>
      <c r="G388" s="26" t="n">
        <f>482</f>
        <v>482.0</v>
      </c>
      <c r="H388" s="26"/>
      <c r="I388" s="26" t="n">
        <f>128</f>
        <v>128.0</v>
      </c>
      <c r="J388" s="26" t="n">
        <f>2</f>
        <v>2.0</v>
      </c>
      <c r="K388" s="26" t="n">
        <f>1</f>
        <v>1.0</v>
      </c>
      <c r="L388" s="4" t="s">
        <v>542</v>
      </c>
      <c r="M388" s="27" t="n">
        <f>42</f>
        <v>42.0</v>
      </c>
      <c r="N388" s="5" t="s">
        <v>455</v>
      </c>
      <c r="O388" s="28" t="str">
        <f>"－"</f>
        <v>－</v>
      </c>
      <c r="P388" s="3" t="s">
        <v>1014</v>
      </c>
      <c r="Q388" s="26"/>
      <c r="R388" s="3" t="s">
        <v>1015</v>
      </c>
      <c r="S388" s="26" t="n">
        <f>7805245</f>
        <v>7805245.0</v>
      </c>
      <c r="T388" s="26" t="n">
        <f>2024643</f>
        <v>2024643.0</v>
      </c>
      <c r="U388" s="5" t="s">
        <v>542</v>
      </c>
      <c r="V388" s="28" t="n">
        <f>171435000</f>
        <v>1.71435E8</v>
      </c>
      <c r="W388" s="5" t="s">
        <v>455</v>
      </c>
      <c r="X388" s="28" t="str">
        <f>"－"</f>
        <v>－</v>
      </c>
      <c r="Y388" s="28"/>
      <c r="Z388" s="26" t="str">
        <f>"－"</f>
        <v>－</v>
      </c>
      <c r="AA388" s="26" t="str">
        <f>"－"</f>
        <v>－</v>
      </c>
      <c r="AB388" s="4" t="s">
        <v>545</v>
      </c>
      <c r="AC388" s="27" t="n">
        <f>253</f>
        <v>253.0</v>
      </c>
      <c r="AD388" s="5" t="s">
        <v>594</v>
      </c>
      <c r="AE388" s="28" t="str">
        <f>"－"</f>
        <v>－</v>
      </c>
    </row>
    <row r="389">
      <c r="A389" s="20" t="s">
        <v>1008</v>
      </c>
      <c r="B389" s="21" t="s">
        <v>1009</v>
      </c>
      <c r="C389" s="22"/>
      <c r="D389" s="23"/>
      <c r="E389" s="24" t="s">
        <v>103</v>
      </c>
      <c r="F389" s="25" t="n">
        <f>244</f>
        <v>244.0</v>
      </c>
      <c r="G389" s="26" t="str">
        <f>"－"</f>
        <v>－</v>
      </c>
      <c r="H389" s="26"/>
      <c r="I389" s="26" t="str">
        <f>"－"</f>
        <v>－</v>
      </c>
      <c r="J389" s="26" t="str">
        <f>"－"</f>
        <v>－</v>
      </c>
      <c r="K389" s="26" t="str">
        <f>"－"</f>
        <v>－</v>
      </c>
      <c r="L389" s="4" t="s">
        <v>399</v>
      </c>
      <c r="M389" s="27" t="str">
        <f>"－"</f>
        <v>－</v>
      </c>
      <c r="N389" s="5" t="s">
        <v>399</v>
      </c>
      <c r="O389" s="28" t="str">
        <f>"－"</f>
        <v>－</v>
      </c>
      <c r="P389" s="3" t="s">
        <v>160</v>
      </c>
      <c r="Q389" s="26"/>
      <c r="R389" s="3" t="s">
        <v>160</v>
      </c>
      <c r="S389" s="26" t="str">
        <f>"－"</f>
        <v>－</v>
      </c>
      <c r="T389" s="26" t="str">
        <f>"－"</f>
        <v>－</v>
      </c>
      <c r="U389" s="5" t="s">
        <v>399</v>
      </c>
      <c r="V389" s="28" t="str">
        <f>"－"</f>
        <v>－</v>
      </c>
      <c r="W389" s="5" t="s">
        <v>399</v>
      </c>
      <c r="X389" s="28" t="str">
        <f>"－"</f>
        <v>－</v>
      </c>
      <c r="Y389" s="28"/>
      <c r="Z389" s="26" t="str">
        <f>"－"</f>
        <v>－</v>
      </c>
      <c r="AA389" s="26" t="str">
        <f>"－"</f>
        <v>－</v>
      </c>
      <c r="AB389" s="4" t="s">
        <v>399</v>
      </c>
      <c r="AC389" s="27" t="str">
        <f>"－"</f>
        <v>－</v>
      </c>
      <c r="AD389" s="5" t="s">
        <v>399</v>
      </c>
      <c r="AE389" s="28" t="str">
        <f>"－"</f>
        <v>－</v>
      </c>
    </row>
    <row r="390">
      <c r="A390" s="20" t="s">
        <v>1016</v>
      </c>
      <c r="B390" s="21" t="s">
        <v>1017</v>
      </c>
      <c r="C390" s="22"/>
      <c r="D390" s="23"/>
      <c r="E390" s="24" t="s">
        <v>87</v>
      </c>
      <c r="F390" s="25" t="n">
        <f>168</f>
        <v>168.0</v>
      </c>
      <c r="G390" s="26" t="n">
        <f>24313</f>
        <v>24313.0</v>
      </c>
      <c r="H390" s="26"/>
      <c r="I390" s="26" t="n">
        <f>1928</f>
        <v>1928.0</v>
      </c>
      <c r="J390" s="26" t="n">
        <f>145</f>
        <v>145.0</v>
      </c>
      <c r="K390" s="26" t="n">
        <f>11</f>
        <v>11.0</v>
      </c>
      <c r="L390" s="4" t="s">
        <v>301</v>
      </c>
      <c r="M390" s="27" t="n">
        <f>533</f>
        <v>533.0</v>
      </c>
      <c r="N390" s="5" t="s">
        <v>937</v>
      </c>
      <c r="O390" s="28" t="n">
        <f>25</f>
        <v>25.0</v>
      </c>
      <c r="P390" s="3" t="s">
        <v>1018</v>
      </c>
      <c r="Q390" s="26"/>
      <c r="R390" s="3" t="s">
        <v>1019</v>
      </c>
      <c r="S390" s="26" t="n">
        <f>336702458</f>
        <v>3.36702458E8</v>
      </c>
      <c r="T390" s="26" t="n">
        <f>27295765</f>
        <v>2.7295765E7</v>
      </c>
      <c r="U390" s="5" t="s">
        <v>182</v>
      </c>
      <c r="V390" s="28" t="n">
        <f>1373528000</f>
        <v>1.373528E9</v>
      </c>
      <c r="W390" s="5" t="s">
        <v>937</v>
      </c>
      <c r="X390" s="28" t="n">
        <f>54473500</f>
        <v>5.44735E7</v>
      </c>
      <c r="Y390" s="28"/>
      <c r="Z390" s="26" t="str">
        <f>"－"</f>
        <v>－</v>
      </c>
      <c r="AA390" s="26" t="n">
        <f>1086</f>
        <v>1086.0</v>
      </c>
      <c r="AB390" s="4" t="s">
        <v>1020</v>
      </c>
      <c r="AC390" s="27" t="n">
        <f>1758</f>
        <v>1758.0</v>
      </c>
      <c r="AD390" s="5" t="s">
        <v>514</v>
      </c>
      <c r="AE390" s="28" t="n">
        <f>655</f>
        <v>655.0</v>
      </c>
    </row>
    <row r="391">
      <c r="A391" s="20" t="s">
        <v>1016</v>
      </c>
      <c r="B391" s="21" t="s">
        <v>1017</v>
      </c>
      <c r="C391" s="22"/>
      <c r="D391" s="23"/>
      <c r="E391" s="24" t="s">
        <v>92</v>
      </c>
      <c r="F391" s="25" t="n">
        <f>244</f>
        <v>244.0</v>
      </c>
      <c r="G391" s="26" t="n">
        <f>15498</f>
        <v>15498.0</v>
      </c>
      <c r="H391" s="26"/>
      <c r="I391" s="26" t="n">
        <f>2042</f>
        <v>2042.0</v>
      </c>
      <c r="J391" s="26" t="n">
        <f>64</f>
        <v>64.0</v>
      </c>
      <c r="K391" s="26" t="n">
        <f>8</f>
        <v>8.0</v>
      </c>
      <c r="L391" s="4" t="s">
        <v>889</v>
      </c>
      <c r="M391" s="27" t="n">
        <f>405</f>
        <v>405.0</v>
      </c>
      <c r="N391" s="5" t="s">
        <v>157</v>
      </c>
      <c r="O391" s="28" t="str">
        <f>"－"</f>
        <v>－</v>
      </c>
      <c r="P391" s="3" t="s">
        <v>1021</v>
      </c>
      <c r="Q391" s="26"/>
      <c r="R391" s="3" t="s">
        <v>1022</v>
      </c>
      <c r="S391" s="26" t="n">
        <f>203954033</f>
        <v>2.03954033E8</v>
      </c>
      <c r="T391" s="26" t="n">
        <f>27877338</f>
        <v>2.7877338E7</v>
      </c>
      <c r="U391" s="5" t="s">
        <v>889</v>
      </c>
      <c r="V391" s="28" t="n">
        <f>1171086500</f>
        <v>1.1710865E9</v>
      </c>
      <c r="W391" s="5" t="s">
        <v>157</v>
      </c>
      <c r="X391" s="28" t="str">
        <f>"－"</f>
        <v>－</v>
      </c>
      <c r="Y391" s="28"/>
      <c r="Z391" s="26" t="str">
        <f>"－"</f>
        <v>－</v>
      </c>
      <c r="AA391" s="26" t="n">
        <f>56</f>
        <v>56.0</v>
      </c>
      <c r="AB391" s="4" t="s">
        <v>309</v>
      </c>
      <c r="AC391" s="27" t="n">
        <f>1072</f>
        <v>1072.0</v>
      </c>
      <c r="AD391" s="5" t="s">
        <v>417</v>
      </c>
      <c r="AE391" s="28" t="n">
        <f>56</f>
        <v>56.0</v>
      </c>
    </row>
    <row r="392">
      <c r="A392" s="20" t="s">
        <v>1016</v>
      </c>
      <c r="B392" s="21" t="s">
        <v>1017</v>
      </c>
      <c r="C392" s="22"/>
      <c r="D392" s="23"/>
      <c r="E392" s="24" t="s">
        <v>98</v>
      </c>
      <c r="F392" s="25" t="n">
        <f>245</f>
        <v>245.0</v>
      </c>
      <c r="G392" s="26" t="n">
        <f>543</f>
        <v>543.0</v>
      </c>
      <c r="H392" s="26"/>
      <c r="I392" s="26" t="n">
        <f>234</f>
        <v>234.0</v>
      </c>
      <c r="J392" s="26" t="n">
        <f>2</f>
        <v>2.0</v>
      </c>
      <c r="K392" s="26" t="n">
        <f>1</f>
        <v>1.0</v>
      </c>
      <c r="L392" s="4" t="s">
        <v>1023</v>
      </c>
      <c r="M392" s="27" t="n">
        <f>130</f>
        <v>130.0</v>
      </c>
      <c r="N392" s="5" t="s">
        <v>474</v>
      </c>
      <c r="O392" s="28" t="str">
        <f>"－"</f>
        <v>－</v>
      </c>
      <c r="P392" s="3" t="s">
        <v>1024</v>
      </c>
      <c r="Q392" s="26"/>
      <c r="R392" s="3" t="s">
        <v>1025</v>
      </c>
      <c r="S392" s="26" t="n">
        <f>8750239</f>
        <v>8750239.0</v>
      </c>
      <c r="T392" s="26" t="n">
        <f>3725898</f>
        <v>3725898.0</v>
      </c>
      <c r="U392" s="5" t="s">
        <v>1023</v>
      </c>
      <c r="V392" s="28" t="n">
        <f>508490000</f>
        <v>5.0849E8</v>
      </c>
      <c r="W392" s="5" t="s">
        <v>474</v>
      </c>
      <c r="X392" s="28" t="str">
        <f>"－"</f>
        <v>－</v>
      </c>
      <c r="Y392" s="28"/>
      <c r="Z392" s="26" t="str">
        <f>"－"</f>
        <v>－</v>
      </c>
      <c r="AA392" s="26" t="n">
        <f>1</f>
        <v>1.0</v>
      </c>
      <c r="AB392" s="4" t="s">
        <v>302</v>
      </c>
      <c r="AC392" s="27" t="n">
        <f>82</f>
        <v>82.0</v>
      </c>
      <c r="AD392" s="5" t="s">
        <v>50</v>
      </c>
      <c r="AE392" s="28" t="str">
        <f>"－"</f>
        <v>－</v>
      </c>
    </row>
    <row r="393">
      <c r="A393" s="20" t="s">
        <v>1016</v>
      </c>
      <c r="B393" s="21" t="s">
        <v>1017</v>
      </c>
      <c r="C393" s="22"/>
      <c r="D393" s="23"/>
      <c r="E393" s="24" t="s">
        <v>103</v>
      </c>
      <c r="F393" s="25" t="n">
        <f>244</f>
        <v>244.0</v>
      </c>
      <c r="G393" s="26" t="n">
        <f>1</f>
        <v>1.0</v>
      </c>
      <c r="H393" s="26"/>
      <c r="I393" s="26" t="str">
        <f>"－"</f>
        <v>－</v>
      </c>
      <c r="J393" s="26" t="n">
        <f>0</f>
        <v>0.0</v>
      </c>
      <c r="K393" s="26" t="str">
        <f>"－"</f>
        <v>－</v>
      </c>
      <c r="L393" s="4" t="s">
        <v>62</v>
      </c>
      <c r="M393" s="27" t="n">
        <f>1</f>
        <v>1.0</v>
      </c>
      <c r="N393" s="5" t="s">
        <v>399</v>
      </c>
      <c r="O393" s="28" t="str">
        <f>"－"</f>
        <v>－</v>
      </c>
      <c r="P393" s="3" t="s">
        <v>1026</v>
      </c>
      <c r="Q393" s="26"/>
      <c r="R393" s="3" t="s">
        <v>160</v>
      </c>
      <c r="S393" s="26" t="n">
        <f>17213</f>
        <v>17213.0</v>
      </c>
      <c r="T393" s="26" t="str">
        <f>"－"</f>
        <v>－</v>
      </c>
      <c r="U393" s="5" t="s">
        <v>62</v>
      </c>
      <c r="V393" s="28" t="n">
        <f>4200000</f>
        <v>4200000.0</v>
      </c>
      <c r="W393" s="5" t="s">
        <v>399</v>
      </c>
      <c r="X393" s="28" t="str">
        <f>"－"</f>
        <v>－</v>
      </c>
      <c r="Y393" s="28"/>
      <c r="Z393" s="26" t="str">
        <f>"－"</f>
        <v>－</v>
      </c>
      <c r="AA393" s="26" t="str">
        <f>"－"</f>
        <v>－</v>
      </c>
      <c r="AB393" s="4" t="s">
        <v>399</v>
      </c>
      <c r="AC393" s="27" t="n">
        <f>1</f>
        <v>1.0</v>
      </c>
      <c r="AD393" s="5" t="s">
        <v>62</v>
      </c>
      <c r="AE393" s="28" t="str">
        <f>"－"</f>
        <v>－</v>
      </c>
    </row>
    <row r="394">
      <c r="A394" s="20" t="s">
        <v>1027</v>
      </c>
      <c r="B394" s="21" t="s">
        <v>1028</v>
      </c>
      <c r="C394" s="22"/>
      <c r="D394" s="23"/>
      <c r="E394" s="24" t="s">
        <v>87</v>
      </c>
      <c r="F394" s="25" t="n">
        <f>168</f>
        <v>168.0</v>
      </c>
      <c r="G394" s="26" t="str">
        <f>"－"</f>
        <v>－</v>
      </c>
      <c r="H394" s="26"/>
      <c r="I394" s="26" t="str">
        <f>"－"</f>
        <v>－</v>
      </c>
      <c r="J394" s="26" t="str">
        <f>"－"</f>
        <v>－</v>
      </c>
      <c r="K394" s="26" t="str">
        <f>"－"</f>
        <v>－</v>
      </c>
      <c r="L394" s="4" t="s">
        <v>514</v>
      </c>
      <c r="M394" s="27" t="str">
        <f>"－"</f>
        <v>－</v>
      </c>
      <c r="N394" s="5" t="s">
        <v>514</v>
      </c>
      <c r="O394" s="28" t="str">
        <f>"－"</f>
        <v>－</v>
      </c>
      <c r="P394" s="3" t="s">
        <v>160</v>
      </c>
      <c r="Q394" s="26"/>
      <c r="R394" s="3" t="s">
        <v>160</v>
      </c>
      <c r="S394" s="26" t="str">
        <f>"－"</f>
        <v>－</v>
      </c>
      <c r="T394" s="26" t="str">
        <f>"－"</f>
        <v>－</v>
      </c>
      <c r="U394" s="5" t="s">
        <v>514</v>
      </c>
      <c r="V394" s="28" t="str">
        <f>"－"</f>
        <v>－</v>
      </c>
      <c r="W394" s="5" t="s">
        <v>514</v>
      </c>
      <c r="X394" s="28" t="str">
        <f>"－"</f>
        <v>－</v>
      </c>
      <c r="Y394" s="28"/>
      <c r="Z394" s="26" t="str">
        <f>"－"</f>
        <v>－</v>
      </c>
      <c r="AA394" s="26" t="str">
        <f>"－"</f>
        <v>－</v>
      </c>
      <c r="AB394" s="4" t="s">
        <v>514</v>
      </c>
      <c r="AC394" s="27" t="str">
        <f>"－"</f>
        <v>－</v>
      </c>
      <c r="AD394" s="5" t="s">
        <v>514</v>
      </c>
      <c r="AE394" s="28" t="str">
        <f>"－"</f>
        <v>－</v>
      </c>
    </row>
    <row r="395">
      <c r="A395" s="20" t="s">
        <v>1027</v>
      </c>
      <c r="B395" s="21" t="s">
        <v>1028</v>
      </c>
      <c r="C395" s="22"/>
      <c r="D395" s="23"/>
      <c r="E395" s="24" t="s">
        <v>92</v>
      </c>
      <c r="F395" s="25" t="n">
        <f>244</f>
        <v>244.0</v>
      </c>
      <c r="G395" s="26" t="str">
        <f>"－"</f>
        <v>－</v>
      </c>
      <c r="H395" s="26"/>
      <c r="I395" s="26" t="str">
        <f>"－"</f>
        <v>－</v>
      </c>
      <c r="J395" s="26" t="str">
        <f>"－"</f>
        <v>－</v>
      </c>
      <c r="K395" s="26" t="str">
        <f>"－"</f>
        <v>－</v>
      </c>
      <c r="L395" s="4" t="s">
        <v>213</v>
      </c>
      <c r="M395" s="27" t="str">
        <f>"－"</f>
        <v>－</v>
      </c>
      <c r="N395" s="5" t="s">
        <v>213</v>
      </c>
      <c r="O395" s="28" t="str">
        <f>"－"</f>
        <v>－</v>
      </c>
      <c r="P395" s="3" t="s">
        <v>160</v>
      </c>
      <c r="Q395" s="26"/>
      <c r="R395" s="3" t="s">
        <v>160</v>
      </c>
      <c r="S395" s="26" t="str">
        <f>"－"</f>
        <v>－</v>
      </c>
      <c r="T395" s="26" t="str">
        <f>"－"</f>
        <v>－</v>
      </c>
      <c r="U395" s="5" t="s">
        <v>213</v>
      </c>
      <c r="V395" s="28" t="str">
        <f>"－"</f>
        <v>－</v>
      </c>
      <c r="W395" s="5" t="s">
        <v>213</v>
      </c>
      <c r="X395" s="28" t="str">
        <f>"－"</f>
        <v>－</v>
      </c>
      <c r="Y395" s="28"/>
      <c r="Z395" s="26" t="str">
        <f>"－"</f>
        <v>－</v>
      </c>
      <c r="AA395" s="26" t="str">
        <f>"－"</f>
        <v>－</v>
      </c>
      <c r="AB395" s="4" t="s">
        <v>213</v>
      </c>
      <c r="AC395" s="27" t="str">
        <f>"－"</f>
        <v>－</v>
      </c>
      <c r="AD395" s="5" t="s">
        <v>213</v>
      </c>
      <c r="AE395" s="28" t="str">
        <f>"－"</f>
        <v>－</v>
      </c>
    </row>
    <row r="396">
      <c r="A396" s="20" t="s">
        <v>1027</v>
      </c>
      <c r="B396" s="21" t="s">
        <v>1028</v>
      </c>
      <c r="C396" s="22"/>
      <c r="D396" s="23"/>
      <c r="E396" s="24" t="s">
        <v>98</v>
      </c>
      <c r="F396" s="25" t="n">
        <f>245</f>
        <v>245.0</v>
      </c>
      <c r="G396" s="26" t="str">
        <f>"－"</f>
        <v>－</v>
      </c>
      <c r="H396" s="26"/>
      <c r="I396" s="26" t="str">
        <f>"－"</f>
        <v>－</v>
      </c>
      <c r="J396" s="26" t="str">
        <f>"－"</f>
        <v>－</v>
      </c>
      <c r="K396" s="26" t="str">
        <f>"－"</f>
        <v>－</v>
      </c>
      <c r="L396" s="4" t="s">
        <v>213</v>
      </c>
      <c r="M396" s="27" t="str">
        <f>"－"</f>
        <v>－</v>
      </c>
      <c r="N396" s="5" t="s">
        <v>213</v>
      </c>
      <c r="O396" s="28" t="str">
        <f>"－"</f>
        <v>－</v>
      </c>
      <c r="P396" s="3" t="s">
        <v>160</v>
      </c>
      <c r="Q396" s="26"/>
      <c r="R396" s="3" t="s">
        <v>160</v>
      </c>
      <c r="S396" s="26" t="str">
        <f>"－"</f>
        <v>－</v>
      </c>
      <c r="T396" s="26" t="str">
        <f>"－"</f>
        <v>－</v>
      </c>
      <c r="U396" s="5" t="s">
        <v>213</v>
      </c>
      <c r="V396" s="28" t="str">
        <f>"－"</f>
        <v>－</v>
      </c>
      <c r="W396" s="5" t="s">
        <v>213</v>
      </c>
      <c r="X396" s="28" t="str">
        <f>"－"</f>
        <v>－</v>
      </c>
      <c r="Y396" s="28"/>
      <c r="Z396" s="26" t="str">
        <f>"－"</f>
        <v>－</v>
      </c>
      <c r="AA396" s="26" t="str">
        <f>"－"</f>
        <v>－</v>
      </c>
      <c r="AB396" s="4" t="s">
        <v>213</v>
      </c>
      <c r="AC396" s="27" t="str">
        <f>"－"</f>
        <v>－</v>
      </c>
      <c r="AD396" s="5" t="s">
        <v>213</v>
      </c>
      <c r="AE396" s="28" t="str">
        <f>"－"</f>
        <v>－</v>
      </c>
    </row>
    <row r="397">
      <c r="A397" s="20" t="s">
        <v>1027</v>
      </c>
      <c r="B397" s="21" t="s">
        <v>1028</v>
      </c>
      <c r="C397" s="22"/>
      <c r="D397" s="23"/>
      <c r="E397" s="24" t="s">
        <v>103</v>
      </c>
      <c r="F397" s="25" t="n">
        <f>244</f>
        <v>244.0</v>
      </c>
      <c r="G397" s="26" t="str">
        <f>"－"</f>
        <v>－</v>
      </c>
      <c r="H397" s="26"/>
      <c r="I397" s="26" t="str">
        <f>"－"</f>
        <v>－</v>
      </c>
      <c r="J397" s="26" t="str">
        <f>"－"</f>
        <v>－</v>
      </c>
      <c r="K397" s="26" t="str">
        <f>"－"</f>
        <v>－</v>
      </c>
      <c r="L397" s="4" t="s">
        <v>399</v>
      </c>
      <c r="M397" s="27" t="str">
        <f>"－"</f>
        <v>－</v>
      </c>
      <c r="N397" s="5" t="s">
        <v>399</v>
      </c>
      <c r="O397" s="28" t="str">
        <f>"－"</f>
        <v>－</v>
      </c>
      <c r="P397" s="3" t="s">
        <v>160</v>
      </c>
      <c r="Q397" s="26"/>
      <c r="R397" s="3" t="s">
        <v>160</v>
      </c>
      <c r="S397" s="26" t="str">
        <f>"－"</f>
        <v>－</v>
      </c>
      <c r="T397" s="26" t="str">
        <f>"－"</f>
        <v>－</v>
      </c>
      <c r="U397" s="5" t="s">
        <v>399</v>
      </c>
      <c r="V397" s="28" t="str">
        <f>"－"</f>
        <v>－</v>
      </c>
      <c r="W397" s="5" t="s">
        <v>399</v>
      </c>
      <c r="X397" s="28" t="str">
        <f>"－"</f>
        <v>－</v>
      </c>
      <c r="Y397" s="28"/>
      <c r="Z397" s="26" t="str">
        <f>"－"</f>
        <v>－</v>
      </c>
      <c r="AA397" s="26" t="str">
        <f>"－"</f>
        <v>－</v>
      </c>
      <c r="AB397" s="4" t="s">
        <v>399</v>
      </c>
      <c r="AC397" s="27" t="str">
        <f>"－"</f>
        <v>－</v>
      </c>
      <c r="AD397" s="5" t="s">
        <v>399</v>
      </c>
      <c r="AE397" s="28" t="str">
        <f>"－"</f>
        <v>－</v>
      </c>
    </row>
    <row r="398">
      <c r="A398" s="20" t="s">
        <v>1029</v>
      </c>
      <c r="B398" s="21" t="s">
        <v>1030</v>
      </c>
      <c r="C398" s="22"/>
      <c r="D398" s="23"/>
      <c r="E398" s="24" t="s">
        <v>87</v>
      </c>
      <c r="F398" s="25" t="n">
        <f>168</f>
        <v>168.0</v>
      </c>
      <c r="G398" s="26" t="n">
        <f>3438702</f>
        <v>3438702.0</v>
      </c>
      <c r="H398" s="26"/>
      <c r="I398" s="26" t="n">
        <f>40531</f>
        <v>40531.0</v>
      </c>
      <c r="J398" s="26" t="n">
        <f>20468</f>
        <v>20468.0</v>
      </c>
      <c r="K398" s="26" t="n">
        <f>241</f>
        <v>241.0</v>
      </c>
      <c r="L398" s="4" t="s">
        <v>441</v>
      </c>
      <c r="M398" s="27" t="n">
        <f>64757</f>
        <v>64757.0</v>
      </c>
      <c r="N398" s="5" t="s">
        <v>196</v>
      </c>
      <c r="O398" s="28" t="n">
        <f>3228</f>
        <v>3228.0</v>
      </c>
      <c r="P398" s="3" t="s">
        <v>1031</v>
      </c>
      <c r="Q398" s="26"/>
      <c r="R398" s="3" t="s">
        <v>1032</v>
      </c>
      <c r="S398" s="26" t="n">
        <f>33273529134</f>
        <v>3.3273529134E10</v>
      </c>
      <c r="T398" s="26" t="n">
        <f>388056345</f>
        <v>3.88056345E8</v>
      </c>
      <c r="U398" s="5" t="s">
        <v>104</v>
      </c>
      <c r="V398" s="28" t="n">
        <f>118666304500</f>
        <v>1.186663045E11</v>
      </c>
      <c r="W398" s="5" t="s">
        <v>196</v>
      </c>
      <c r="X398" s="28" t="n">
        <f>5280154500</f>
        <v>5.2801545E9</v>
      </c>
      <c r="Y398" s="28"/>
      <c r="Z398" s="26" t="n">
        <f>91833</f>
        <v>91833.0</v>
      </c>
      <c r="AA398" s="26" t="n">
        <f>120527</f>
        <v>120527.0</v>
      </c>
      <c r="AB398" s="4" t="s">
        <v>514</v>
      </c>
      <c r="AC398" s="27" t="n">
        <f>175294</f>
        <v>175294.0</v>
      </c>
      <c r="AD398" s="5" t="s">
        <v>128</v>
      </c>
      <c r="AE398" s="28" t="n">
        <f>113019</f>
        <v>113019.0</v>
      </c>
    </row>
    <row r="399">
      <c r="A399" s="20" t="s">
        <v>1029</v>
      </c>
      <c r="B399" s="21" t="s">
        <v>1030</v>
      </c>
      <c r="C399" s="22"/>
      <c r="D399" s="23"/>
      <c r="E399" s="24" t="s">
        <v>92</v>
      </c>
      <c r="F399" s="25" t="n">
        <f>244</f>
        <v>244.0</v>
      </c>
      <c r="G399" s="26" t="n">
        <f>3617198</f>
        <v>3617198.0</v>
      </c>
      <c r="H399" s="26"/>
      <c r="I399" s="26" t="n">
        <f>66040</f>
        <v>66040.0</v>
      </c>
      <c r="J399" s="26" t="n">
        <f>14825</f>
        <v>14825.0</v>
      </c>
      <c r="K399" s="26" t="n">
        <f>271</f>
        <v>271.0</v>
      </c>
      <c r="L399" s="4" t="s">
        <v>542</v>
      </c>
      <c r="M399" s="27" t="n">
        <f>45023</f>
        <v>45023.0</v>
      </c>
      <c r="N399" s="5" t="s">
        <v>667</v>
      </c>
      <c r="O399" s="28" t="n">
        <f>2817</f>
        <v>2817.0</v>
      </c>
      <c r="P399" s="3" t="s">
        <v>1033</v>
      </c>
      <c r="Q399" s="26"/>
      <c r="R399" s="3" t="s">
        <v>1034</v>
      </c>
      <c r="S399" s="26" t="n">
        <f>38364973529</f>
        <v>3.8364973529E10</v>
      </c>
      <c r="T399" s="26" t="n">
        <f>737961297</f>
        <v>7.37961297E8</v>
      </c>
      <c r="U399" s="5" t="s">
        <v>61</v>
      </c>
      <c r="V399" s="28" t="n">
        <f>157789576000</f>
        <v>1.57789576E11</v>
      </c>
      <c r="W399" s="5" t="s">
        <v>809</v>
      </c>
      <c r="X399" s="28" t="n">
        <f>7314294000</f>
        <v>7.314294E9</v>
      </c>
      <c r="Y399" s="28"/>
      <c r="Z399" s="26" t="n">
        <f>23598</f>
        <v>23598.0</v>
      </c>
      <c r="AA399" s="26" t="n">
        <f>69985</f>
        <v>69985.0</v>
      </c>
      <c r="AB399" s="4" t="s">
        <v>395</v>
      </c>
      <c r="AC399" s="27" t="n">
        <f>121996</f>
        <v>121996.0</v>
      </c>
      <c r="AD399" s="5" t="s">
        <v>209</v>
      </c>
      <c r="AE399" s="28" t="n">
        <f>69985</f>
        <v>69985.0</v>
      </c>
    </row>
    <row r="400">
      <c r="A400" s="20" t="s">
        <v>1029</v>
      </c>
      <c r="B400" s="21" t="s">
        <v>1030</v>
      </c>
      <c r="C400" s="22"/>
      <c r="D400" s="23"/>
      <c r="E400" s="24" t="s">
        <v>98</v>
      </c>
      <c r="F400" s="25" t="n">
        <f>245</f>
        <v>245.0</v>
      </c>
      <c r="G400" s="26" t="n">
        <f>2094716</f>
        <v>2094716.0</v>
      </c>
      <c r="H400" s="26"/>
      <c r="I400" s="26" t="n">
        <f>46969</f>
        <v>46969.0</v>
      </c>
      <c r="J400" s="26" t="n">
        <f>8550</f>
        <v>8550.0</v>
      </c>
      <c r="K400" s="26" t="n">
        <f>192</f>
        <v>192.0</v>
      </c>
      <c r="L400" s="4" t="s">
        <v>542</v>
      </c>
      <c r="M400" s="27" t="n">
        <f>27580</f>
        <v>27580.0</v>
      </c>
      <c r="N400" s="5" t="s">
        <v>58</v>
      </c>
      <c r="O400" s="28" t="n">
        <f>2091</f>
        <v>2091.0</v>
      </c>
      <c r="P400" s="3" t="s">
        <v>1035</v>
      </c>
      <c r="Q400" s="26"/>
      <c r="R400" s="3" t="s">
        <v>1036</v>
      </c>
      <c r="S400" s="26" t="n">
        <f>30869718466</f>
        <v>3.0869718466E10</v>
      </c>
      <c r="T400" s="26" t="n">
        <f>731685415</f>
        <v>7.31685415E8</v>
      </c>
      <c r="U400" s="5" t="s">
        <v>542</v>
      </c>
      <c r="V400" s="28" t="n">
        <f>105399406000</f>
        <v>1.05399406E11</v>
      </c>
      <c r="W400" s="5" t="s">
        <v>791</v>
      </c>
      <c r="X400" s="28" t="n">
        <f>6670375000</f>
        <v>6.670375E9</v>
      </c>
      <c r="Y400" s="28"/>
      <c r="Z400" s="26" t="str">
        <f>"－"</f>
        <v>－</v>
      </c>
      <c r="AA400" s="26" t="n">
        <f>43216</f>
        <v>43216.0</v>
      </c>
      <c r="AB400" s="4" t="s">
        <v>442</v>
      </c>
      <c r="AC400" s="27" t="n">
        <f>77132</f>
        <v>77132.0</v>
      </c>
      <c r="AD400" s="5" t="s">
        <v>203</v>
      </c>
      <c r="AE400" s="28" t="n">
        <f>40868</f>
        <v>40868.0</v>
      </c>
    </row>
    <row r="401">
      <c r="A401" s="20" t="s">
        <v>1029</v>
      </c>
      <c r="B401" s="21" t="s">
        <v>1030</v>
      </c>
      <c r="C401" s="22"/>
      <c r="D401" s="23"/>
      <c r="E401" s="24" t="s">
        <v>103</v>
      </c>
      <c r="F401" s="25" t="n">
        <f>244</f>
        <v>244.0</v>
      </c>
      <c r="G401" s="26" t="n">
        <f>1737724</f>
        <v>1737724.0</v>
      </c>
      <c r="H401" s="26"/>
      <c r="I401" s="26" t="n">
        <f>27073</f>
        <v>27073.0</v>
      </c>
      <c r="J401" s="26" t="n">
        <f>7122</f>
        <v>7122.0</v>
      </c>
      <c r="K401" s="26" t="n">
        <f>111</f>
        <v>111.0</v>
      </c>
      <c r="L401" s="4" t="s">
        <v>222</v>
      </c>
      <c r="M401" s="27" t="n">
        <f>20607</f>
        <v>20607.0</v>
      </c>
      <c r="N401" s="5" t="s">
        <v>1037</v>
      </c>
      <c r="O401" s="28" t="n">
        <f>1510</f>
        <v>1510.0</v>
      </c>
      <c r="P401" s="3" t="s">
        <v>1038</v>
      </c>
      <c r="Q401" s="26"/>
      <c r="R401" s="3" t="s">
        <v>1039</v>
      </c>
      <c r="S401" s="26" t="n">
        <f>24958933038</f>
        <v>2.4958933038E10</v>
      </c>
      <c r="T401" s="26" t="n">
        <f>400027456</f>
        <v>4.00027456E8</v>
      </c>
      <c r="U401" s="5" t="s">
        <v>562</v>
      </c>
      <c r="V401" s="28" t="n">
        <f>74851341000</f>
        <v>7.4851341E10</v>
      </c>
      <c r="W401" s="5" t="s">
        <v>1037</v>
      </c>
      <c r="X401" s="28" t="n">
        <f>5622689000</f>
        <v>5.622689E9</v>
      </c>
      <c r="Y401" s="28"/>
      <c r="Z401" s="26" t="str">
        <f>"－"</f>
        <v>－</v>
      </c>
      <c r="AA401" s="26" t="n">
        <f>46636</f>
        <v>46636.0</v>
      </c>
      <c r="AB401" s="4" t="s">
        <v>69</v>
      </c>
      <c r="AC401" s="27" t="n">
        <f>55887</f>
        <v>55887.0</v>
      </c>
      <c r="AD401" s="5" t="s">
        <v>648</v>
      </c>
      <c r="AE401" s="28" t="n">
        <f>40256</f>
        <v>40256.0</v>
      </c>
    </row>
    <row r="402">
      <c r="A402" s="20" t="s">
        <v>1040</v>
      </c>
      <c r="B402" s="21" t="s">
        <v>1041</v>
      </c>
      <c r="C402" s="22"/>
      <c r="D402" s="23"/>
      <c r="E402" s="24" t="s">
        <v>87</v>
      </c>
      <c r="F402" s="25" t="n">
        <f>168</f>
        <v>168.0</v>
      </c>
      <c r="G402" s="26" t="n">
        <f>4267</f>
        <v>4267.0</v>
      </c>
      <c r="H402" s="26"/>
      <c r="I402" s="26" t="n">
        <f>3639</f>
        <v>3639.0</v>
      </c>
      <c r="J402" s="26" t="n">
        <f>25</f>
        <v>25.0</v>
      </c>
      <c r="K402" s="26" t="n">
        <f>22</f>
        <v>22.0</v>
      </c>
      <c r="L402" s="4" t="s">
        <v>165</v>
      </c>
      <c r="M402" s="27" t="n">
        <f>409</f>
        <v>409.0</v>
      </c>
      <c r="N402" s="5" t="s">
        <v>514</v>
      </c>
      <c r="O402" s="28" t="str">
        <f>"－"</f>
        <v>－</v>
      </c>
      <c r="P402" s="3" t="s">
        <v>1042</v>
      </c>
      <c r="Q402" s="26"/>
      <c r="R402" s="3" t="s">
        <v>1043</v>
      </c>
      <c r="S402" s="26" t="n">
        <f>19862900</f>
        <v>1.98629E7</v>
      </c>
      <c r="T402" s="26" t="n">
        <f>17894517</f>
        <v>1.7894517E7</v>
      </c>
      <c r="U402" s="5" t="s">
        <v>316</v>
      </c>
      <c r="V402" s="28" t="n">
        <f>689714784</f>
        <v>6.89714784E8</v>
      </c>
      <c r="W402" s="5" t="s">
        <v>514</v>
      </c>
      <c r="X402" s="28" t="str">
        <f>"－"</f>
        <v>－</v>
      </c>
      <c r="Y402" s="28"/>
      <c r="Z402" s="26" t="str">
        <f>"－"</f>
        <v>－</v>
      </c>
      <c r="AA402" s="26" t="n">
        <f>1101</f>
        <v>1101.0</v>
      </c>
      <c r="AB402" s="4" t="s">
        <v>868</v>
      </c>
      <c r="AC402" s="27" t="n">
        <f>2730</f>
        <v>2730.0</v>
      </c>
      <c r="AD402" s="5" t="s">
        <v>128</v>
      </c>
      <c r="AE402" s="28" t="n">
        <f>933</f>
        <v>933.0</v>
      </c>
    </row>
    <row r="403">
      <c r="A403" s="20" t="s">
        <v>1040</v>
      </c>
      <c r="B403" s="21" t="s">
        <v>1041</v>
      </c>
      <c r="C403" s="22"/>
      <c r="D403" s="23"/>
      <c r="E403" s="24" t="s">
        <v>92</v>
      </c>
      <c r="F403" s="25" t="n">
        <f>244</f>
        <v>244.0</v>
      </c>
      <c r="G403" s="26" t="n">
        <f>9390</f>
        <v>9390.0</v>
      </c>
      <c r="H403" s="26"/>
      <c r="I403" s="26" t="n">
        <f>8324</f>
        <v>8324.0</v>
      </c>
      <c r="J403" s="26" t="n">
        <f>38</f>
        <v>38.0</v>
      </c>
      <c r="K403" s="26" t="n">
        <f>34</f>
        <v>34.0</v>
      </c>
      <c r="L403" s="4" t="s">
        <v>534</v>
      </c>
      <c r="M403" s="27" t="n">
        <f>750</f>
        <v>750.0</v>
      </c>
      <c r="N403" s="5" t="s">
        <v>389</v>
      </c>
      <c r="O403" s="28" t="str">
        <f>"－"</f>
        <v>－</v>
      </c>
      <c r="P403" s="3" t="s">
        <v>1044</v>
      </c>
      <c r="Q403" s="26"/>
      <c r="R403" s="3" t="s">
        <v>1045</v>
      </c>
      <c r="S403" s="26" t="n">
        <f>45862036</f>
        <v>4.5862036E7</v>
      </c>
      <c r="T403" s="26" t="n">
        <f>40907386</f>
        <v>4.0907386E7</v>
      </c>
      <c r="U403" s="5" t="s">
        <v>737</v>
      </c>
      <c r="V403" s="28" t="n">
        <f>644520960</f>
        <v>6.4452096E8</v>
      </c>
      <c r="W403" s="5" t="s">
        <v>389</v>
      </c>
      <c r="X403" s="28" t="str">
        <f>"－"</f>
        <v>－</v>
      </c>
      <c r="Y403" s="28"/>
      <c r="Z403" s="26" t="str">
        <f>"－"</f>
        <v>－</v>
      </c>
      <c r="AA403" s="26" t="n">
        <f>2709</f>
        <v>2709.0</v>
      </c>
      <c r="AB403" s="4" t="s">
        <v>324</v>
      </c>
      <c r="AC403" s="27" t="n">
        <f>3396</f>
        <v>3396.0</v>
      </c>
      <c r="AD403" s="5" t="s">
        <v>517</v>
      </c>
      <c r="AE403" s="28" t="n">
        <f>1132</f>
        <v>1132.0</v>
      </c>
    </row>
    <row r="404">
      <c r="A404" s="20" t="s">
        <v>1040</v>
      </c>
      <c r="B404" s="21" t="s">
        <v>1041</v>
      </c>
      <c r="C404" s="22"/>
      <c r="D404" s="23"/>
      <c r="E404" s="24" t="s">
        <v>98</v>
      </c>
      <c r="F404" s="25" t="n">
        <f>245</f>
        <v>245.0</v>
      </c>
      <c r="G404" s="26" t="n">
        <f>13901</f>
        <v>13901.0</v>
      </c>
      <c r="H404" s="26"/>
      <c r="I404" s="26" t="n">
        <f>12437</f>
        <v>12437.0</v>
      </c>
      <c r="J404" s="26" t="n">
        <f>57</f>
        <v>57.0</v>
      </c>
      <c r="K404" s="26" t="n">
        <f>51</f>
        <v>51.0</v>
      </c>
      <c r="L404" s="4" t="s">
        <v>832</v>
      </c>
      <c r="M404" s="27" t="n">
        <f>1572</f>
        <v>1572.0</v>
      </c>
      <c r="N404" s="5" t="s">
        <v>213</v>
      </c>
      <c r="O404" s="28" t="str">
        <f>"－"</f>
        <v>－</v>
      </c>
      <c r="P404" s="3" t="s">
        <v>1046</v>
      </c>
      <c r="Q404" s="26"/>
      <c r="R404" s="3" t="s">
        <v>1047</v>
      </c>
      <c r="S404" s="26" t="n">
        <f>124265711</f>
        <v>1.24265711E8</v>
      </c>
      <c r="T404" s="26" t="n">
        <f>112127028</f>
        <v>1.12127028E8</v>
      </c>
      <c r="U404" s="5" t="s">
        <v>832</v>
      </c>
      <c r="V404" s="28" t="n">
        <f>3665904960</f>
        <v>3.66590496E9</v>
      </c>
      <c r="W404" s="5" t="s">
        <v>213</v>
      </c>
      <c r="X404" s="28" t="str">
        <f>"－"</f>
        <v>－</v>
      </c>
      <c r="Y404" s="28"/>
      <c r="Z404" s="26" t="n">
        <f>10</f>
        <v>10.0</v>
      </c>
      <c r="AA404" s="26" t="n">
        <f>2903</f>
        <v>2903.0</v>
      </c>
      <c r="AB404" s="4" t="s">
        <v>185</v>
      </c>
      <c r="AC404" s="27" t="n">
        <f>4228</f>
        <v>4228.0</v>
      </c>
      <c r="AD404" s="5" t="s">
        <v>455</v>
      </c>
      <c r="AE404" s="28" t="n">
        <f>1293</f>
        <v>1293.0</v>
      </c>
    </row>
    <row r="405">
      <c r="A405" s="20" t="s">
        <v>1040</v>
      </c>
      <c r="B405" s="21" t="s">
        <v>1041</v>
      </c>
      <c r="C405" s="22"/>
      <c r="D405" s="23"/>
      <c r="E405" s="24" t="s">
        <v>103</v>
      </c>
      <c r="F405" s="25" t="n">
        <f>244</f>
        <v>244.0</v>
      </c>
      <c r="G405" s="26" t="n">
        <f>6090</f>
        <v>6090.0</v>
      </c>
      <c r="H405" s="26"/>
      <c r="I405" s="26" t="n">
        <f>3715</f>
        <v>3715.0</v>
      </c>
      <c r="J405" s="26" t="n">
        <f>25</f>
        <v>25.0</v>
      </c>
      <c r="K405" s="26" t="n">
        <f>15</f>
        <v>15.0</v>
      </c>
      <c r="L405" s="4" t="s">
        <v>820</v>
      </c>
      <c r="M405" s="27" t="n">
        <f>820</f>
        <v>820.0</v>
      </c>
      <c r="N405" s="5" t="s">
        <v>309</v>
      </c>
      <c r="O405" s="28" t="str">
        <f>"－"</f>
        <v>－</v>
      </c>
      <c r="P405" s="3" t="s">
        <v>1048</v>
      </c>
      <c r="Q405" s="26"/>
      <c r="R405" s="3" t="s">
        <v>1049</v>
      </c>
      <c r="S405" s="26" t="n">
        <f>28286266</f>
        <v>2.8286266E7</v>
      </c>
      <c r="T405" s="26" t="n">
        <f>18137753</f>
        <v>1.8137753E7</v>
      </c>
      <c r="U405" s="5" t="s">
        <v>820</v>
      </c>
      <c r="V405" s="28" t="n">
        <f>971032800</f>
        <v>9.710328E8</v>
      </c>
      <c r="W405" s="5" t="s">
        <v>309</v>
      </c>
      <c r="X405" s="28" t="str">
        <f>"－"</f>
        <v>－</v>
      </c>
      <c r="Y405" s="28"/>
      <c r="Z405" s="26" t="str">
        <f>"－"</f>
        <v>－</v>
      </c>
      <c r="AA405" s="26" t="n">
        <f>936</f>
        <v>936.0</v>
      </c>
      <c r="AB405" s="4" t="s">
        <v>697</v>
      </c>
      <c r="AC405" s="27" t="n">
        <f>3945</f>
        <v>3945.0</v>
      </c>
      <c r="AD405" s="5" t="s">
        <v>434</v>
      </c>
      <c r="AE405" s="28" t="n">
        <f>866</f>
        <v>866.0</v>
      </c>
    </row>
    <row r="406">
      <c r="A406" s="20" t="s">
        <v>1050</v>
      </c>
      <c r="B406" s="21" t="s">
        <v>1051</v>
      </c>
      <c r="C406" s="22"/>
      <c r="D406" s="23"/>
      <c r="E406" s="24" t="s">
        <v>87</v>
      </c>
      <c r="F406" s="25" t="n">
        <f>168</f>
        <v>168.0</v>
      </c>
      <c r="G406" s="26" t="n">
        <f>948</f>
        <v>948.0</v>
      </c>
      <c r="H406" s="26"/>
      <c r="I406" s="26" t="n">
        <f>856</f>
        <v>856.0</v>
      </c>
      <c r="J406" s="26" t="n">
        <f>6</f>
        <v>6.0</v>
      </c>
      <c r="K406" s="26" t="n">
        <f>5</f>
        <v>5.0</v>
      </c>
      <c r="L406" s="4" t="s">
        <v>209</v>
      </c>
      <c r="M406" s="27" t="n">
        <f>216</f>
        <v>216.0</v>
      </c>
      <c r="N406" s="5" t="s">
        <v>514</v>
      </c>
      <c r="O406" s="28" t="str">
        <f>"－"</f>
        <v>－</v>
      </c>
      <c r="P406" s="3" t="s">
        <v>1052</v>
      </c>
      <c r="Q406" s="26"/>
      <c r="R406" s="3" t="s">
        <v>1053</v>
      </c>
      <c r="S406" s="26" t="n">
        <f>3871933</f>
        <v>3871933.0</v>
      </c>
      <c r="T406" s="26" t="n">
        <f>3439477</f>
        <v>3439477.0</v>
      </c>
      <c r="U406" s="5" t="s">
        <v>209</v>
      </c>
      <c r="V406" s="28" t="n">
        <f>126144000</f>
        <v>1.26144E8</v>
      </c>
      <c r="W406" s="5" t="s">
        <v>514</v>
      </c>
      <c r="X406" s="28" t="str">
        <f>"－"</f>
        <v>－</v>
      </c>
      <c r="Y406" s="28"/>
      <c r="Z406" s="26" t="str">
        <f>"－"</f>
        <v>－</v>
      </c>
      <c r="AA406" s="26" t="n">
        <f>336</f>
        <v>336.0</v>
      </c>
      <c r="AB406" s="4" t="s">
        <v>1054</v>
      </c>
      <c r="AC406" s="27" t="n">
        <f>415</f>
        <v>415.0</v>
      </c>
      <c r="AD406" s="5" t="s">
        <v>170</v>
      </c>
      <c r="AE406" s="28" t="n">
        <f>60</f>
        <v>60.0</v>
      </c>
    </row>
    <row r="407">
      <c r="A407" s="20" t="s">
        <v>1050</v>
      </c>
      <c r="B407" s="21" t="s">
        <v>1051</v>
      </c>
      <c r="C407" s="22"/>
      <c r="D407" s="23"/>
      <c r="E407" s="24" t="s">
        <v>92</v>
      </c>
      <c r="F407" s="25" t="n">
        <f>244</f>
        <v>244.0</v>
      </c>
      <c r="G407" s="26" t="n">
        <f>3521</f>
        <v>3521.0</v>
      </c>
      <c r="H407" s="26"/>
      <c r="I407" s="26" t="n">
        <f>2871</f>
        <v>2871.0</v>
      </c>
      <c r="J407" s="26" t="n">
        <f>14</f>
        <v>14.0</v>
      </c>
      <c r="K407" s="26" t="n">
        <f>12</f>
        <v>12.0</v>
      </c>
      <c r="L407" s="4" t="s">
        <v>722</v>
      </c>
      <c r="M407" s="27" t="n">
        <f>360</f>
        <v>360.0</v>
      </c>
      <c r="N407" s="5" t="s">
        <v>213</v>
      </c>
      <c r="O407" s="28" t="str">
        <f>"－"</f>
        <v>－</v>
      </c>
      <c r="P407" s="3" t="s">
        <v>1055</v>
      </c>
      <c r="Q407" s="26"/>
      <c r="R407" s="3" t="s">
        <v>1056</v>
      </c>
      <c r="S407" s="26" t="n">
        <f>17840713</f>
        <v>1.7840713E7</v>
      </c>
      <c r="T407" s="26" t="n">
        <f>15408938</f>
        <v>1.5408938E7</v>
      </c>
      <c r="U407" s="5" t="s">
        <v>1057</v>
      </c>
      <c r="V407" s="28" t="n">
        <f>413100000</f>
        <v>4.131E8</v>
      </c>
      <c r="W407" s="5" t="s">
        <v>213</v>
      </c>
      <c r="X407" s="28" t="str">
        <f>"－"</f>
        <v>－</v>
      </c>
      <c r="Y407" s="28"/>
      <c r="Z407" s="26" t="str">
        <f>"－"</f>
        <v>－</v>
      </c>
      <c r="AA407" s="26" t="n">
        <f>743</f>
        <v>743.0</v>
      </c>
      <c r="AB407" s="4" t="s">
        <v>1058</v>
      </c>
      <c r="AC407" s="27" t="n">
        <f>1392</f>
        <v>1392.0</v>
      </c>
      <c r="AD407" s="5" t="s">
        <v>389</v>
      </c>
      <c r="AE407" s="28" t="n">
        <f>336</f>
        <v>336.0</v>
      </c>
    </row>
    <row r="408">
      <c r="A408" s="20" t="s">
        <v>1050</v>
      </c>
      <c r="B408" s="21" t="s">
        <v>1051</v>
      </c>
      <c r="C408" s="22"/>
      <c r="D408" s="23"/>
      <c r="E408" s="24" t="s">
        <v>98</v>
      </c>
      <c r="F408" s="25" t="n">
        <f>245</f>
        <v>245.0</v>
      </c>
      <c r="G408" s="26" t="n">
        <f>4825</f>
        <v>4825.0</v>
      </c>
      <c r="H408" s="26"/>
      <c r="I408" s="26" t="n">
        <f>4518</f>
        <v>4518.0</v>
      </c>
      <c r="J408" s="26" t="n">
        <f>20</f>
        <v>20.0</v>
      </c>
      <c r="K408" s="26" t="n">
        <f>18</f>
        <v>18.0</v>
      </c>
      <c r="L408" s="4" t="s">
        <v>198</v>
      </c>
      <c r="M408" s="27" t="n">
        <f>600</f>
        <v>600.0</v>
      </c>
      <c r="N408" s="5" t="s">
        <v>213</v>
      </c>
      <c r="O408" s="28" t="str">
        <f>"－"</f>
        <v>－</v>
      </c>
      <c r="P408" s="3" t="s">
        <v>1059</v>
      </c>
      <c r="Q408" s="26"/>
      <c r="R408" s="3" t="s">
        <v>1060</v>
      </c>
      <c r="S408" s="26" t="n">
        <f>40782761</f>
        <v>4.0782761E7</v>
      </c>
      <c r="T408" s="26" t="n">
        <f>38325080</f>
        <v>3.832508E7</v>
      </c>
      <c r="U408" s="5" t="s">
        <v>198</v>
      </c>
      <c r="V408" s="28" t="n">
        <f>1093608000</f>
        <v>1.093608E9</v>
      </c>
      <c r="W408" s="5" t="s">
        <v>213</v>
      </c>
      <c r="X408" s="28" t="str">
        <f>"－"</f>
        <v>－</v>
      </c>
      <c r="Y408" s="28"/>
      <c r="Z408" s="26" t="str">
        <f>"－"</f>
        <v>－</v>
      </c>
      <c r="AA408" s="26" t="n">
        <f>1058</f>
        <v>1058.0</v>
      </c>
      <c r="AB408" s="4" t="s">
        <v>93</v>
      </c>
      <c r="AC408" s="27" t="n">
        <f>1853</f>
        <v>1853.0</v>
      </c>
      <c r="AD408" s="5" t="s">
        <v>455</v>
      </c>
      <c r="AE408" s="28" t="n">
        <f>470</f>
        <v>470.0</v>
      </c>
    </row>
    <row r="409">
      <c r="A409" s="20" t="s">
        <v>1050</v>
      </c>
      <c r="B409" s="21" t="s">
        <v>1051</v>
      </c>
      <c r="C409" s="22"/>
      <c r="D409" s="23"/>
      <c r="E409" s="24" t="s">
        <v>103</v>
      </c>
      <c r="F409" s="25" t="n">
        <f>244</f>
        <v>244.0</v>
      </c>
      <c r="G409" s="26" t="n">
        <f>1867</f>
        <v>1867.0</v>
      </c>
      <c r="H409" s="26"/>
      <c r="I409" s="26" t="n">
        <f>1035</f>
        <v>1035.0</v>
      </c>
      <c r="J409" s="26" t="n">
        <f>8</f>
        <v>8.0</v>
      </c>
      <c r="K409" s="26" t="n">
        <f>4</f>
        <v>4.0</v>
      </c>
      <c r="L409" s="4" t="s">
        <v>731</v>
      </c>
      <c r="M409" s="27" t="n">
        <f>360</f>
        <v>360.0</v>
      </c>
      <c r="N409" s="5" t="s">
        <v>455</v>
      </c>
      <c r="O409" s="28" t="str">
        <f>"－"</f>
        <v>－</v>
      </c>
      <c r="P409" s="3" t="s">
        <v>1061</v>
      </c>
      <c r="Q409" s="26"/>
      <c r="R409" s="3" t="s">
        <v>1062</v>
      </c>
      <c r="S409" s="26" t="n">
        <f>6571148</f>
        <v>6571148.0</v>
      </c>
      <c r="T409" s="26" t="n">
        <f>3894765</f>
        <v>3894765.0</v>
      </c>
      <c r="U409" s="5" t="s">
        <v>731</v>
      </c>
      <c r="V409" s="28" t="n">
        <f>326764800</f>
        <v>3.267648E8</v>
      </c>
      <c r="W409" s="5" t="s">
        <v>455</v>
      </c>
      <c r="X409" s="28" t="str">
        <f>"－"</f>
        <v>－</v>
      </c>
      <c r="Y409" s="28"/>
      <c r="Z409" s="26" t="str">
        <f>"－"</f>
        <v>－</v>
      </c>
      <c r="AA409" s="26" t="n">
        <f>136</f>
        <v>136.0</v>
      </c>
      <c r="AB409" s="4" t="s">
        <v>704</v>
      </c>
      <c r="AC409" s="27" t="n">
        <f>1257</f>
        <v>1257.0</v>
      </c>
      <c r="AD409" s="5" t="s">
        <v>434</v>
      </c>
      <c r="AE409" s="28" t="n">
        <f>82</f>
        <v>82.0</v>
      </c>
    </row>
    <row r="410">
      <c r="A410" s="20" t="s">
        <v>1063</v>
      </c>
      <c r="B410" s="21" t="s">
        <v>1064</v>
      </c>
      <c r="C410" s="22"/>
      <c r="D410" s="23"/>
      <c r="E410" s="24" t="s">
        <v>87</v>
      </c>
      <c r="F410" s="25" t="n">
        <f>168</f>
        <v>168.0</v>
      </c>
      <c r="G410" s="26" t="n">
        <f>2231</f>
        <v>2231.0</v>
      </c>
      <c r="H410" s="26"/>
      <c r="I410" s="26" t="n">
        <f>1960</f>
        <v>1960.0</v>
      </c>
      <c r="J410" s="26" t="n">
        <f>13</f>
        <v>13.0</v>
      </c>
      <c r="K410" s="26" t="n">
        <f>12</f>
        <v>12.0</v>
      </c>
      <c r="L410" s="4" t="s">
        <v>557</v>
      </c>
      <c r="M410" s="27" t="n">
        <f>600</f>
        <v>600.0</v>
      </c>
      <c r="N410" s="5" t="s">
        <v>514</v>
      </c>
      <c r="O410" s="28" t="str">
        <f>"－"</f>
        <v>－</v>
      </c>
      <c r="P410" s="3" t="s">
        <v>1065</v>
      </c>
      <c r="Q410" s="26"/>
      <c r="R410" s="3" t="s">
        <v>1066</v>
      </c>
      <c r="S410" s="26" t="n">
        <f>3338279</f>
        <v>3338279.0</v>
      </c>
      <c r="T410" s="26" t="n">
        <f>2997979</f>
        <v>2997979.0</v>
      </c>
      <c r="U410" s="5" t="s">
        <v>643</v>
      </c>
      <c r="V410" s="28" t="n">
        <f>153090000</f>
        <v>1.5309E8</v>
      </c>
      <c r="W410" s="5" t="s">
        <v>514</v>
      </c>
      <c r="X410" s="28" t="str">
        <f>"－"</f>
        <v>－</v>
      </c>
      <c r="Y410" s="28"/>
      <c r="Z410" s="26" t="str">
        <f>"－"</f>
        <v>－</v>
      </c>
      <c r="AA410" s="26" t="n">
        <f>1205</f>
        <v>1205.0</v>
      </c>
      <c r="AB410" s="4" t="s">
        <v>417</v>
      </c>
      <c r="AC410" s="27" t="n">
        <f>1375</f>
        <v>1375.0</v>
      </c>
      <c r="AD410" s="5" t="s">
        <v>733</v>
      </c>
      <c r="AE410" s="28" t="n">
        <f>214</f>
        <v>214.0</v>
      </c>
    </row>
    <row r="411">
      <c r="A411" s="20" t="s">
        <v>1063</v>
      </c>
      <c r="B411" s="21" t="s">
        <v>1064</v>
      </c>
      <c r="C411" s="22"/>
      <c r="D411" s="23"/>
      <c r="E411" s="24" t="s">
        <v>92</v>
      </c>
      <c r="F411" s="25" t="n">
        <f>244</f>
        <v>244.0</v>
      </c>
      <c r="G411" s="26" t="n">
        <f>2240</f>
        <v>2240.0</v>
      </c>
      <c r="H411" s="26"/>
      <c r="I411" s="26" t="n">
        <f>1636</f>
        <v>1636.0</v>
      </c>
      <c r="J411" s="26" t="n">
        <f>9</f>
        <v>9.0</v>
      </c>
      <c r="K411" s="26" t="n">
        <f>7</f>
        <v>7.0</v>
      </c>
      <c r="L411" s="4" t="s">
        <v>775</v>
      </c>
      <c r="M411" s="27" t="n">
        <f>400</f>
        <v>400.0</v>
      </c>
      <c r="N411" s="5" t="s">
        <v>389</v>
      </c>
      <c r="O411" s="28" t="str">
        <f>"－"</f>
        <v>－</v>
      </c>
      <c r="P411" s="3" t="s">
        <v>1067</v>
      </c>
      <c r="Q411" s="26"/>
      <c r="R411" s="3" t="s">
        <v>1068</v>
      </c>
      <c r="S411" s="26" t="n">
        <f>4207207</f>
        <v>4207207.0</v>
      </c>
      <c r="T411" s="26" t="n">
        <f>3228570</f>
        <v>3228570.0</v>
      </c>
      <c r="U411" s="5" t="s">
        <v>775</v>
      </c>
      <c r="V411" s="28" t="n">
        <f>172200000</f>
        <v>1.722E8</v>
      </c>
      <c r="W411" s="5" t="s">
        <v>389</v>
      </c>
      <c r="X411" s="28" t="str">
        <f>"－"</f>
        <v>－</v>
      </c>
      <c r="Y411" s="28"/>
      <c r="Z411" s="26" t="str">
        <f>"－"</f>
        <v>－</v>
      </c>
      <c r="AA411" s="26" t="n">
        <f>462</f>
        <v>462.0</v>
      </c>
      <c r="AB411" s="4" t="s">
        <v>644</v>
      </c>
      <c r="AC411" s="27" t="n">
        <f>1766</f>
        <v>1766.0</v>
      </c>
      <c r="AD411" s="5" t="s">
        <v>733</v>
      </c>
      <c r="AE411" s="28" t="n">
        <f>278</f>
        <v>278.0</v>
      </c>
    </row>
    <row r="412">
      <c r="A412" s="20" t="s">
        <v>1063</v>
      </c>
      <c r="B412" s="21" t="s">
        <v>1064</v>
      </c>
      <c r="C412" s="22"/>
      <c r="D412" s="23"/>
      <c r="E412" s="24" t="s">
        <v>98</v>
      </c>
      <c r="F412" s="25" t="n">
        <f>245</f>
        <v>245.0</v>
      </c>
      <c r="G412" s="26" t="n">
        <f>4591</f>
        <v>4591.0</v>
      </c>
      <c r="H412" s="26"/>
      <c r="I412" s="26" t="n">
        <f>4462</f>
        <v>4462.0</v>
      </c>
      <c r="J412" s="26" t="n">
        <f>19</f>
        <v>19.0</v>
      </c>
      <c r="K412" s="26" t="n">
        <f>18</f>
        <v>18.0</v>
      </c>
      <c r="L412" s="4" t="s">
        <v>832</v>
      </c>
      <c r="M412" s="27" t="n">
        <f>1247</f>
        <v>1247.0</v>
      </c>
      <c r="N412" s="5" t="s">
        <v>213</v>
      </c>
      <c r="O412" s="28" t="str">
        <f>"－"</f>
        <v>－</v>
      </c>
      <c r="P412" s="3" t="s">
        <v>1069</v>
      </c>
      <c r="Q412" s="26"/>
      <c r="R412" s="3" t="s">
        <v>1070</v>
      </c>
      <c r="S412" s="26" t="n">
        <f>19119047</f>
        <v>1.9119047E7</v>
      </c>
      <c r="T412" s="26" t="n">
        <f>18599008</f>
        <v>1.8599008E7</v>
      </c>
      <c r="U412" s="5" t="s">
        <v>832</v>
      </c>
      <c r="V412" s="28" t="n">
        <f>1198613556</f>
        <v>1.198613556E9</v>
      </c>
      <c r="W412" s="5" t="s">
        <v>213</v>
      </c>
      <c r="X412" s="28" t="str">
        <f>"－"</f>
        <v>－</v>
      </c>
      <c r="Y412" s="28"/>
      <c r="Z412" s="26" t="str">
        <f>"－"</f>
        <v>－</v>
      </c>
      <c r="AA412" s="26" t="n">
        <f>176</f>
        <v>176.0</v>
      </c>
      <c r="AB412" s="4" t="s">
        <v>1071</v>
      </c>
      <c r="AC412" s="27" t="n">
        <f>1820</f>
        <v>1820.0</v>
      </c>
      <c r="AD412" s="5" t="s">
        <v>455</v>
      </c>
      <c r="AE412" s="28" t="n">
        <f>22</f>
        <v>22.0</v>
      </c>
    </row>
    <row r="413">
      <c r="A413" s="20" t="s">
        <v>1063</v>
      </c>
      <c r="B413" s="21" t="s">
        <v>1064</v>
      </c>
      <c r="C413" s="22"/>
      <c r="D413" s="23"/>
      <c r="E413" s="24" t="s">
        <v>103</v>
      </c>
      <c r="F413" s="25" t="n">
        <f>244</f>
        <v>244.0</v>
      </c>
      <c r="G413" s="26" t="n">
        <f>2743</f>
        <v>2743.0</v>
      </c>
      <c r="H413" s="26"/>
      <c r="I413" s="26" t="n">
        <f>1990</f>
        <v>1990.0</v>
      </c>
      <c r="J413" s="26" t="n">
        <f>11</f>
        <v>11.0</v>
      </c>
      <c r="K413" s="26" t="n">
        <f>8</f>
        <v>8.0</v>
      </c>
      <c r="L413" s="4" t="s">
        <v>1072</v>
      </c>
      <c r="M413" s="27" t="n">
        <f>600</f>
        <v>600.0</v>
      </c>
      <c r="N413" s="5" t="s">
        <v>399</v>
      </c>
      <c r="O413" s="28" t="str">
        <f>"－"</f>
        <v>－</v>
      </c>
      <c r="P413" s="3" t="s">
        <v>1073</v>
      </c>
      <c r="Q413" s="26"/>
      <c r="R413" s="3" t="s">
        <v>1074</v>
      </c>
      <c r="S413" s="26" t="n">
        <f>4304969</f>
        <v>4304969.0</v>
      </c>
      <c r="T413" s="26" t="n">
        <f>3186055</f>
        <v>3186055.0</v>
      </c>
      <c r="U413" s="5" t="s">
        <v>1072</v>
      </c>
      <c r="V413" s="28" t="n">
        <f>245520000</f>
        <v>2.4552E8</v>
      </c>
      <c r="W413" s="5" t="s">
        <v>399</v>
      </c>
      <c r="X413" s="28" t="str">
        <f>"－"</f>
        <v>－</v>
      </c>
      <c r="Y413" s="28"/>
      <c r="Z413" s="26" t="str">
        <f>"－"</f>
        <v>－</v>
      </c>
      <c r="AA413" s="26" t="n">
        <f>455</f>
        <v>455.0</v>
      </c>
      <c r="AB413" s="4" t="s">
        <v>442</v>
      </c>
      <c r="AC413" s="27" t="n">
        <f>1231</f>
        <v>1231.0</v>
      </c>
      <c r="AD413" s="5" t="s">
        <v>837</v>
      </c>
      <c r="AE413" s="28" t="n">
        <f>98</f>
        <v>98.0</v>
      </c>
    </row>
    <row r="414">
      <c r="A414" s="20" t="s">
        <v>1075</v>
      </c>
      <c r="B414" s="21" t="s">
        <v>1076</v>
      </c>
      <c r="C414" s="22"/>
      <c r="D414" s="23"/>
      <c r="E414" s="24" t="s">
        <v>87</v>
      </c>
      <c r="F414" s="25" t="n">
        <f>168</f>
        <v>168.0</v>
      </c>
      <c r="G414" s="26" t="n">
        <f>596</f>
        <v>596.0</v>
      </c>
      <c r="H414" s="26"/>
      <c r="I414" s="26" t="n">
        <f>505</f>
        <v>505.0</v>
      </c>
      <c r="J414" s="26" t="n">
        <f>4</f>
        <v>4.0</v>
      </c>
      <c r="K414" s="26" t="n">
        <f>3</f>
        <v>3.0</v>
      </c>
      <c r="L414" s="4" t="s">
        <v>387</v>
      </c>
      <c r="M414" s="27" t="n">
        <f>200</f>
        <v>200.0</v>
      </c>
      <c r="N414" s="5" t="s">
        <v>514</v>
      </c>
      <c r="O414" s="28" t="str">
        <f>"－"</f>
        <v>－</v>
      </c>
      <c r="P414" s="3" t="s">
        <v>1077</v>
      </c>
      <c r="Q414" s="26"/>
      <c r="R414" s="3" t="s">
        <v>1078</v>
      </c>
      <c r="S414" s="26" t="n">
        <f>809645</f>
        <v>809645.0</v>
      </c>
      <c r="T414" s="26" t="n">
        <f>696286</f>
        <v>696286.0</v>
      </c>
      <c r="U414" s="5" t="s">
        <v>387</v>
      </c>
      <c r="V414" s="28" t="n">
        <f>54000000</f>
        <v>5.4E7</v>
      </c>
      <c r="W414" s="5" t="s">
        <v>514</v>
      </c>
      <c r="X414" s="28" t="str">
        <f>"－"</f>
        <v>－</v>
      </c>
      <c r="Y414" s="28"/>
      <c r="Z414" s="26" t="str">
        <f>"－"</f>
        <v>－</v>
      </c>
      <c r="AA414" s="26" t="n">
        <f>30</f>
        <v>30.0</v>
      </c>
      <c r="AB414" s="4" t="s">
        <v>226</v>
      </c>
      <c r="AC414" s="27" t="n">
        <f>303</f>
        <v>303.0</v>
      </c>
      <c r="AD414" s="5" t="s">
        <v>181</v>
      </c>
      <c r="AE414" s="28" t="str">
        <f>"－"</f>
        <v>－</v>
      </c>
    </row>
    <row r="415">
      <c r="A415" s="20" t="s">
        <v>1075</v>
      </c>
      <c r="B415" s="21" t="s">
        <v>1076</v>
      </c>
      <c r="C415" s="22"/>
      <c r="D415" s="23"/>
      <c r="E415" s="24" t="s">
        <v>92</v>
      </c>
      <c r="F415" s="25" t="n">
        <f>244</f>
        <v>244.0</v>
      </c>
      <c r="G415" s="26" t="n">
        <f>1788</f>
        <v>1788.0</v>
      </c>
      <c r="H415" s="26"/>
      <c r="I415" s="26" t="n">
        <f>1136</f>
        <v>1136.0</v>
      </c>
      <c r="J415" s="26" t="n">
        <f>7</f>
        <v>7.0</v>
      </c>
      <c r="K415" s="26" t="n">
        <f>5</f>
        <v>5.0</v>
      </c>
      <c r="L415" s="4" t="s">
        <v>727</v>
      </c>
      <c r="M415" s="27" t="n">
        <f>300</f>
        <v>300.0</v>
      </c>
      <c r="N415" s="5" t="s">
        <v>213</v>
      </c>
      <c r="O415" s="28" t="str">
        <f>"－"</f>
        <v>－</v>
      </c>
      <c r="P415" s="3" t="s">
        <v>1079</v>
      </c>
      <c r="Q415" s="26"/>
      <c r="R415" s="3" t="s">
        <v>1080</v>
      </c>
      <c r="S415" s="26" t="n">
        <f>2305283</f>
        <v>2305283.0</v>
      </c>
      <c r="T415" s="26" t="n">
        <f>1573612</f>
        <v>1573612.0</v>
      </c>
      <c r="U415" s="5" t="s">
        <v>727</v>
      </c>
      <c r="V415" s="28" t="n">
        <f>115320000</f>
        <v>1.1532E8</v>
      </c>
      <c r="W415" s="5" t="s">
        <v>213</v>
      </c>
      <c r="X415" s="28" t="str">
        <f>"－"</f>
        <v>－</v>
      </c>
      <c r="Y415" s="28"/>
      <c r="Z415" s="26" t="str">
        <f>"－"</f>
        <v>－</v>
      </c>
      <c r="AA415" s="26" t="n">
        <f>10</f>
        <v>10.0</v>
      </c>
      <c r="AB415" s="4" t="s">
        <v>577</v>
      </c>
      <c r="AC415" s="27" t="n">
        <f>1450</f>
        <v>1450.0</v>
      </c>
      <c r="AD415" s="5" t="s">
        <v>128</v>
      </c>
      <c r="AE415" s="28" t="n">
        <f>10</f>
        <v>10.0</v>
      </c>
    </row>
    <row r="416">
      <c r="A416" s="20" t="s">
        <v>1075</v>
      </c>
      <c r="B416" s="21" t="s">
        <v>1076</v>
      </c>
      <c r="C416" s="22"/>
      <c r="D416" s="23"/>
      <c r="E416" s="24" t="s">
        <v>98</v>
      </c>
      <c r="F416" s="25" t="n">
        <f>245</f>
        <v>245.0</v>
      </c>
      <c r="G416" s="26" t="n">
        <f>3411</f>
        <v>3411.0</v>
      </c>
      <c r="H416" s="26"/>
      <c r="I416" s="26" t="n">
        <f>3386</f>
        <v>3386.0</v>
      </c>
      <c r="J416" s="26" t="n">
        <f>14</f>
        <v>14.0</v>
      </c>
      <c r="K416" s="26" t="n">
        <f>14</f>
        <v>14.0</v>
      </c>
      <c r="L416" s="4" t="s">
        <v>302</v>
      </c>
      <c r="M416" s="27" t="n">
        <f>820</f>
        <v>820.0</v>
      </c>
      <c r="N416" s="5" t="s">
        <v>403</v>
      </c>
      <c r="O416" s="28" t="str">
        <f>"－"</f>
        <v>－</v>
      </c>
      <c r="P416" s="3" t="s">
        <v>1081</v>
      </c>
      <c r="Q416" s="26"/>
      <c r="R416" s="3" t="s">
        <v>1082</v>
      </c>
      <c r="S416" s="26" t="n">
        <f>11794377</f>
        <v>1.1794377E7</v>
      </c>
      <c r="T416" s="26" t="n">
        <f>11730867</f>
        <v>1.1730867E7</v>
      </c>
      <c r="U416" s="5" t="s">
        <v>302</v>
      </c>
      <c r="V416" s="28" t="n">
        <f>736032000</f>
        <v>7.36032E8</v>
      </c>
      <c r="W416" s="5" t="s">
        <v>403</v>
      </c>
      <c r="X416" s="28" t="str">
        <f>"－"</f>
        <v>－</v>
      </c>
      <c r="Y416" s="28"/>
      <c r="Z416" s="26" t="str">
        <f>"－"</f>
        <v>－</v>
      </c>
      <c r="AA416" s="26" t="n">
        <f>70</f>
        <v>70.0</v>
      </c>
      <c r="AB416" s="4" t="s">
        <v>234</v>
      </c>
      <c r="AC416" s="27" t="n">
        <f>2270</f>
        <v>2270.0</v>
      </c>
      <c r="AD416" s="5" t="s">
        <v>128</v>
      </c>
      <c r="AE416" s="28" t="n">
        <f>30</f>
        <v>30.0</v>
      </c>
    </row>
    <row r="417">
      <c r="A417" s="20" t="s">
        <v>1075</v>
      </c>
      <c r="B417" s="21" t="s">
        <v>1076</v>
      </c>
      <c r="C417" s="22"/>
      <c r="D417" s="23"/>
      <c r="E417" s="24" t="s">
        <v>103</v>
      </c>
      <c r="F417" s="25" t="n">
        <f>244</f>
        <v>244.0</v>
      </c>
      <c r="G417" s="26" t="n">
        <f>657</f>
        <v>657.0</v>
      </c>
      <c r="H417" s="26"/>
      <c r="I417" s="26" t="n">
        <f>162</f>
        <v>162.0</v>
      </c>
      <c r="J417" s="26" t="n">
        <f>3</f>
        <v>3.0</v>
      </c>
      <c r="K417" s="26" t="n">
        <f>1</f>
        <v>1.0</v>
      </c>
      <c r="L417" s="4" t="s">
        <v>583</v>
      </c>
      <c r="M417" s="27" t="n">
        <f>110</f>
        <v>110.0</v>
      </c>
      <c r="N417" s="5" t="s">
        <v>455</v>
      </c>
      <c r="O417" s="28" t="str">
        <f>"－"</f>
        <v>－</v>
      </c>
      <c r="P417" s="3" t="s">
        <v>1083</v>
      </c>
      <c r="Q417" s="26"/>
      <c r="R417" s="3" t="s">
        <v>1084</v>
      </c>
      <c r="S417" s="26" t="n">
        <f>824311</f>
        <v>824311.0</v>
      </c>
      <c r="T417" s="26" t="n">
        <f>238323</f>
        <v>238323.0</v>
      </c>
      <c r="U417" s="5" t="s">
        <v>583</v>
      </c>
      <c r="V417" s="28" t="n">
        <f>42624000</f>
        <v>4.2624E7</v>
      </c>
      <c r="W417" s="5" t="s">
        <v>455</v>
      </c>
      <c r="X417" s="28" t="str">
        <f>"－"</f>
        <v>－</v>
      </c>
      <c r="Y417" s="28"/>
      <c r="Z417" s="26" t="str">
        <f>"－"</f>
        <v>－</v>
      </c>
      <c r="AA417" s="26" t="n">
        <f>84</f>
        <v>84.0</v>
      </c>
      <c r="AB417" s="4" t="s">
        <v>583</v>
      </c>
      <c r="AC417" s="27" t="n">
        <f>163</f>
        <v>163.0</v>
      </c>
      <c r="AD417" s="5" t="s">
        <v>733</v>
      </c>
      <c r="AE417" s="28" t="n">
        <f>47</f>
        <v>47.0</v>
      </c>
    </row>
    <row r="418">
      <c r="A418" s="20" t="s">
        <v>1085</v>
      </c>
      <c r="B418" s="21" t="s">
        <v>1086</v>
      </c>
      <c r="C418" s="22"/>
      <c r="D418" s="23"/>
      <c r="E418" s="24" t="s">
        <v>103</v>
      </c>
      <c r="F418" s="25" t="n">
        <f>9</f>
        <v>9.0</v>
      </c>
      <c r="G418" s="26" t="n">
        <f>8</f>
        <v>8.0</v>
      </c>
      <c r="H418" s="26"/>
      <c r="I418" s="26" t="str">
        <f>"－"</f>
        <v>－</v>
      </c>
      <c r="J418" s="26" t="n">
        <f>1</f>
        <v>1.0</v>
      </c>
      <c r="K418" s="26" t="str">
        <f>"－"</f>
        <v>－</v>
      </c>
      <c r="L418" s="4" t="s">
        <v>274</v>
      </c>
      <c r="M418" s="27" t="n">
        <f>4</f>
        <v>4.0</v>
      </c>
      <c r="N418" s="5" t="s">
        <v>351</v>
      </c>
      <c r="O418" s="28" t="str">
        <f>"－"</f>
        <v>－</v>
      </c>
      <c r="P418" s="3" t="s">
        <v>1087</v>
      </c>
      <c r="Q418" s="26"/>
      <c r="R418" s="3" t="s">
        <v>160</v>
      </c>
      <c r="S418" s="26" t="n">
        <f>168373</f>
        <v>168373.0</v>
      </c>
      <c r="T418" s="26" t="str">
        <f>"－"</f>
        <v>－</v>
      </c>
      <c r="U418" s="5" t="s">
        <v>926</v>
      </c>
      <c r="V418" s="28" t="n">
        <f>772800</f>
        <v>772800.0</v>
      </c>
      <c r="W418" s="5" t="s">
        <v>351</v>
      </c>
      <c r="X418" s="28" t="str">
        <f>"－"</f>
        <v>－</v>
      </c>
      <c r="Y418" s="28"/>
      <c r="Z418" s="26" t="str">
        <f>"－"</f>
        <v>－</v>
      </c>
      <c r="AA418" s="26" t="n">
        <f>4</f>
        <v>4.0</v>
      </c>
      <c r="AB418" s="4" t="s">
        <v>926</v>
      </c>
      <c r="AC418" s="27" t="n">
        <f>8</f>
        <v>8.0</v>
      </c>
      <c r="AD418" s="5" t="s">
        <v>274</v>
      </c>
      <c r="AE418" s="28" t="n">
        <f>4</f>
        <v>4.0</v>
      </c>
    </row>
    <row r="419">
      <c r="A419" s="20" t="s">
        <v>1088</v>
      </c>
      <c r="B419" s="21" t="s">
        <v>1089</v>
      </c>
      <c r="C419" s="22"/>
      <c r="D419" s="23"/>
      <c r="E419" s="24" t="s">
        <v>103</v>
      </c>
      <c r="F419" s="25" t="n">
        <f>9</f>
        <v>9.0</v>
      </c>
      <c r="G419" s="26" t="n">
        <f>6</f>
        <v>6.0</v>
      </c>
      <c r="H419" s="26"/>
      <c r="I419" s="26" t="str">
        <f>"－"</f>
        <v>－</v>
      </c>
      <c r="J419" s="26" t="n">
        <f>1</f>
        <v>1.0</v>
      </c>
      <c r="K419" s="26" t="str">
        <f>"－"</f>
        <v>－</v>
      </c>
      <c r="L419" s="4" t="s">
        <v>147</v>
      </c>
      <c r="M419" s="27" t="n">
        <f>4</f>
        <v>4.0</v>
      </c>
      <c r="N419" s="5" t="s">
        <v>351</v>
      </c>
      <c r="O419" s="28" t="str">
        <f>"－"</f>
        <v>－</v>
      </c>
      <c r="P419" s="3" t="s">
        <v>1090</v>
      </c>
      <c r="Q419" s="26"/>
      <c r="R419" s="3" t="s">
        <v>160</v>
      </c>
      <c r="S419" s="26" t="n">
        <f>110171</f>
        <v>110171.0</v>
      </c>
      <c r="T419" s="26" t="str">
        <f>"－"</f>
        <v>－</v>
      </c>
      <c r="U419" s="5" t="s">
        <v>147</v>
      </c>
      <c r="V419" s="28" t="n">
        <f>689136</f>
        <v>689136.0</v>
      </c>
      <c r="W419" s="5" t="s">
        <v>351</v>
      </c>
      <c r="X419" s="28" t="str">
        <f>"－"</f>
        <v>－</v>
      </c>
      <c r="Y419" s="28"/>
      <c r="Z419" s="26" t="str">
        <f>"－"</f>
        <v>－</v>
      </c>
      <c r="AA419" s="26" t="str">
        <f>"－"</f>
        <v>－</v>
      </c>
      <c r="AB419" s="4" t="s">
        <v>147</v>
      </c>
      <c r="AC419" s="27" t="n">
        <f>4</f>
        <v>4.0</v>
      </c>
      <c r="AD419" s="5" t="s">
        <v>274</v>
      </c>
      <c r="AE419" s="28" t="n">
        <f>2</f>
        <v>2.0</v>
      </c>
    </row>
    <row r="420">
      <c r="A420" s="20" t="s">
        <v>1091</v>
      </c>
      <c r="B420" s="21" t="s">
        <v>1092</v>
      </c>
      <c r="C420" s="22"/>
      <c r="D420" s="23"/>
      <c r="E420" s="24" t="s">
        <v>103</v>
      </c>
      <c r="F420" s="25" t="n">
        <f>9</f>
        <v>9.0</v>
      </c>
      <c r="G420" s="26" t="str">
        <f>"－"</f>
        <v>－</v>
      </c>
      <c r="H420" s="26"/>
      <c r="I420" s="26" t="str">
        <f>"－"</f>
        <v>－</v>
      </c>
      <c r="J420" s="26" t="str">
        <f>"－"</f>
        <v>－</v>
      </c>
      <c r="K420" s="26" t="str">
        <f>"－"</f>
        <v>－</v>
      </c>
      <c r="L420" s="4" t="s">
        <v>274</v>
      </c>
      <c r="M420" s="27" t="str">
        <f>"－"</f>
        <v>－</v>
      </c>
      <c r="N420" s="5" t="s">
        <v>274</v>
      </c>
      <c r="O420" s="28" t="str">
        <f>"－"</f>
        <v>－</v>
      </c>
      <c r="P420" s="3" t="s">
        <v>160</v>
      </c>
      <c r="Q420" s="26"/>
      <c r="R420" s="3" t="s">
        <v>160</v>
      </c>
      <c r="S420" s="26" t="str">
        <f>"－"</f>
        <v>－</v>
      </c>
      <c r="T420" s="26" t="str">
        <f>"－"</f>
        <v>－</v>
      </c>
      <c r="U420" s="5" t="s">
        <v>274</v>
      </c>
      <c r="V420" s="28" t="str">
        <f>"－"</f>
        <v>－</v>
      </c>
      <c r="W420" s="5" t="s">
        <v>274</v>
      </c>
      <c r="X420" s="28" t="str">
        <f>"－"</f>
        <v>－</v>
      </c>
      <c r="Y420" s="28"/>
      <c r="Z420" s="26" t="str">
        <f>"－"</f>
        <v>－</v>
      </c>
      <c r="AA420" s="26" t="str">
        <f>"－"</f>
        <v>－</v>
      </c>
      <c r="AB420" s="4" t="s">
        <v>274</v>
      </c>
      <c r="AC420" s="27" t="str">
        <f>"－"</f>
        <v>－</v>
      </c>
      <c r="AD420" s="5" t="s">
        <v>274</v>
      </c>
      <c r="AE420" s="28" t="str">
        <f>"－"</f>
        <v>－</v>
      </c>
    </row>
    <row r="421">
      <c r="A421" s="20" t="s">
        <v>1093</v>
      </c>
      <c r="B421" s="21" t="s">
        <v>1094</v>
      </c>
      <c r="C421" s="22"/>
      <c r="D421" s="23"/>
      <c r="E421" s="24" t="s">
        <v>103</v>
      </c>
      <c r="F421" s="25" t="n">
        <f>9</f>
        <v>9.0</v>
      </c>
      <c r="G421" s="26" t="n">
        <f>6</f>
        <v>6.0</v>
      </c>
      <c r="H421" s="26"/>
      <c r="I421" s="26" t="str">
        <f>"－"</f>
        <v>－</v>
      </c>
      <c r="J421" s="26" t="n">
        <f>1</f>
        <v>1.0</v>
      </c>
      <c r="K421" s="26" t="str">
        <f>"－"</f>
        <v>－</v>
      </c>
      <c r="L421" s="4" t="s">
        <v>147</v>
      </c>
      <c r="M421" s="27" t="n">
        <f>6</f>
        <v>6.0</v>
      </c>
      <c r="N421" s="5" t="s">
        <v>274</v>
      </c>
      <c r="O421" s="28" t="str">
        <f>"－"</f>
        <v>－</v>
      </c>
      <c r="P421" s="3" t="s">
        <v>1095</v>
      </c>
      <c r="Q421" s="26"/>
      <c r="R421" s="3" t="s">
        <v>160</v>
      </c>
      <c r="S421" s="26" t="n">
        <f>38667</f>
        <v>38667.0</v>
      </c>
      <c r="T421" s="26" t="str">
        <f>"－"</f>
        <v>－</v>
      </c>
      <c r="U421" s="5" t="s">
        <v>147</v>
      </c>
      <c r="V421" s="28" t="n">
        <f>348000</f>
        <v>348000.0</v>
      </c>
      <c r="W421" s="5" t="s">
        <v>274</v>
      </c>
      <c r="X421" s="28" t="str">
        <f>"－"</f>
        <v>－</v>
      </c>
      <c r="Y421" s="28"/>
      <c r="Z421" s="26" t="str">
        <f>"－"</f>
        <v>－</v>
      </c>
      <c r="AA421" s="26" t="str">
        <f>"－"</f>
        <v>－</v>
      </c>
      <c r="AB421" s="4" t="s">
        <v>147</v>
      </c>
      <c r="AC421" s="27" t="n">
        <f>2</f>
        <v>2.0</v>
      </c>
      <c r="AD421" s="5" t="s">
        <v>274</v>
      </c>
      <c r="AE421" s="28" t="str">
        <f>"－"</f>
        <v>－</v>
      </c>
    </row>
    <row r="422">
      <c r="A422" s="20" t="s">
        <v>1096</v>
      </c>
      <c r="B422" s="21" t="s">
        <v>1097</v>
      </c>
      <c r="C422" s="22"/>
      <c r="D422" s="23"/>
      <c r="E422" s="24" t="s">
        <v>98</v>
      </c>
      <c r="F422" s="25" t="n">
        <f>244</f>
        <v>244.0</v>
      </c>
      <c r="G422" s="26" t="n">
        <f>4</f>
        <v>4.0</v>
      </c>
      <c r="H422" s="26"/>
      <c r="I422" s="26" t="n">
        <f>1</f>
        <v>1.0</v>
      </c>
      <c r="J422" s="26" t="n">
        <f>0</f>
        <v>0.0</v>
      </c>
      <c r="K422" s="26" t="n">
        <f>0</f>
        <v>0.0</v>
      </c>
      <c r="L422" s="4" t="s">
        <v>455</v>
      </c>
      <c r="M422" s="27" t="n">
        <f>1</f>
        <v>1.0</v>
      </c>
      <c r="N422" s="5" t="s">
        <v>403</v>
      </c>
      <c r="O422" s="28" t="str">
        <f>"－"</f>
        <v>－</v>
      </c>
      <c r="P422" s="3" t="s">
        <v>1098</v>
      </c>
      <c r="Q422" s="26"/>
      <c r="R422" s="3" t="s">
        <v>1099</v>
      </c>
      <c r="S422" s="26" t="n">
        <f>74590</f>
        <v>74590.0</v>
      </c>
      <c r="T422" s="26" t="n">
        <f>14549</f>
        <v>14549.0</v>
      </c>
      <c r="U422" s="5" t="s">
        <v>500</v>
      </c>
      <c r="V422" s="28" t="n">
        <f>6300000</f>
        <v>6300000.0</v>
      </c>
      <c r="W422" s="5" t="s">
        <v>403</v>
      </c>
      <c r="X422" s="28" t="str">
        <f>"－"</f>
        <v>－</v>
      </c>
      <c r="Y422" s="28"/>
      <c r="Z422" s="26" t="str">
        <f>"－"</f>
        <v>－</v>
      </c>
      <c r="AA422" s="26" t="str">
        <f>"－"</f>
        <v>－</v>
      </c>
      <c r="AB422" s="4" t="s">
        <v>455</v>
      </c>
      <c r="AC422" s="27" t="n">
        <f>1</f>
        <v>1.0</v>
      </c>
      <c r="AD422" s="5" t="s">
        <v>442</v>
      </c>
      <c r="AE422" s="28" t="str">
        <f>"－"</f>
        <v>－</v>
      </c>
    </row>
    <row r="423">
      <c r="A423" s="20" t="s">
        <v>1096</v>
      </c>
      <c r="B423" s="21" t="s">
        <v>1097</v>
      </c>
      <c r="C423" s="22"/>
      <c r="D423" s="23"/>
      <c r="E423" s="24" t="s">
        <v>103</v>
      </c>
      <c r="F423" s="25" t="n">
        <f>244</f>
        <v>244.0</v>
      </c>
      <c r="G423" s="26" t="str">
        <f>"－"</f>
        <v>－</v>
      </c>
      <c r="H423" s="26"/>
      <c r="I423" s="26" t="str">
        <f>"－"</f>
        <v>－</v>
      </c>
      <c r="J423" s="26" t="str">
        <f>"－"</f>
        <v>－</v>
      </c>
      <c r="K423" s="26" t="str">
        <f>"－"</f>
        <v>－</v>
      </c>
      <c r="L423" s="4" t="s">
        <v>399</v>
      </c>
      <c r="M423" s="27" t="str">
        <f>"－"</f>
        <v>－</v>
      </c>
      <c r="N423" s="5" t="s">
        <v>399</v>
      </c>
      <c r="O423" s="28" t="str">
        <f>"－"</f>
        <v>－</v>
      </c>
      <c r="P423" s="3" t="s">
        <v>160</v>
      </c>
      <c r="Q423" s="26"/>
      <c r="R423" s="3" t="s">
        <v>160</v>
      </c>
      <c r="S423" s="26" t="str">
        <f>"－"</f>
        <v>－</v>
      </c>
      <c r="T423" s="26" t="str">
        <f>"－"</f>
        <v>－</v>
      </c>
      <c r="U423" s="5" t="s">
        <v>399</v>
      </c>
      <c r="V423" s="28" t="str">
        <f>"－"</f>
        <v>－</v>
      </c>
      <c r="W423" s="5" t="s">
        <v>399</v>
      </c>
      <c r="X423" s="28" t="str">
        <f>"－"</f>
        <v>－</v>
      </c>
      <c r="Y423" s="28"/>
      <c r="Z423" s="26" t="str">
        <f>"－"</f>
        <v>－</v>
      </c>
      <c r="AA423" s="26" t="str">
        <f>"－"</f>
        <v>－</v>
      </c>
      <c r="AB423" s="4" t="s">
        <v>399</v>
      </c>
      <c r="AC423" s="27" t="str">
        <f>"－"</f>
        <v>－</v>
      </c>
      <c r="AD423" s="5" t="s">
        <v>399</v>
      </c>
      <c r="AE423" s="28" t="str">
        <f>"－"</f>
        <v>－</v>
      </c>
    </row>
    <row r="424">
      <c r="A424" s="20" t="s">
        <v>1100</v>
      </c>
      <c r="B424" s="21" t="s">
        <v>1101</v>
      </c>
      <c r="C424" s="22"/>
      <c r="D424" s="23"/>
      <c r="E424" s="24" t="s">
        <v>87</v>
      </c>
      <c r="F424" s="25" t="n">
        <f>168</f>
        <v>168.0</v>
      </c>
      <c r="G424" s="26" t="n">
        <f>5965</f>
        <v>5965.0</v>
      </c>
      <c r="H424" s="26"/>
      <c r="I424" s="26" t="n">
        <f>1270</f>
        <v>1270.0</v>
      </c>
      <c r="J424" s="26" t="n">
        <f>36</f>
        <v>36.0</v>
      </c>
      <c r="K424" s="26" t="n">
        <f>8</f>
        <v>8.0</v>
      </c>
      <c r="L424" s="4" t="s">
        <v>1102</v>
      </c>
      <c r="M424" s="27" t="n">
        <f>761</f>
        <v>761.0</v>
      </c>
      <c r="N424" s="5" t="s">
        <v>514</v>
      </c>
      <c r="O424" s="28" t="str">
        <f>"－"</f>
        <v>－</v>
      </c>
      <c r="P424" s="3" t="s">
        <v>1103</v>
      </c>
      <c r="Q424" s="26"/>
      <c r="R424" s="3" t="s">
        <v>1104</v>
      </c>
      <c r="S424" s="26" t="n">
        <f>16260867</f>
        <v>1.6260867E7</v>
      </c>
      <c r="T424" s="26" t="n">
        <f>3561185</f>
        <v>3561185.0</v>
      </c>
      <c r="U424" s="5" t="s">
        <v>1102</v>
      </c>
      <c r="V424" s="28" t="n">
        <f>323400000</f>
        <v>3.234E8</v>
      </c>
      <c r="W424" s="5" t="s">
        <v>514</v>
      </c>
      <c r="X424" s="28" t="str">
        <f>"－"</f>
        <v>－</v>
      </c>
      <c r="Y424" s="28"/>
      <c r="Z424" s="26" t="str">
        <f>"－"</f>
        <v>－</v>
      </c>
      <c r="AA424" s="26" t="n">
        <f>114</f>
        <v>114.0</v>
      </c>
      <c r="AB424" s="4" t="s">
        <v>57</v>
      </c>
      <c r="AC424" s="27" t="n">
        <f>1594</f>
        <v>1594.0</v>
      </c>
      <c r="AD424" s="5" t="s">
        <v>557</v>
      </c>
      <c r="AE424" s="28" t="n">
        <f>13</f>
        <v>13.0</v>
      </c>
    </row>
    <row r="425">
      <c r="A425" s="20" t="s">
        <v>1100</v>
      </c>
      <c r="B425" s="21" t="s">
        <v>1101</v>
      </c>
      <c r="C425" s="22"/>
      <c r="D425" s="23"/>
      <c r="E425" s="24" t="s">
        <v>92</v>
      </c>
      <c r="F425" s="25" t="n">
        <f>244</f>
        <v>244.0</v>
      </c>
      <c r="G425" s="26" t="n">
        <f>5579</f>
        <v>5579.0</v>
      </c>
      <c r="H425" s="26"/>
      <c r="I425" s="26" t="n">
        <f>1878</f>
        <v>1878.0</v>
      </c>
      <c r="J425" s="26" t="n">
        <f>23</f>
        <v>23.0</v>
      </c>
      <c r="K425" s="26" t="n">
        <f>8</f>
        <v>8.0</v>
      </c>
      <c r="L425" s="4" t="s">
        <v>589</v>
      </c>
      <c r="M425" s="27" t="n">
        <f>284</f>
        <v>284.0</v>
      </c>
      <c r="N425" s="5" t="s">
        <v>403</v>
      </c>
      <c r="O425" s="28" t="str">
        <f>"－"</f>
        <v>－</v>
      </c>
      <c r="P425" s="3" t="s">
        <v>1105</v>
      </c>
      <c r="Q425" s="26"/>
      <c r="R425" s="3" t="s">
        <v>1106</v>
      </c>
      <c r="S425" s="26" t="n">
        <f>15403740</f>
        <v>1.540374E7</v>
      </c>
      <c r="T425" s="26" t="n">
        <f>5300021</f>
        <v>5300021.0</v>
      </c>
      <c r="U425" s="5" t="s">
        <v>589</v>
      </c>
      <c r="V425" s="28" t="n">
        <f>181909200</f>
        <v>1.819092E8</v>
      </c>
      <c r="W425" s="5" t="s">
        <v>403</v>
      </c>
      <c r="X425" s="28" t="str">
        <f>"－"</f>
        <v>－</v>
      </c>
      <c r="Y425" s="28"/>
      <c r="Z425" s="26" t="str">
        <f>"－"</f>
        <v>－</v>
      </c>
      <c r="AA425" s="26" t="n">
        <f>4</f>
        <v>4.0</v>
      </c>
      <c r="AB425" s="4" t="s">
        <v>820</v>
      </c>
      <c r="AC425" s="27" t="n">
        <f>559</f>
        <v>559.0</v>
      </c>
      <c r="AD425" s="5" t="s">
        <v>350</v>
      </c>
      <c r="AE425" s="28" t="n">
        <f>4</f>
        <v>4.0</v>
      </c>
    </row>
    <row r="426">
      <c r="A426" s="20" t="s">
        <v>1100</v>
      </c>
      <c r="B426" s="21" t="s">
        <v>1101</v>
      </c>
      <c r="C426" s="22"/>
      <c r="D426" s="23"/>
      <c r="E426" s="24" t="s">
        <v>98</v>
      </c>
      <c r="F426" s="25" t="n">
        <f>245</f>
        <v>245.0</v>
      </c>
      <c r="G426" s="26" t="n">
        <f>1427</f>
        <v>1427.0</v>
      </c>
      <c r="H426" s="26"/>
      <c r="I426" s="26" t="n">
        <f>471</f>
        <v>471.0</v>
      </c>
      <c r="J426" s="26" t="n">
        <f>6</f>
        <v>6.0</v>
      </c>
      <c r="K426" s="26" t="n">
        <f>2</f>
        <v>2.0</v>
      </c>
      <c r="L426" s="4" t="s">
        <v>702</v>
      </c>
      <c r="M426" s="27" t="n">
        <f>91</f>
        <v>91.0</v>
      </c>
      <c r="N426" s="5" t="s">
        <v>213</v>
      </c>
      <c r="O426" s="28" t="str">
        <f>"－"</f>
        <v>－</v>
      </c>
      <c r="P426" s="3" t="s">
        <v>1107</v>
      </c>
      <c r="Q426" s="26"/>
      <c r="R426" s="3" t="s">
        <v>1108</v>
      </c>
      <c r="S426" s="26" t="n">
        <f>4343008</f>
        <v>4343008.0</v>
      </c>
      <c r="T426" s="26" t="n">
        <f>1413366</f>
        <v>1413366.0</v>
      </c>
      <c r="U426" s="5" t="s">
        <v>57</v>
      </c>
      <c r="V426" s="28" t="n">
        <f>70351000</f>
        <v>7.0351E7</v>
      </c>
      <c r="W426" s="5" t="s">
        <v>213</v>
      </c>
      <c r="X426" s="28" t="str">
        <f>"－"</f>
        <v>－</v>
      </c>
      <c r="Y426" s="28"/>
      <c r="Z426" s="26" t="str">
        <f>"－"</f>
        <v>－</v>
      </c>
      <c r="AA426" s="26" t="str">
        <f>"－"</f>
        <v>－</v>
      </c>
      <c r="AB426" s="4" t="s">
        <v>614</v>
      </c>
      <c r="AC426" s="27" t="n">
        <f>215</f>
        <v>215.0</v>
      </c>
      <c r="AD426" s="5" t="s">
        <v>902</v>
      </c>
      <c r="AE426" s="28" t="str">
        <f>"－"</f>
        <v>－</v>
      </c>
    </row>
    <row r="427">
      <c r="A427" s="20" t="s">
        <v>1100</v>
      </c>
      <c r="B427" s="21" t="s">
        <v>1101</v>
      </c>
      <c r="C427" s="22"/>
      <c r="D427" s="23"/>
      <c r="E427" s="24" t="s">
        <v>103</v>
      </c>
      <c r="F427" s="25" t="n">
        <f>244</f>
        <v>244.0</v>
      </c>
      <c r="G427" s="26" t="n">
        <f>1621</f>
        <v>1621.0</v>
      </c>
      <c r="H427" s="26"/>
      <c r="I427" s="26" t="n">
        <f>892</f>
        <v>892.0</v>
      </c>
      <c r="J427" s="26" t="n">
        <f>7</f>
        <v>7.0</v>
      </c>
      <c r="K427" s="26" t="n">
        <f>4</f>
        <v>4.0</v>
      </c>
      <c r="L427" s="4" t="s">
        <v>577</v>
      </c>
      <c r="M427" s="27" t="n">
        <f>174</f>
        <v>174.0</v>
      </c>
      <c r="N427" s="5" t="s">
        <v>399</v>
      </c>
      <c r="O427" s="28" t="str">
        <f>"－"</f>
        <v>－</v>
      </c>
      <c r="P427" s="3" t="s">
        <v>1109</v>
      </c>
      <c r="Q427" s="26"/>
      <c r="R427" s="3" t="s">
        <v>1110</v>
      </c>
      <c r="S427" s="26" t="n">
        <f>5273095</f>
        <v>5273095.0</v>
      </c>
      <c r="T427" s="26" t="n">
        <f>2862314</f>
        <v>2862314.0</v>
      </c>
      <c r="U427" s="5" t="s">
        <v>577</v>
      </c>
      <c r="V427" s="28" t="n">
        <f>136105500</f>
        <v>1.361055E8</v>
      </c>
      <c r="W427" s="5" t="s">
        <v>399</v>
      </c>
      <c r="X427" s="28" t="str">
        <f>"－"</f>
        <v>－</v>
      </c>
      <c r="Y427" s="28"/>
      <c r="Z427" s="26" t="str">
        <f>"－"</f>
        <v>－</v>
      </c>
      <c r="AA427" s="26" t="str">
        <f>"－"</f>
        <v>－</v>
      </c>
      <c r="AB427" s="4" t="s">
        <v>577</v>
      </c>
      <c r="AC427" s="27" t="n">
        <f>238</f>
        <v>238.0</v>
      </c>
      <c r="AD427" s="5" t="s">
        <v>399</v>
      </c>
      <c r="AE427" s="28" t="str">
        <f>"－"</f>
        <v>－</v>
      </c>
    </row>
    <row r="428">
      <c r="A428" s="20" t="s">
        <v>1111</v>
      </c>
      <c r="B428" s="21" t="s">
        <v>1112</v>
      </c>
      <c r="C428" s="22"/>
      <c r="D428" s="23"/>
      <c r="E428" s="24" t="s">
        <v>87</v>
      </c>
      <c r="F428" s="25" t="n">
        <f>168</f>
        <v>168.0</v>
      </c>
      <c r="G428" s="26" t="n">
        <f>8059</f>
        <v>8059.0</v>
      </c>
      <c r="H428" s="26"/>
      <c r="I428" s="26" t="n">
        <f>2044</f>
        <v>2044.0</v>
      </c>
      <c r="J428" s="26" t="n">
        <f>48</f>
        <v>48.0</v>
      </c>
      <c r="K428" s="26" t="n">
        <f>12</f>
        <v>12.0</v>
      </c>
      <c r="L428" s="4" t="s">
        <v>659</v>
      </c>
      <c r="M428" s="27" t="n">
        <f>898</f>
        <v>898.0</v>
      </c>
      <c r="N428" s="5" t="s">
        <v>514</v>
      </c>
      <c r="O428" s="28" t="str">
        <f>"－"</f>
        <v>－</v>
      </c>
      <c r="P428" s="3" t="s">
        <v>1113</v>
      </c>
      <c r="Q428" s="26"/>
      <c r="R428" s="3" t="s">
        <v>1114</v>
      </c>
      <c r="S428" s="26" t="n">
        <f>22514639</f>
        <v>2.2514639E7</v>
      </c>
      <c r="T428" s="26" t="n">
        <f>5806988</f>
        <v>5806988.0</v>
      </c>
      <c r="U428" s="5" t="s">
        <v>659</v>
      </c>
      <c r="V428" s="28" t="n">
        <f>385764000</f>
        <v>3.85764E8</v>
      </c>
      <c r="W428" s="5" t="s">
        <v>514</v>
      </c>
      <c r="X428" s="28" t="str">
        <f>"－"</f>
        <v>－</v>
      </c>
      <c r="Y428" s="28"/>
      <c r="Z428" s="26" t="str">
        <f>"－"</f>
        <v>－</v>
      </c>
      <c r="AA428" s="26" t="n">
        <f>48</f>
        <v>48.0</v>
      </c>
      <c r="AB428" s="4" t="s">
        <v>1115</v>
      </c>
      <c r="AC428" s="27" t="n">
        <f>2730</f>
        <v>2730.0</v>
      </c>
      <c r="AD428" s="5" t="s">
        <v>557</v>
      </c>
      <c r="AE428" s="28" t="n">
        <f>12</f>
        <v>12.0</v>
      </c>
    </row>
    <row r="429">
      <c r="A429" s="20" t="s">
        <v>1111</v>
      </c>
      <c r="B429" s="21" t="s">
        <v>1112</v>
      </c>
      <c r="C429" s="22"/>
      <c r="D429" s="23"/>
      <c r="E429" s="24" t="s">
        <v>92</v>
      </c>
      <c r="F429" s="25" t="n">
        <f>244</f>
        <v>244.0</v>
      </c>
      <c r="G429" s="26" t="n">
        <f>5697</f>
        <v>5697.0</v>
      </c>
      <c r="H429" s="26"/>
      <c r="I429" s="26" t="n">
        <f>1739</f>
        <v>1739.0</v>
      </c>
      <c r="J429" s="26" t="n">
        <f>23</f>
        <v>23.0</v>
      </c>
      <c r="K429" s="26" t="n">
        <f>7</f>
        <v>7.0</v>
      </c>
      <c r="L429" s="4" t="s">
        <v>710</v>
      </c>
      <c r="M429" s="27" t="n">
        <f>528</f>
        <v>528.0</v>
      </c>
      <c r="N429" s="5" t="s">
        <v>213</v>
      </c>
      <c r="O429" s="28" t="str">
        <f>"－"</f>
        <v>－</v>
      </c>
      <c r="P429" s="3" t="s">
        <v>1116</v>
      </c>
      <c r="Q429" s="26"/>
      <c r="R429" s="3" t="s">
        <v>1117</v>
      </c>
      <c r="S429" s="26" t="n">
        <f>16545489</f>
        <v>1.6545489E7</v>
      </c>
      <c r="T429" s="26" t="n">
        <f>5143964</f>
        <v>5143964.0</v>
      </c>
      <c r="U429" s="5" t="s">
        <v>710</v>
      </c>
      <c r="V429" s="28" t="n">
        <f>412883000</f>
        <v>4.12883E8</v>
      </c>
      <c r="W429" s="5" t="s">
        <v>213</v>
      </c>
      <c r="X429" s="28" t="str">
        <f>"－"</f>
        <v>－</v>
      </c>
      <c r="Y429" s="28"/>
      <c r="Z429" s="26" t="str">
        <f>"－"</f>
        <v>－</v>
      </c>
      <c r="AA429" s="26" t="n">
        <f>4</f>
        <v>4.0</v>
      </c>
      <c r="AB429" s="4" t="s">
        <v>710</v>
      </c>
      <c r="AC429" s="27" t="n">
        <f>866</f>
        <v>866.0</v>
      </c>
      <c r="AD429" s="5" t="s">
        <v>350</v>
      </c>
      <c r="AE429" s="28" t="n">
        <f>4</f>
        <v>4.0</v>
      </c>
    </row>
    <row r="430">
      <c r="A430" s="20" t="s">
        <v>1111</v>
      </c>
      <c r="B430" s="21" t="s">
        <v>1112</v>
      </c>
      <c r="C430" s="22"/>
      <c r="D430" s="23"/>
      <c r="E430" s="24" t="s">
        <v>98</v>
      </c>
      <c r="F430" s="25" t="n">
        <f>245</f>
        <v>245.0</v>
      </c>
      <c r="G430" s="26" t="n">
        <f>659</f>
        <v>659.0</v>
      </c>
      <c r="H430" s="26"/>
      <c r="I430" s="26" t="n">
        <f>192</f>
        <v>192.0</v>
      </c>
      <c r="J430" s="26" t="n">
        <f>3</f>
        <v>3.0</v>
      </c>
      <c r="K430" s="26" t="n">
        <f>1</f>
        <v>1.0</v>
      </c>
      <c r="L430" s="4" t="s">
        <v>358</v>
      </c>
      <c r="M430" s="27" t="n">
        <f>61</f>
        <v>61.0</v>
      </c>
      <c r="N430" s="5" t="s">
        <v>213</v>
      </c>
      <c r="O430" s="28" t="str">
        <f>"－"</f>
        <v>－</v>
      </c>
      <c r="P430" s="3" t="s">
        <v>1118</v>
      </c>
      <c r="Q430" s="26"/>
      <c r="R430" s="3" t="s">
        <v>1119</v>
      </c>
      <c r="S430" s="26" t="n">
        <f>2107118</f>
        <v>2107118.0</v>
      </c>
      <c r="T430" s="26" t="n">
        <f>621371</f>
        <v>621371.0</v>
      </c>
      <c r="U430" s="5" t="s">
        <v>358</v>
      </c>
      <c r="V430" s="28" t="n">
        <f>48640000</f>
        <v>4.864E7</v>
      </c>
      <c r="W430" s="5" t="s">
        <v>213</v>
      </c>
      <c r="X430" s="28" t="str">
        <f>"－"</f>
        <v>－</v>
      </c>
      <c r="Y430" s="28"/>
      <c r="Z430" s="26" t="str">
        <f>"－"</f>
        <v>－</v>
      </c>
      <c r="AA430" s="26" t="str">
        <f>"－"</f>
        <v>－</v>
      </c>
      <c r="AB430" s="4" t="s">
        <v>614</v>
      </c>
      <c r="AC430" s="27" t="n">
        <f>97</f>
        <v>97.0</v>
      </c>
      <c r="AD430" s="5" t="s">
        <v>902</v>
      </c>
      <c r="AE430" s="28" t="str">
        <f>"－"</f>
        <v>－</v>
      </c>
    </row>
    <row r="431">
      <c r="A431" s="20" t="s">
        <v>1111</v>
      </c>
      <c r="B431" s="21" t="s">
        <v>1112</v>
      </c>
      <c r="C431" s="22"/>
      <c r="D431" s="23"/>
      <c r="E431" s="24" t="s">
        <v>103</v>
      </c>
      <c r="F431" s="25" t="n">
        <f>244</f>
        <v>244.0</v>
      </c>
      <c r="G431" s="26" t="n">
        <f>410</f>
        <v>410.0</v>
      </c>
      <c r="H431" s="26"/>
      <c r="I431" s="26" t="n">
        <f>64</f>
        <v>64.0</v>
      </c>
      <c r="J431" s="26" t="n">
        <f>2</f>
        <v>2.0</v>
      </c>
      <c r="K431" s="26" t="n">
        <f>0</f>
        <v>0.0</v>
      </c>
      <c r="L431" s="4" t="s">
        <v>57</v>
      </c>
      <c r="M431" s="27" t="n">
        <f>36</f>
        <v>36.0</v>
      </c>
      <c r="N431" s="5" t="s">
        <v>399</v>
      </c>
      <c r="O431" s="28" t="str">
        <f>"－"</f>
        <v>－</v>
      </c>
      <c r="P431" s="3" t="s">
        <v>1120</v>
      </c>
      <c r="Q431" s="26"/>
      <c r="R431" s="3" t="s">
        <v>1121</v>
      </c>
      <c r="S431" s="26" t="n">
        <f>1401805</f>
        <v>1401805.0</v>
      </c>
      <c r="T431" s="26" t="n">
        <f>224340</f>
        <v>224340.0</v>
      </c>
      <c r="U431" s="5" t="s">
        <v>57</v>
      </c>
      <c r="V431" s="28" t="n">
        <f>32760000</f>
        <v>3.276E7</v>
      </c>
      <c r="W431" s="5" t="s">
        <v>399</v>
      </c>
      <c r="X431" s="28" t="str">
        <f>"－"</f>
        <v>－</v>
      </c>
      <c r="Y431" s="28"/>
      <c r="Z431" s="26" t="str">
        <f>"－"</f>
        <v>－</v>
      </c>
      <c r="AA431" s="26" t="str">
        <f>"－"</f>
        <v>－</v>
      </c>
      <c r="AB431" s="4" t="s">
        <v>57</v>
      </c>
      <c r="AC431" s="27" t="n">
        <f>56</f>
        <v>56.0</v>
      </c>
      <c r="AD431" s="5" t="s">
        <v>399</v>
      </c>
      <c r="AE431" s="28" t="str">
        <f>"－"</f>
        <v>－</v>
      </c>
    </row>
    <row r="432">
      <c r="A432" s="20" t="s">
        <v>1122</v>
      </c>
      <c r="B432" s="21" t="s">
        <v>1123</v>
      </c>
      <c r="C432" s="22" t="s">
        <v>1124</v>
      </c>
      <c r="D432" s="23" t="s">
        <v>1125</v>
      </c>
      <c r="E432" s="24" t="s">
        <v>48</v>
      </c>
      <c r="F432" s="25" t="n">
        <f>81</f>
        <v>81.0</v>
      </c>
      <c r="G432" s="26" t="n">
        <f>6940943</f>
        <v>6940943.0</v>
      </c>
      <c r="H432" s="26"/>
      <c r="I432" s="26" t="n">
        <f>2535631</f>
        <v>2535631.0</v>
      </c>
      <c r="J432" s="26" t="n">
        <f>85691</f>
        <v>85691.0</v>
      </c>
      <c r="K432" s="26" t="n">
        <f>31304</f>
        <v>31304.0</v>
      </c>
      <c r="L432" s="4" t="s">
        <v>49</v>
      </c>
      <c r="M432" s="27" t="n">
        <f>245400</f>
        <v>245400.0</v>
      </c>
      <c r="N432" s="5" t="s">
        <v>50</v>
      </c>
      <c r="O432" s="28" t="n">
        <f>30295</f>
        <v>30295.0</v>
      </c>
      <c r="P432" s="3" t="s">
        <v>1126</v>
      </c>
      <c r="Q432" s="26"/>
      <c r="R432" s="3" t="s">
        <v>1127</v>
      </c>
      <c r="S432" s="26" t="n">
        <f>13189629728</f>
        <v>1.3189629728E10</v>
      </c>
      <c r="T432" s="26" t="n">
        <f>9445985593</f>
        <v>9.445985593E9</v>
      </c>
      <c r="U432" s="5" t="s">
        <v>71</v>
      </c>
      <c r="V432" s="28" t="n">
        <f>31569265000</f>
        <v>3.1569265E10</v>
      </c>
      <c r="W432" s="5" t="s">
        <v>50</v>
      </c>
      <c r="X432" s="28" t="n">
        <f>2870383000</f>
        <v>2.870383E9</v>
      </c>
      <c r="Y432" s="28" t="n">
        <f>69235</f>
        <v>69235.0</v>
      </c>
      <c r="Z432" s="26" t="n">
        <f>523113</f>
        <v>523113.0</v>
      </c>
      <c r="AA432" s="26" t="n">
        <f>1397347</f>
        <v>1397347.0</v>
      </c>
      <c r="AB432" s="4" t="s">
        <v>243</v>
      </c>
      <c r="AC432" s="27" t="n">
        <f>1983765</f>
        <v>1983765.0</v>
      </c>
      <c r="AD432" s="5" t="s">
        <v>119</v>
      </c>
      <c r="AE432" s="28" t="n">
        <f>1067913</f>
        <v>1067913.0</v>
      </c>
    </row>
    <row r="433">
      <c r="A433" s="20" t="s">
        <v>1122</v>
      </c>
      <c r="B433" s="21" t="s">
        <v>1123</v>
      </c>
      <c r="C433" s="22" t="s">
        <v>1128</v>
      </c>
      <c r="D433" s="23" t="s">
        <v>1129</v>
      </c>
      <c r="E433" s="24" t="s">
        <v>48</v>
      </c>
      <c r="F433" s="25" t="n">
        <f>81</f>
        <v>81.0</v>
      </c>
      <c r="G433" s="26" t="n">
        <f>5927588</f>
        <v>5927588.0</v>
      </c>
      <c r="H433" s="26"/>
      <c r="I433" s="26" t="n">
        <f>2324873</f>
        <v>2324873.0</v>
      </c>
      <c r="J433" s="26" t="n">
        <f>73180</f>
        <v>73180.0</v>
      </c>
      <c r="K433" s="26" t="n">
        <f>28702</f>
        <v>28702.0</v>
      </c>
      <c r="L433" s="4" t="s">
        <v>243</v>
      </c>
      <c r="M433" s="27" t="n">
        <f>144603</f>
        <v>144603.0</v>
      </c>
      <c r="N433" s="5" t="s">
        <v>50</v>
      </c>
      <c r="O433" s="28" t="n">
        <f>23816</f>
        <v>23816.0</v>
      </c>
      <c r="P433" s="3" t="s">
        <v>1130</v>
      </c>
      <c r="Q433" s="26"/>
      <c r="R433" s="3" t="s">
        <v>1131</v>
      </c>
      <c r="S433" s="26" t="n">
        <f>16417820765</f>
        <v>1.6417820765E10</v>
      </c>
      <c r="T433" s="26" t="n">
        <f>12442840099</f>
        <v>1.2442840099E10</v>
      </c>
      <c r="U433" s="5" t="s">
        <v>49</v>
      </c>
      <c r="V433" s="28" t="n">
        <f>54520748000</f>
        <v>5.4520748E10</v>
      </c>
      <c r="W433" s="5" t="s">
        <v>50</v>
      </c>
      <c r="X433" s="28" t="n">
        <f>2549557000</f>
        <v>2.549557E9</v>
      </c>
      <c r="Y433" s="28" t="n">
        <f>852843</f>
        <v>852843.0</v>
      </c>
      <c r="Z433" s="26" t="n">
        <f>660446</f>
        <v>660446.0</v>
      </c>
      <c r="AA433" s="26" t="n">
        <f>1043687</f>
        <v>1043687.0</v>
      </c>
      <c r="AB433" s="4" t="s">
        <v>243</v>
      </c>
      <c r="AC433" s="27" t="n">
        <f>1827599</f>
        <v>1827599.0</v>
      </c>
      <c r="AD433" s="5" t="s">
        <v>119</v>
      </c>
      <c r="AE433" s="28" t="n">
        <f>958004</f>
        <v>958004.0</v>
      </c>
    </row>
    <row r="434">
      <c r="A434" s="20" t="s">
        <v>1122</v>
      </c>
      <c r="B434" s="21" t="s">
        <v>1123</v>
      </c>
      <c r="C434" s="22" t="s">
        <v>1132</v>
      </c>
      <c r="D434" s="23" t="s">
        <v>1133</v>
      </c>
      <c r="E434" s="24" t="s">
        <v>48</v>
      </c>
      <c r="F434" s="25" t="n">
        <f>81</f>
        <v>81.0</v>
      </c>
      <c r="G434" s="26" t="n">
        <f>12868531</f>
        <v>1.2868531E7</v>
      </c>
      <c r="H434" s="26"/>
      <c r="I434" s="26" t="n">
        <f>4860504</f>
        <v>4860504.0</v>
      </c>
      <c r="J434" s="26" t="n">
        <f>158871</f>
        <v>158871.0</v>
      </c>
      <c r="K434" s="26" t="n">
        <f>60006</f>
        <v>60006.0</v>
      </c>
      <c r="L434" s="4" t="s">
        <v>49</v>
      </c>
      <c r="M434" s="27" t="n">
        <f>373700</f>
        <v>373700.0</v>
      </c>
      <c r="N434" s="5" t="s">
        <v>50</v>
      </c>
      <c r="O434" s="28" t="n">
        <f>54111</f>
        <v>54111.0</v>
      </c>
      <c r="P434" s="3" t="s">
        <v>1134</v>
      </c>
      <c r="Q434" s="26"/>
      <c r="R434" s="3" t="s">
        <v>1135</v>
      </c>
      <c r="S434" s="26" t="n">
        <f>29607450494</f>
        <v>2.9607450494E10</v>
      </c>
      <c r="T434" s="26" t="n">
        <f>21888825691</f>
        <v>2.1888825691E10</v>
      </c>
      <c r="U434" s="5" t="s">
        <v>49</v>
      </c>
      <c r="V434" s="28" t="n">
        <f>85478179000</f>
        <v>8.5478179E10</v>
      </c>
      <c r="W434" s="5" t="s">
        <v>50</v>
      </c>
      <c r="X434" s="28" t="n">
        <f>5419940000</f>
        <v>5.41994E9</v>
      </c>
      <c r="Y434" s="28" t="n">
        <f>922078</f>
        <v>922078.0</v>
      </c>
      <c r="Z434" s="26" t="n">
        <f>1183559</f>
        <v>1183559.0</v>
      </c>
      <c r="AA434" s="26" t="n">
        <f>2441034</f>
        <v>2441034.0</v>
      </c>
      <c r="AB434" s="4" t="s">
        <v>243</v>
      </c>
      <c r="AC434" s="27" t="n">
        <f>3811364</f>
        <v>3811364.0</v>
      </c>
      <c r="AD434" s="5" t="s">
        <v>119</v>
      </c>
      <c r="AE434" s="28" t="n">
        <f>2025917</f>
        <v>2025917.0</v>
      </c>
    </row>
    <row r="435">
      <c r="A435" s="20" t="s">
        <v>1122</v>
      </c>
      <c r="B435" s="21" t="s">
        <v>1123</v>
      </c>
      <c r="C435" s="22" t="s">
        <v>1124</v>
      </c>
      <c r="D435" s="23" t="s">
        <v>1125</v>
      </c>
      <c r="E435" s="24" t="s">
        <v>56</v>
      </c>
      <c r="F435" s="25" t="n">
        <f>245</f>
        <v>245.0</v>
      </c>
      <c r="G435" s="26" t="n">
        <f>20664373</f>
        <v>2.0664373E7</v>
      </c>
      <c r="H435" s="26"/>
      <c r="I435" s="26" t="n">
        <f>6326540</f>
        <v>6326540.0</v>
      </c>
      <c r="J435" s="26" t="n">
        <f>84344</f>
        <v>84344.0</v>
      </c>
      <c r="K435" s="26" t="n">
        <f>25823</f>
        <v>25823.0</v>
      </c>
      <c r="L435" s="4" t="s">
        <v>57</v>
      </c>
      <c r="M435" s="27" t="n">
        <f>351057</f>
        <v>351057.0</v>
      </c>
      <c r="N435" s="5" t="s">
        <v>82</v>
      </c>
      <c r="O435" s="28" t="n">
        <f>30069</f>
        <v>30069.0</v>
      </c>
      <c r="P435" s="3" t="s">
        <v>1136</v>
      </c>
      <c r="Q435" s="26"/>
      <c r="R435" s="3" t="s">
        <v>1137</v>
      </c>
      <c r="S435" s="26" t="n">
        <f>17176507102</f>
        <v>1.7176507102E10</v>
      </c>
      <c r="T435" s="26" t="n">
        <f>11381879298</f>
        <v>1.1381879298E10</v>
      </c>
      <c r="U435" s="5" t="s">
        <v>57</v>
      </c>
      <c r="V435" s="28" t="n">
        <f>119943442000</f>
        <v>1.19943442E11</v>
      </c>
      <c r="W435" s="5" t="s">
        <v>82</v>
      </c>
      <c r="X435" s="28" t="n">
        <f>3749772000</f>
        <v>3.749772E9</v>
      </c>
      <c r="Y435" s="28" t="n">
        <f>673297</f>
        <v>673297.0</v>
      </c>
      <c r="Z435" s="26" t="n">
        <f>1649763</f>
        <v>1649763.0</v>
      </c>
      <c r="AA435" s="26" t="n">
        <f>1079131</f>
        <v>1079131.0</v>
      </c>
      <c r="AB435" s="4" t="s">
        <v>127</v>
      </c>
      <c r="AC435" s="27" t="n">
        <f>1564804</f>
        <v>1564804.0</v>
      </c>
      <c r="AD435" s="5" t="s">
        <v>243</v>
      </c>
      <c r="AE435" s="28" t="n">
        <f>829056</f>
        <v>829056.0</v>
      </c>
    </row>
    <row r="436">
      <c r="A436" s="20" t="s">
        <v>1122</v>
      </c>
      <c r="B436" s="21" t="s">
        <v>1123</v>
      </c>
      <c r="C436" s="22" t="s">
        <v>1128</v>
      </c>
      <c r="D436" s="23" t="s">
        <v>1129</v>
      </c>
      <c r="E436" s="24" t="s">
        <v>56</v>
      </c>
      <c r="F436" s="25" t="n">
        <f>245</f>
        <v>245.0</v>
      </c>
      <c r="G436" s="26" t="n">
        <f>17743256</f>
        <v>1.7743256E7</v>
      </c>
      <c r="H436" s="26"/>
      <c r="I436" s="26" t="n">
        <f>5783751</f>
        <v>5783751.0</v>
      </c>
      <c r="J436" s="26" t="n">
        <f>72421</f>
        <v>72421.0</v>
      </c>
      <c r="K436" s="26" t="n">
        <f>23607</f>
        <v>23607.0</v>
      </c>
      <c r="L436" s="4" t="s">
        <v>57</v>
      </c>
      <c r="M436" s="27" t="n">
        <f>196094</f>
        <v>196094.0</v>
      </c>
      <c r="N436" s="5" t="s">
        <v>608</v>
      </c>
      <c r="O436" s="28" t="n">
        <f>25260</f>
        <v>25260.0</v>
      </c>
      <c r="P436" s="3" t="s">
        <v>1138</v>
      </c>
      <c r="Q436" s="26"/>
      <c r="R436" s="3" t="s">
        <v>1139</v>
      </c>
      <c r="S436" s="26" t="n">
        <f>13513583090</f>
        <v>1.351358309E10</v>
      </c>
      <c r="T436" s="26" t="n">
        <f>9173330955</f>
        <v>9.173330955E9</v>
      </c>
      <c r="U436" s="5" t="s">
        <v>68</v>
      </c>
      <c r="V436" s="28" t="n">
        <f>37917636000</f>
        <v>3.7917636E10</v>
      </c>
      <c r="W436" s="5" t="s">
        <v>58</v>
      </c>
      <c r="X436" s="28" t="n">
        <f>1551753000</f>
        <v>1.551753E9</v>
      </c>
      <c r="Y436" s="28" t="n">
        <f>760463</f>
        <v>760463.0</v>
      </c>
      <c r="Z436" s="26" t="n">
        <f>1900610</f>
        <v>1900610.0</v>
      </c>
      <c r="AA436" s="26" t="n">
        <f>932060</f>
        <v>932060.0</v>
      </c>
      <c r="AB436" s="4" t="s">
        <v>462</v>
      </c>
      <c r="AC436" s="27" t="n">
        <f>1272179</f>
        <v>1272179.0</v>
      </c>
      <c r="AD436" s="5" t="s">
        <v>243</v>
      </c>
      <c r="AE436" s="28" t="n">
        <f>680939</f>
        <v>680939.0</v>
      </c>
    </row>
    <row r="437">
      <c r="A437" s="20" t="s">
        <v>1122</v>
      </c>
      <c r="B437" s="21" t="s">
        <v>1123</v>
      </c>
      <c r="C437" s="22" t="s">
        <v>1132</v>
      </c>
      <c r="D437" s="23" t="s">
        <v>1133</v>
      </c>
      <c r="E437" s="24" t="s">
        <v>56</v>
      </c>
      <c r="F437" s="25" t="n">
        <f>245</f>
        <v>245.0</v>
      </c>
      <c r="G437" s="26" t="n">
        <f>38407629</f>
        <v>3.8407629E7</v>
      </c>
      <c r="H437" s="26"/>
      <c r="I437" s="26" t="n">
        <f>12110291</f>
        <v>1.2110291E7</v>
      </c>
      <c r="J437" s="26" t="n">
        <f>156766</f>
        <v>156766.0</v>
      </c>
      <c r="K437" s="26" t="n">
        <f>49430</f>
        <v>49430.0</v>
      </c>
      <c r="L437" s="4" t="s">
        <v>57</v>
      </c>
      <c r="M437" s="27" t="n">
        <f>547151</f>
        <v>547151.0</v>
      </c>
      <c r="N437" s="5" t="s">
        <v>82</v>
      </c>
      <c r="O437" s="28" t="n">
        <f>58611</f>
        <v>58611.0</v>
      </c>
      <c r="P437" s="3" t="s">
        <v>1140</v>
      </c>
      <c r="Q437" s="26"/>
      <c r="R437" s="3" t="s">
        <v>1141</v>
      </c>
      <c r="S437" s="26" t="n">
        <f>30690090192</f>
        <v>3.0690090192E10</v>
      </c>
      <c r="T437" s="26" t="n">
        <f>20555210253</f>
        <v>2.0555210253E10</v>
      </c>
      <c r="U437" s="5" t="s">
        <v>57</v>
      </c>
      <c r="V437" s="28" t="n">
        <f>153902168000</f>
        <v>1.53902168E11</v>
      </c>
      <c r="W437" s="5" t="s">
        <v>82</v>
      </c>
      <c r="X437" s="28" t="n">
        <f>6366780000</f>
        <v>6.36678E9</v>
      </c>
      <c r="Y437" s="28" t="n">
        <f>1433760</f>
        <v>1433760.0</v>
      </c>
      <c r="Z437" s="26" t="n">
        <f>3550373</f>
        <v>3550373.0</v>
      </c>
      <c r="AA437" s="26" t="n">
        <f>2011191</f>
        <v>2011191.0</v>
      </c>
      <c r="AB437" s="4" t="s">
        <v>462</v>
      </c>
      <c r="AC437" s="27" t="n">
        <f>2808545</f>
        <v>2808545.0</v>
      </c>
      <c r="AD437" s="5" t="s">
        <v>243</v>
      </c>
      <c r="AE437" s="28" t="n">
        <f>1509995</f>
        <v>1509995.0</v>
      </c>
    </row>
    <row r="438">
      <c r="A438" s="20" t="s">
        <v>1122</v>
      </c>
      <c r="B438" s="21" t="s">
        <v>1123</v>
      </c>
      <c r="C438" s="22" t="s">
        <v>1124</v>
      </c>
      <c r="D438" s="23" t="s">
        <v>1125</v>
      </c>
      <c r="E438" s="24" t="s">
        <v>63</v>
      </c>
      <c r="F438" s="25" t="n">
        <f>245</f>
        <v>245.0</v>
      </c>
      <c r="G438" s="26" t="n">
        <f>16414824</f>
        <v>1.6414824E7</v>
      </c>
      <c r="H438" s="26"/>
      <c r="I438" s="26" t="n">
        <f>5380642</f>
        <v>5380642.0</v>
      </c>
      <c r="J438" s="26" t="n">
        <f>66999</f>
        <v>66999.0</v>
      </c>
      <c r="K438" s="26" t="n">
        <f>21962</f>
        <v>21962.0</v>
      </c>
      <c r="L438" s="4" t="s">
        <v>116</v>
      </c>
      <c r="M438" s="27" t="n">
        <f>272183</f>
        <v>272183.0</v>
      </c>
      <c r="N438" s="5" t="s">
        <v>140</v>
      </c>
      <c r="O438" s="28" t="n">
        <f>24855</f>
        <v>24855.0</v>
      </c>
      <c r="P438" s="3" t="s">
        <v>1142</v>
      </c>
      <c r="Q438" s="26"/>
      <c r="R438" s="3" t="s">
        <v>1143</v>
      </c>
      <c r="S438" s="26" t="n">
        <f>12611527440</f>
        <v>1.261152744E10</v>
      </c>
      <c r="T438" s="26" t="n">
        <f>9265598432</f>
        <v>9.265598432E9</v>
      </c>
      <c r="U438" s="5" t="s">
        <v>402</v>
      </c>
      <c r="V438" s="28" t="n">
        <f>49988804300</f>
        <v>4.99888043E10</v>
      </c>
      <c r="W438" s="5" t="s">
        <v>50</v>
      </c>
      <c r="X438" s="28" t="n">
        <f>2733599265</f>
        <v>2.733599265E9</v>
      </c>
      <c r="Y438" s="28" t="n">
        <f>274282</f>
        <v>274282.0</v>
      </c>
      <c r="Z438" s="26" t="n">
        <f>1470205</f>
        <v>1470205.0</v>
      </c>
      <c r="AA438" s="26" t="n">
        <f>1132771</f>
        <v>1132771.0</v>
      </c>
      <c r="AB438" s="4" t="s">
        <v>231</v>
      </c>
      <c r="AC438" s="27" t="n">
        <f>1462947</f>
        <v>1462947.0</v>
      </c>
      <c r="AD438" s="5" t="s">
        <v>162</v>
      </c>
      <c r="AE438" s="28" t="n">
        <f>860944</f>
        <v>860944.0</v>
      </c>
    </row>
    <row r="439">
      <c r="A439" s="20" t="s">
        <v>1122</v>
      </c>
      <c r="B439" s="21" t="s">
        <v>1123</v>
      </c>
      <c r="C439" s="22" t="s">
        <v>1128</v>
      </c>
      <c r="D439" s="23" t="s">
        <v>1129</v>
      </c>
      <c r="E439" s="24" t="s">
        <v>63</v>
      </c>
      <c r="F439" s="25" t="n">
        <f>245</f>
        <v>245.0</v>
      </c>
      <c r="G439" s="26" t="n">
        <f>14623156</f>
        <v>1.4623156E7</v>
      </c>
      <c r="H439" s="26"/>
      <c r="I439" s="26" t="n">
        <f>5309024</f>
        <v>5309024.0</v>
      </c>
      <c r="J439" s="26" t="n">
        <f>59686</f>
        <v>59686.0</v>
      </c>
      <c r="K439" s="26" t="n">
        <f>21669</f>
        <v>21669.0</v>
      </c>
      <c r="L439" s="4" t="s">
        <v>402</v>
      </c>
      <c r="M439" s="27" t="n">
        <f>196783</f>
        <v>196783.0</v>
      </c>
      <c r="N439" s="5" t="s">
        <v>58</v>
      </c>
      <c r="O439" s="28" t="n">
        <f>23456</f>
        <v>23456.0</v>
      </c>
      <c r="P439" s="3" t="s">
        <v>1144</v>
      </c>
      <c r="Q439" s="26"/>
      <c r="R439" s="3" t="s">
        <v>1145</v>
      </c>
      <c r="S439" s="26" t="n">
        <f>12211728424</f>
        <v>1.2211728424E10</v>
      </c>
      <c r="T439" s="26" t="n">
        <f>9255320546</f>
        <v>9.255320546E9</v>
      </c>
      <c r="U439" s="5" t="s">
        <v>402</v>
      </c>
      <c r="V439" s="28" t="n">
        <f>122837992940</f>
        <v>1.2283799294E11</v>
      </c>
      <c r="W439" s="5" t="s">
        <v>1146</v>
      </c>
      <c r="X439" s="28" t="n">
        <f>2793438850</f>
        <v>2.79343885E9</v>
      </c>
      <c r="Y439" s="28" t="n">
        <f>765961</f>
        <v>765961.0</v>
      </c>
      <c r="Z439" s="26" t="n">
        <f>1728564</f>
        <v>1728564.0</v>
      </c>
      <c r="AA439" s="26" t="n">
        <f>866010</f>
        <v>866010.0</v>
      </c>
      <c r="AB439" s="4" t="s">
        <v>231</v>
      </c>
      <c r="AC439" s="27" t="n">
        <f>1211870</f>
        <v>1211870.0</v>
      </c>
      <c r="AD439" s="5" t="s">
        <v>119</v>
      </c>
      <c r="AE439" s="28" t="n">
        <f>747535</f>
        <v>747535.0</v>
      </c>
    </row>
    <row r="440">
      <c r="A440" s="20" t="s">
        <v>1122</v>
      </c>
      <c r="B440" s="21" t="s">
        <v>1123</v>
      </c>
      <c r="C440" s="22" t="s">
        <v>1132</v>
      </c>
      <c r="D440" s="23" t="s">
        <v>1133</v>
      </c>
      <c r="E440" s="24" t="s">
        <v>63</v>
      </c>
      <c r="F440" s="25" t="n">
        <f>245</f>
        <v>245.0</v>
      </c>
      <c r="G440" s="26" t="n">
        <f>31037980</f>
        <v>3.103798E7</v>
      </c>
      <c r="H440" s="26"/>
      <c r="I440" s="26" t="n">
        <f>10689666</f>
        <v>1.0689666E7</v>
      </c>
      <c r="J440" s="26" t="n">
        <f>126686</f>
        <v>126686.0</v>
      </c>
      <c r="K440" s="26" t="n">
        <f>43631</f>
        <v>43631.0</v>
      </c>
      <c r="L440" s="4" t="s">
        <v>116</v>
      </c>
      <c r="M440" s="27" t="n">
        <f>450584</f>
        <v>450584.0</v>
      </c>
      <c r="N440" s="5" t="s">
        <v>115</v>
      </c>
      <c r="O440" s="28" t="n">
        <f>52554</f>
        <v>52554.0</v>
      </c>
      <c r="P440" s="3" t="s">
        <v>1147</v>
      </c>
      <c r="Q440" s="26"/>
      <c r="R440" s="3" t="s">
        <v>1148</v>
      </c>
      <c r="S440" s="26" t="n">
        <f>24823255864</f>
        <v>2.4823255864E10</v>
      </c>
      <c r="T440" s="26" t="n">
        <f>18520918978</f>
        <v>1.8520918978E10</v>
      </c>
      <c r="U440" s="5" t="s">
        <v>402</v>
      </c>
      <c r="V440" s="28" t="n">
        <f>172826797240</f>
        <v>1.7282679724E11</v>
      </c>
      <c r="W440" s="5" t="s">
        <v>327</v>
      </c>
      <c r="X440" s="28" t="n">
        <f>6588761930</f>
        <v>6.58876193E9</v>
      </c>
      <c r="Y440" s="28" t="n">
        <f>1040243</f>
        <v>1040243.0</v>
      </c>
      <c r="Z440" s="26" t="n">
        <f>3198769</f>
        <v>3198769.0</v>
      </c>
      <c r="AA440" s="26" t="n">
        <f>1998781</f>
        <v>1998781.0</v>
      </c>
      <c r="AB440" s="4" t="s">
        <v>231</v>
      </c>
      <c r="AC440" s="27" t="n">
        <f>2674817</f>
        <v>2674817.0</v>
      </c>
      <c r="AD440" s="5" t="s">
        <v>162</v>
      </c>
      <c r="AE440" s="28" t="n">
        <f>1623512</f>
        <v>1623512.0</v>
      </c>
    </row>
    <row r="441">
      <c r="A441" s="20" t="s">
        <v>1122</v>
      </c>
      <c r="B441" s="21" t="s">
        <v>1123</v>
      </c>
      <c r="C441" s="22" t="s">
        <v>1124</v>
      </c>
      <c r="D441" s="23" t="s">
        <v>1125</v>
      </c>
      <c r="E441" s="24" t="s">
        <v>70</v>
      </c>
      <c r="F441" s="25" t="n">
        <f>245</f>
        <v>245.0</v>
      </c>
      <c r="G441" s="26" t="n">
        <f>20757264</f>
        <v>2.0757264E7</v>
      </c>
      <c r="H441" s="26"/>
      <c r="I441" s="26" t="n">
        <f>7242816</f>
        <v>7242816.0</v>
      </c>
      <c r="J441" s="26" t="n">
        <f>84724</f>
        <v>84724.0</v>
      </c>
      <c r="K441" s="26" t="n">
        <f>29563</f>
        <v>29563.0</v>
      </c>
      <c r="L441" s="4" t="s">
        <v>330</v>
      </c>
      <c r="M441" s="27" t="n">
        <f>394239</f>
        <v>394239.0</v>
      </c>
      <c r="N441" s="5" t="s">
        <v>50</v>
      </c>
      <c r="O441" s="28" t="n">
        <f>24651</f>
        <v>24651.0</v>
      </c>
      <c r="P441" s="3" t="s">
        <v>1149</v>
      </c>
      <c r="Q441" s="26"/>
      <c r="R441" s="3" t="s">
        <v>1150</v>
      </c>
      <c r="S441" s="26" t="n">
        <f>14775620021</f>
        <v>1.4775620021E10</v>
      </c>
      <c r="T441" s="26" t="n">
        <f>11137879842</f>
        <v>1.1137879842E10</v>
      </c>
      <c r="U441" s="5" t="s">
        <v>330</v>
      </c>
      <c r="V441" s="28" t="n">
        <f>99542506066</f>
        <v>9.9542506066E10</v>
      </c>
      <c r="W441" s="5" t="s">
        <v>50</v>
      </c>
      <c r="X441" s="28" t="n">
        <f>2998478430</f>
        <v>2.99847843E9</v>
      </c>
      <c r="Y441" s="28" t="n">
        <f>316464</f>
        <v>316464.0</v>
      </c>
      <c r="Z441" s="26" t="n">
        <f>2199060</f>
        <v>2199060.0</v>
      </c>
      <c r="AA441" s="26" t="n">
        <f>1362053</f>
        <v>1362053.0</v>
      </c>
      <c r="AB441" s="4" t="s">
        <v>238</v>
      </c>
      <c r="AC441" s="27" t="n">
        <f>1762140</f>
        <v>1762140.0</v>
      </c>
      <c r="AD441" s="5" t="s">
        <v>234</v>
      </c>
      <c r="AE441" s="28" t="n">
        <f>1016205</f>
        <v>1016205.0</v>
      </c>
    </row>
    <row r="442">
      <c r="A442" s="20" t="s">
        <v>1122</v>
      </c>
      <c r="B442" s="21" t="s">
        <v>1123</v>
      </c>
      <c r="C442" s="22" t="s">
        <v>1128</v>
      </c>
      <c r="D442" s="23" t="s">
        <v>1129</v>
      </c>
      <c r="E442" s="24" t="s">
        <v>70</v>
      </c>
      <c r="F442" s="25" t="n">
        <f>245</f>
        <v>245.0</v>
      </c>
      <c r="G442" s="26" t="n">
        <f>15284406</f>
        <v>1.5284406E7</v>
      </c>
      <c r="H442" s="26"/>
      <c r="I442" s="26" t="n">
        <f>5093097</f>
        <v>5093097.0</v>
      </c>
      <c r="J442" s="26" t="n">
        <f>62385</f>
        <v>62385.0</v>
      </c>
      <c r="K442" s="26" t="n">
        <f>20788</f>
        <v>20788.0</v>
      </c>
      <c r="L442" s="4" t="s">
        <v>116</v>
      </c>
      <c r="M442" s="27" t="n">
        <f>203055</f>
        <v>203055.0</v>
      </c>
      <c r="N442" s="5" t="s">
        <v>50</v>
      </c>
      <c r="O442" s="28" t="n">
        <f>15551</f>
        <v>15551.0</v>
      </c>
      <c r="P442" s="3" t="s">
        <v>1151</v>
      </c>
      <c r="Q442" s="26"/>
      <c r="R442" s="3" t="s">
        <v>1152</v>
      </c>
      <c r="S442" s="26" t="n">
        <f>12237408192</f>
        <v>1.2237408192E10</v>
      </c>
      <c r="T442" s="26" t="n">
        <f>9218053037</f>
        <v>9.218053037E9</v>
      </c>
      <c r="U442" s="5" t="s">
        <v>834</v>
      </c>
      <c r="V442" s="28" t="n">
        <f>88313638190</f>
        <v>8.831363819E10</v>
      </c>
      <c r="W442" s="5" t="s">
        <v>940</v>
      </c>
      <c r="X442" s="28" t="n">
        <f>1557150645</f>
        <v>1.557150645E9</v>
      </c>
      <c r="Y442" s="28" t="n">
        <f>948653</f>
        <v>948653.0</v>
      </c>
      <c r="Z442" s="26" t="n">
        <f>1980306</f>
        <v>1980306.0</v>
      </c>
      <c r="AA442" s="26" t="n">
        <f>881784</f>
        <v>881784.0</v>
      </c>
      <c r="AB442" s="4" t="s">
        <v>238</v>
      </c>
      <c r="AC442" s="27" t="n">
        <f>1229878</f>
        <v>1229878.0</v>
      </c>
      <c r="AD442" s="5" t="s">
        <v>231</v>
      </c>
      <c r="AE442" s="28" t="n">
        <f>733024</f>
        <v>733024.0</v>
      </c>
    </row>
    <row r="443">
      <c r="A443" s="20" t="s">
        <v>1122</v>
      </c>
      <c r="B443" s="21" t="s">
        <v>1123</v>
      </c>
      <c r="C443" s="22" t="s">
        <v>1132</v>
      </c>
      <c r="D443" s="23" t="s">
        <v>1133</v>
      </c>
      <c r="E443" s="24" t="s">
        <v>70</v>
      </c>
      <c r="F443" s="25" t="n">
        <f>245</f>
        <v>245.0</v>
      </c>
      <c r="G443" s="26" t="n">
        <f>36041670</f>
        <v>3.604167E7</v>
      </c>
      <c r="H443" s="26"/>
      <c r="I443" s="26" t="n">
        <f>12335913</f>
        <v>1.2335913E7</v>
      </c>
      <c r="J443" s="26" t="n">
        <f>147109</f>
        <v>147109.0</v>
      </c>
      <c r="K443" s="26" t="n">
        <f>50351</f>
        <v>50351.0</v>
      </c>
      <c r="L443" s="4" t="s">
        <v>330</v>
      </c>
      <c r="M443" s="27" t="n">
        <f>583096</f>
        <v>583096.0</v>
      </c>
      <c r="N443" s="5" t="s">
        <v>50</v>
      </c>
      <c r="O443" s="28" t="n">
        <f>40202</f>
        <v>40202.0</v>
      </c>
      <c r="P443" s="3" t="s">
        <v>1153</v>
      </c>
      <c r="Q443" s="26"/>
      <c r="R443" s="3" t="s">
        <v>1154</v>
      </c>
      <c r="S443" s="26" t="n">
        <f>27013028213</f>
        <v>2.7013028213E10</v>
      </c>
      <c r="T443" s="26" t="n">
        <f>20355932878</f>
        <v>2.0355932878E10</v>
      </c>
      <c r="U443" s="5" t="s">
        <v>330</v>
      </c>
      <c r="V443" s="28" t="n">
        <f>133841193316</f>
        <v>1.33841193316E11</v>
      </c>
      <c r="W443" s="5" t="s">
        <v>82</v>
      </c>
      <c r="X443" s="28" t="n">
        <f>5966774000</f>
        <v>5.966774E9</v>
      </c>
      <c r="Y443" s="28" t="n">
        <f>1265117</f>
        <v>1265117.0</v>
      </c>
      <c r="Z443" s="26" t="n">
        <f>4179366</f>
        <v>4179366.0</v>
      </c>
      <c r="AA443" s="26" t="n">
        <f>2243837</f>
        <v>2243837.0</v>
      </c>
      <c r="AB443" s="4" t="s">
        <v>238</v>
      </c>
      <c r="AC443" s="27" t="n">
        <f>2992018</f>
        <v>2992018.0</v>
      </c>
      <c r="AD443" s="5" t="s">
        <v>231</v>
      </c>
      <c r="AE443" s="28" t="n">
        <f>1793920</f>
        <v>1793920.0</v>
      </c>
    </row>
    <row r="444">
      <c r="A444" s="20" t="s">
        <v>1122</v>
      </c>
      <c r="B444" s="21" t="s">
        <v>1123</v>
      </c>
      <c r="C444" s="22" t="s">
        <v>1124</v>
      </c>
      <c r="D444" s="23" t="s">
        <v>1125</v>
      </c>
      <c r="E444" s="24" t="s">
        <v>76</v>
      </c>
      <c r="F444" s="25" t="n">
        <f>244</f>
        <v>244.0</v>
      </c>
      <c r="G444" s="26" t="n">
        <f>19637729</f>
        <v>1.9637729E7</v>
      </c>
      <c r="H444" s="26"/>
      <c r="I444" s="26" t="n">
        <f>7619111</f>
        <v>7619111.0</v>
      </c>
      <c r="J444" s="26" t="n">
        <f>80482</f>
        <v>80482.0</v>
      </c>
      <c r="K444" s="26" t="n">
        <f>31226</f>
        <v>31226.0</v>
      </c>
      <c r="L444" s="4" t="s">
        <v>123</v>
      </c>
      <c r="M444" s="27" t="n">
        <f>240849</f>
        <v>240849.0</v>
      </c>
      <c r="N444" s="5" t="s">
        <v>206</v>
      </c>
      <c r="O444" s="28" t="n">
        <f>31760</f>
        <v>31760.0</v>
      </c>
      <c r="P444" s="3" t="s">
        <v>1155</v>
      </c>
      <c r="Q444" s="26"/>
      <c r="R444" s="3" t="s">
        <v>1156</v>
      </c>
      <c r="S444" s="26" t="n">
        <f>14306458769</f>
        <v>1.4306458769E10</v>
      </c>
      <c r="T444" s="26" t="n">
        <f>10449335259</f>
        <v>1.0449335259E10</v>
      </c>
      <c r="U444" s="5" t="s">
        <v>511</v>
      </c>
      <c r="V444" s="28" t="n">
        <f>51496085560</f>
        <v>5.149608556E10</v>
      </c>
      <c r="W444" s="5" t="s">
        <v>1157</v>
      </c>
      <c r="X444" s="28" t="n">
        <f>2962449277</f>
        <v>2.962449277E9</v>
      </c>
      <c r="Y444" s="28" t="n">
        <f>327788</f>
        <v>327788.0</v>
      </c>
      <c r="Z444" s="26" t="n">
        <f>2715410</f>
        <v>2715410.0</v>
      </c>
      <c r="AA444" s="26" t="n">
        <f>1218258</f>
        <v>1218258.0</v>
      </c>
      <c r="AB444" s="4" t="s">
        <v>97</v>
      </c>
      <c r="AC444" s="27" t="n">
        <f>1521743</f>
        <v>1521743.0</v>
      </c>
      <c r="AD444" s="5" t="s">
        <v>136</v>
      </c>
      <c r="AE444" s="28" t="n">
        <f>1045909</f>
        <v>1045909.0</v>
      </c>
    </row>
    <row r="445">
      <c r="A445" s="20" t="s">
        <v>1122</v>
      </c>
      <c r="B445" s="21" t="s">
        <v>1123</v>
      </c>
      <c r="C445" s="22" t="s">
        <v>1128</v>
      </c>
      <c r="D445" s="23" t="s">
        <v>1129</v>
      </c>
      <c r="E445" s="24" t="s">
        <v>76</v>
      </c>
      <c r="F445" s="25" t="n">
        <f>244</f>
        <v>244.0</v>
      </c>
      <c r="G445" s="26" t="n">
        <f>12767840</f>
        <v>1.276784E7</v>
      </c>
      <c r="H445" s="26"/>
      <c r="I445" s="26" t="n">
        <f>3746092</f>
        <v>3746092.0</v>
      </c>
      <c r="J445" s="26" t="n">
        <f>52327</f>
        <v>52327.0</v>
      </c>
      <c r="K445" s="26" t="n">
        <f>15353</f>
        <v>15353.0</v>
      </c>
      <c r="L445" s="4" t="s">
        <v>123</v>
      </c>
      <c r="M445" s="27" t="n">
        <f>136408</f>
        <v>136408.0</v>
      </c>
      <c r="N445" s="5" t="s">
        <v>141</v>
      </c>
      <c r="O445" s="28" t="n">
        <f>21711</f>
        <v>21711.0</v>
      </c>
      <c r="P445" s="3" t="s">
        <v>1158</v>
      </c>
      <c r="Q445" s="26"/>
      <c r="R445" s="3" t="s">
        <v>1159</v>
      </c>
      <c r="S445" s="26" t="n">
        <f>8731631849</f>
        <v>8.731631849E9</v>
      </c>
      <c r="T445" s="26" t="n">
        <f>5849638638</f>
        <v>5.849638638E9</v>
      </c>
      <c r="U445" s="5" t="s">
        <v>82</v>
      </c>
      <c r="V445" s="28" t="n">
        <f>23424331000</f>
        <v>2.3424331E10</v>
      </c>
      <c r="W445" s="5" t="s">
        <v>772</v>
      </c>
      <c r="X445" s="28" t="n">
        <f>1918969000</f>
        <v>1.918969E9</v>
      </c>
      <c r="Y445" s="28" t="n">
        <f>526590</f>
        <v>526590.0</v>
      </c>
      <c r="Z445" s="26" t="n">
        <f>1634737</f>
        <v>1634737.0</v>
      </c>
      <c r="AA445" s="26" t="n">
        <f>700687</f>
        <v>700687.0</v>
      </c>
      <c r="AB445" s="4" t="s">
        <v>222</v>
      </c>
      <c r="AC445" s="27" t="n">
        <f>933086</f>
        <v>933086.0</v>
      </c>
      <c r="AD445" s="5" t="s">
        <v>136</v>
      </c>
      <c r="AE445" s="28" t="n">
        <f>563391</f>
        <v>563391.0</v>
      </c>
    </row>
    <row r="446">
      <c r="A446" s="20" t="s">
        <v>1122</v>
      </c>
      <c r="B446" s="21" t="s">
        <v>1123</v>
      </c>
      <c r="C446" s="22" t="s">
        <v>1132</v>
      </c>
      <c r="D446" s="23" t="s">
        <v>1133</v>
      </c>
      <c r="E446" s="24" t="s">
        <v>76</v>
      </c>
      <c r="F446" s="25" t="n">
        <f>244</f>
        <v>244.0</v>
      </c>
      <c r="G446" s="26" t="n">
        <f>32405569</f>
        <v>3.2405569E7</v>
      </c>
      <c r="H446" s="26"/>
      <c r="I446" s="26" t="n">
        <f>11365203</f>
        <v>1.1365203E7</v>
      </c>
      <c r="J446" s="26" t="n">
        <f>132810</f>
        <v>132810.0</v>
      </c>
      <c r="K446" s="26" t="n">
        <f>46579</f>
        <v>46579.0</v>
      </c>
      <c r="L446" s="4" t="s">
        <v>123</v>
      </c>
      <c r="M446" s="27" t="n">
        <f>377257</f>
        <v>377257.0</v>
      </c>
      <c r="N446" s="5" t="s">
        <v>206</v>
      </c>
      <c r="O446" s="28" t="n">
        <f>61961</f>
        <v>61961.0</v>
      </c>
      <c r="P446" s="3" t="s">
        <v>1160</v>
      </c>
      <c r="Q446" s="26"/>
      <c r="R446" s="3" t="s">
        <v>1161</v>
      </c>
      <c r="S446" s="26" t="n">
        <f>23038090618</f>
        <v>2.3038090618E10</v>
      </c>
      <c r="T446" s="26" t="n">
        <f>16298973897</f>
        <v>1.6298973897E10</v>
      </c>
      <c r="U446" s="5" t="s">
        <v>82</v>
      </c>
      <c r="V446" s="28" t="n">
        <f>74838588450</f>
        <v>7.483858845E10</v>
      </c>
      <c r="W446" s="5" t="s">
        <v>1157</v>
      </c>
      <c r="X446" s="28" t="n">
        <f>5622476126</f>
        <v>5.622476126E9</v>
      </c>
      <c r="Y446" s="28" t="n">
        <f>854378</f>
        <v>854378.0</v>
      </c>
      <c r="Z446" s="26" t="n">
        <f>4350147</f>
        <v>4350147.0</v>
      </c>
      <c r="AA446" s="26" t="n">
        <f>1918945</f>
        <v>1918945.0</v>
      </c>
      <c r="AB446" s="4" t="s">
        <v>54</v>
      </c>
      <c r="AC446" s="27" t="n">
        <f>2437843</f>
        <v>2437843.0</v>
      </c>
      <c r="AD446" s="5" t="s">
        <v>136</v>
      </c>
      <c r="AE446" s="28" t="n">
        <f>1609300</f>
        <v>1609300.0</v>
      </c>
    </row>
    <row r="447">
      <c r="A447" s="20" t="s">
        <v>1122</v>
      </c>
      <c r="B447" s="21" t="s">
        <v>1123</v>
      </c>
      <c r="C447" s="22" t="s">
        <v>1124</v>
      </c>
      <c r="D447" s="23" t="s">
        <v>1125</v>
      </c>
      <c r="E447" s="24" t="s">
        <v>81</v>
      </c>
      <c r="F447" s="25" t="n">
        <f>241</f>
        <v>241.0</v>
      </c>
      <c r="G447" s="26" t="n">
        <f>19711710</f>
        <v>1.971171E7</v>
      </c>
      <c r="H447" s="26"/>
      <c r="I447" s="26" t="n">
        <f>6809510</f>
        <v>6809510.0</v>
      </c>
      <c r="J447" s="26" t="n">
        <f>81791</f>
        <v>81791.0</v>
      </c>
      <c r="K447" s="26" t="n">
        <f>28255</f>
        <v>28255.0</v>
      </c>
      <c r="L447" s="4" t="s">
        <v>128</v>
      </c>
      <c r="M447" s="27" t="n">
        <f>267443</f>
        <v>267443.0</v>
      </c>
      <c r="N447" s="5" t="s">
        <v>289</v>
      </c>
      <c r="O447" s="28" t="n">
        <f>26864</f>
        <v>26864.0</v>
      </c>
      <c r="P447" s="3" t="s">
        <v>1162</v>
      </c>
      <c r="Q447" s="26"/>
      <c r="R447" s="3" t="s">
        <v>1163</v>
      </c>
      <c r="S447" s="26" t="n">
        <f>17896096671</f>
        <v>1.7896096671E10</v>
      </c>
      <c r="T447" s="26" t="n">
        <f>12436900488</f>
        <v>1.2436900488E10</v>
      </c>
      <c r="U447" s="5" t="s">
        <v>53</v>
      </c>
      <c r="V447" s="28" t="n">
        <f>112028471000</f>
        <v>1.12028471E11</v>
      </c>
      <c r="W447" s="5" t="s">
        <v>82</v>
      </c>
      <c r="X447" s="28" t="n">
        <f>1944993000</f>
        <v>1.944993E9</v>
      </c>
      <c r="Y447" s="28" t="n">
        <f>339911</f>
        <v>339911.0</v>
      </c>
      <c r="Z447" s="26" t="n">
        <f>3252795</f>
        <v>3252795.0</v>
      </c>
      <c r="AA447" s="26" t="n">
        <f>1289555</f>
        <v>1289555.0</v>
      </c>
      <c r="AB447" s="4" t="s">
        <v>239</v>
      </c>
      <c r="AC447" s="27" t="n">
        <f>1455021</f>
        <v>1455021.0</v>
      </c>
      <c r="AD447" s="5" t="s">
        <v>97</v>
      </c>
      <c r="AE447" s="28" t="n">
        <f>903874</f>
        <v>903874.0</v>
      </c>
    </row>
    <row r="448">
      <c r="A448" s="20" t="s">
        <v>1122</v>
      </c>
      <c r="B448" s="21" t="s">
        <v>1123</v>
      </c>
      <c r="C448" s="22" t="s">
        <v>1128</v>
      </c>
      <c r="D448" s="23" t="s">
        <v>1129</v>
      </c>
      <c r="E448" s="24" t="s">
        <v>81</v>
      </c>
      <c r="F448" s="25" t="n">
        <f>241</f>
        <v>241.0</v>
      </c>
      <c r="G448" s="26" t="n">
        <f>12657286</f>
        <v>1.2657286E7</v>
      </c>
      <c r="H448" s="26"/>
      <c r="I448" s="26" t="n">
        <f>3634680</f>
        <v>3634680.0</v>
      </c>
      <c r="J448" s="26" t="n">
        <f>52520</f>
        <v>52520.0</v>
      </c>
      <c r="K448" s="26" t="n">
        <f>15082</f>
        <v>15082.0</v>
      </c>
      <c r="L448" s="4" t="s">
        <v>330</v>
      </c>
      <c r="M448" s="27" t="n">
        <f>125108</f>
        <v>125108.0</v>
      </c>
      <c r="N448" s="5" t="s">
        <v>82</v>
      </c>
      <c r="O448" s="28" t="n">
        <f>17906</f>
        <v>17906.0</v>
      </c>
      <c r="P448" s="3" t="s">
        <v>1164</v>
      </c>
      <c r="Q448" s="26"/>
      <c r="R448" s="3" t="s">
        <v>1165</v>
      </c>
      <c r="S448" s="26" t="n">
        <f>8953852040</f>
        <v>8.95385204E9</v>
      </c>
      <c r="T448" s="26" t="n">
        <f>5653251356</f>
        <v>5.653251356E9</v>
      </c>
      <c r="U448" s="5" t="s">
        <v>99</v>
      </c>
      <c r="V448" s="28" t="n">
        <f>46634806000</f>
        <v>4.6634806E10</v>
      </c>
      <c r="W448" s="5" t="s">
        <v>82</v>
      </c>
      <c r="X448" s="28" t="n">
        <f>1344671000</f>
        <v>1.344671E9</v>
      </c>
      <c r="Y448" s="28" t="n">
        <f>538335</f>
        <v>538335.0</v>
      </c>
      <c r="Z448" s="26" t="n">
        <f>2243348</f>
        <v>2243348.0</v>
      </c>
      <c r="AA448" s="26" t="n">
        <f>732097</f>
        <v>732097.0</v>
      </c>
      <c r="AB448" s="4" t="s">
        <v>239</v>
      </c>
      <c r="AC448" s="27" t="n">
        <f>829406</f>
        <v>829406.0</v>
      </c>
      <c r="AD448" s="5" t="s">
        <v>97</v>
      </c>
      <c r="AE448" s="28" t="n">
        <f>466127</f>
        <v>466127.0</v>
      </c>
    </row>
    <row r="449">
      <c r="A449" s="20" t="s">
        <v>1122</v>
      </c>
      <c r="B449" s="21" t="s">
        <v>1123</v>
      </c>
      <c r="C449" s="22" t="s">
        <v>1132</v>
      </c>
      <c r="D449" s="23" t="s">
        <v>1133</v>
      </c>
      <c r="E449" s="24" t="s">
        <v>81</v>
      </c>
      <c r="F449" s="25" t="n">
        <f>241</f>
        <v>241.0</v>
      </c>
      <c r="G449" s="26" t="n">
        <f>32368996</f>
        <v>3.2368996E7</v>
      </c>
      <c r="H449" s="26"/>
      <c r="I449" s="26" t="n">
        <f>10444190</f>
        <v>1.044419E7</v>
      </c>
      <c r="J449" s="26" t="n">
        <f>134311</f>
        <v>134311.0</v>
      </c>
      <c r="K449" s="26" t="n">
        <f>43337</f>
        <v>43337.0</v>
      </c>
      <c r="L449" s="4" t="s">
        <v>128</v>
      </c>
      <c r="M449" s="27" t="n">
        <f>390046</f>
        <v>390046.0</v>
      </c>
      <c r="N449" s="5" t="s">
        <v>289</v>
      </c>
      <c r="O449" s="28" t="n">
        <f>47201</f>
        <v>47201.0</v>
      </c>
      <c r="P449" s="3" t="s">
        <v>1166</v>
      </c>
      <c r="Q449" s="26"/>
      <c r="R449" s="3" t="s">
        <v>1167</v>
      </c>
      <c r="S449" s="26" t="n">
        <f>26849948711</f>
        <v>2.6849948711E10</v>
      </c>
      <c r="T449" s="26" t="n">
        <f>18090151844</f>
        <v>1.8090151844E10</v>
      </c>
      <c r="U449" s="5" t="s">
        <v>53</v>
      </c>
      <c r="V449" s="28" t="n">
        <f>146449584000</f>
        <v>1.46449584E11</v>
      </c>
      <c r="W449" s="5" t="s">
        <v>82</v>
      </c>
      <c r="X449" s="28" t="n">
        <f>3289664000</f>
        <v>3.289664E9</v>
      </c>
      <c r="Y449" s="28" t="n">
        <f>878246</f>
        <v>878246.0</v>
      </c>
      <c r="Z449" s="26" t="n">
        <f>5496143</f>
        <v>5496143.0</v>
      </c>
      <c r="AA449" s="26" t="n">
        <f>2021652</f>
        <v>2021652.0</v>
      </c>
      <c r="AB449" s="4" t="s">
        <v>239</v>
      </c>
      <c r="AC449" s="27" t="n">
        <f>2284427</f>
        <v>2284427.0</v>
      </c>
      <c r="AD449" s="5" t="s">
        <v>97</v>
      </c>
      <c r="AE449" s="28" t="n">
        <f>1370001</f>
        <v>1370001.0</v>
      </c>
    </row>
    <row r="450">
      <c r="A450" s="20" t="s">
        <v>1122</v>
      </c>
      <c r="B450" s="21" t="s">
        <v>1123</v>
      </c>
      <c r="C450" s="22" t="s">
        <v>1124</v>
      </c>
      <c r="D450" s="23" t="s">
        <v>1125</v>
      </c>
      <c r="E450" s="24" t="s">
        <v>87</v>
      </c>
      <c r="F450" s="25" t="n">
        <f>245</f>
        <v>245.0</v>
      </c>
      <c r="G450" s="26" t="n">
        <f>15310965</f>
        <v>1.5310965E7</v>
      </c>
      <c r="H450" s="26"/>
      <c r="I450" s="26" t="n">
        <f>6217974</f>
        <v>6217974.0</v>
      </c>
      <c r="J450" s="26" t="n">
        <f>62494</f>
        <v>62494.0</v>
      </c>
      <c r="K450" s="26" t="n">
        <f>25379</f>
        <v>25379.0</v>
      </c>
      <c r="L450" s="4" t="s">
        <v>336</v>
      </c>
      <c r="M450" s="27" t="n">
        <f>127221</f>
        <v>127221.0</v>
      </c>
      <c r="N450" s="5" t="s">
        <v>82</v>
      </c>
      <c r="O450" s="28" t="n">
        <f>17010</f>
        <v>17010.0</v>
      </c>
      <c r="P450" s="3" t="s">
        <v>1168</v>
      </c>
      <c r="Q450" s="26"/>
      <c r="R450" s="3" t="s">
        <v>1169</v>
      </c>
      <c r="S450" s="26" t="n">
        <f>15138226331</f>
        <v>1.5138226331E10</v>
      </c>
      <c r="T450" s="26" t="n">
        <f>10629015759</f>
        <v>1.0629015759E10</v>
      </c>
      <c r="U450" s="5" t="s">
        <v>399</v>
      </c>
      <c r="V450" s="28" t="n">
        <f>53370958650</f>
        <v>5.337095865E10</v>
      </c>
      <c r="W450" s="5" t="s">
        <v>58</v>
      </c>
      <c r="X450" s="28" t="n">
        <f>2129286000</f>
        <v>2.129286E9</v>
      </c>
      <c r="Y450" s="28" t="n">
        <f>162162</f>
        <v>162162.0</v>
      </c>
      <c r="Z450" s="26" t="n">
        <f>2799649</f>
        <v>2799649.0</v>
      </c>
      <c r="AA450" s="26" t="n">
        <f>890851</f>
        <v>890851.0</v>
      </c>
      <c r="AB450" s="4" t="s">
        <v>127</v>
      </c>
      <c r="AC450" s="27" t="n">
        <f>1475150</f>
        <v>1475150.0</v>
      </c>
      <c r="AD450" s="5" t="s">
        <v>778</v>
      </c>
      <c r="AE450" s="28" t="n">
        <f>688956</f>
        <v>688956.0</v>
      </c>
    </row>
    <row r="451">
      <c r="A451" s="20" t="s">
        <v>1122</v>
      </c>
      <c r="B451" s="21" t="s">
        <v>1123</v>
      </c>
      <c r="C451" s="22" t="s">
        <v>1128</v>
      </c>
      <c r="D451" s="23" t="s">
        <v>1129</v>
      </c>
      <c r="E451" s="24" t="s">
        <v>87</v>
      </c>
      <c r="F451" s="25" t="n">
        <f>245</f>
        <v>245.0</v>
      </c>
      <c r="G451" s="26" t="n">
        <f>10111950</f>
        <v>1.011195E7</v>
      </c>
      <c r="H451" s="26"/>
      <c r="I451" s="26" t="n">
        <f>3241980</f>
        <v>3241980.0</v>
      </c>
      <c r="J451" s="26" t="n">
        <f>41273</f>
        <v>41273.0</v>
      </c>
      <c r="K451" s="26" t="n">
        <f>13233</f>
        <v>13233.0</v>
      </c>
      <c r="L451" s="4" t="s">
        <v>135</v>
      </c>
      <c r="M451" s="27" t="n">
        <f>114862</f>
        <v>114862.0</v>
      </c>
      <c r="N451" s="5" t="s">
        <v>82</v>
      </c>
      <c r="O451" s="28" t="n">
        <f>10998</f>
        <v>10998.0</v>
      </c>
      <c r="P451" s="3" t="s">
        <v>1170</v>
      </c>
      <c r="Q451" s="26"/>
      <c r="R451" s="3" t="s">
        <v>1171</v>
      </c>
      <c r="S451" s="26" t="n">
        <f>11370035199</f>
        <v>1.1370035199E10</v>
      </c>
      <c r="T451" s="26" t="n">
        <f>7449593273</f>
        <v>7.449593273E9</v>
      </c>
      <c r="U451" s="5" t="s">
        <v>162</v>
      </c>
      <c r="V451" s="28" t="n">
        <f>45002186100</f>
        <v>4.50021861E10</v>
      </c>
      <c r="W451" s="5" t="s">
        <v>82</v>
      </c>
      <c r="X451" s="28" t="n">
        <f>1729550000</f>
        <v>1.72955E9</v>
      </c>
      <c r="Y451" s="28" t="n">
        <f>740800</f>
        <v>740800.0</v>
      </c>
      <c r="Z451" s="26" t="n">
        <f>1909907</f>
        <v>1909907.0</v>
      </c>
      <c r="AA451" s="26" t="n">
        <f>539667</f>
        <v>539667.0</v>
      </c>
      <c r="AB451" s="4" t="s">
        <v>994</v>
      </c>
      <c r="AC451" s="27" t="n">
        <f>799362</f>
        <v>799362.0</v>
      </c>
      <c r="AD451" s="5" t="s">
        <v>778</v>
      </c>
      <c r="AE451" s="28" t="n">
        <f>434129</f>
        <v>434129.0</v>
      </c>
    </row>
    <row r="452">
      <c r="A452" s="20" t="s">
        <v>1122</v>
      </c>
      <c r="B452" s="21" t="s">
        <v>1123</v>
      </c>
      <c r="C452" s="22" t="s">
        <v>1132</v>
      </c>
      <c r="D452" s="23" t="s">
        <v>1133</v>
      </c>
      <c r="E452" s="24" t="s">
        <v>87</v>
      </c>
      <c r="F452" s="25" t="n">
        <f>245</f>
        <v>245.0</v>
      </c>
      <c r="G452" s="26" t="n">
        <f>25422915</f>
        <v>2.5422915E7</v>
      </c>
      <c r="H452" s="26"/>
      <c r="I452" s="26" t="n">
        <f>9459954</f>
        <v>9459954.0</v>
      </c>
      <c r="J452" s="26" t="n">
        <f>103767</f>
        <v>103767.0</v>
      </c>
      <c r="K452" s="26" t="n">
        <f>38612</f>
        <v>38612.0</v>
      </c>
      <c r="L452" s="4" t="s">
        <v>135</v>
      </c>
      <c r="M452" s="27" t="n">
        <f>223333</f>
        <v>223333.0</v>
      </c>
      <c r="N452" s="5" t="s">
        <v>82</v>
      </c>
      <c r="O452" s="28" t="n">
        <f>28008</f>
        <v>28008.0</v>
      </c>
      <c r="P452" s="3" t="s">
        <v>1172</v>
      </c>
      <c r="Q452" s="26"/>
      <c r="R452" s="3" t="s">
        <v>1173</v>
      </c>
      <c r="S452" s="26" t="n">
        <f>26508261530</f>
        <v>2.650826153E10</v>
      </c>
      <c r="T452" s="26" t="n">
        <f>18078609032</f>
        <v>1.8078609032E10</v>
      </c>
      <c r="U452" s="5" t="s">
        <v>399</v>
      </c>
      <c r="V452" s="28" t="n">
        <f>73869906041</f>
        <v>7.3869906041E10</v>
      </c>
      <c r="W452" s="5" t="s">
        <v>82</v>
      </c>
      <c r="X452" s="28" t="n">
        <f>4119797000</f>
        <v>4.119797E9</v>
      </c>
      <c r="Y452" s="28" t="n">
        <f>902962</f>
        <v>902962.0</v>
      </c>
      <c r="Z452" s="26" t="n">
        <f>4709556</f>
        <v>4709556.0</v>
      </c>
      <c r="AA452" s="26" t="n">
        <f>1430518</f>
        <v>1430518.0</v>
      </c>
      <c r="AB452" s="4" t="s">
        <v>127</v>
      </c>
      <c r="AC452" s="27" t="n">
        <f>2248803</f>
        <v>2248803.0</v>
      </c>
      <c r="AD452" s="5" t="s">
        <v>778</v>
      </c>
      <c r="AE452" s="28" t="n">
        <f>1123085</f>
        <v>1123085.0</v>
      </c>
    </row>
    <row r="453">
      <c r="A453" s="20" t="s">
        <v>1122</v>
      </c>
      <c r="B453" s="21" t="s">
        <v>1123</v>
      </c>
      <c r="C453" s="22" t="s">
        <v>1124</v>
      </c>
      <c r="D453" s="23" t="s">
        <v>1125</v>
      </c>
      <c r="E453" s="24" t="s">
        <v>92</v>
      </c>
      <c r="F453" s="25" t="n">
        <f>244</f>
        <v>244.0</v>
      </c>
      <c r="G453" s="26" t="n">
        <f>13888910</f>
        <v>1.388891E7</v>
      </c>
      <c r="H453" s="26"/>
      <c r="I453" s="26" t="n">
        <f>5364666</f>
        <v>5364666.0</v>
      </c>
      <c r="J453" s="26" t="n">
        <f>56922</f>
        <v>56922.0</v>
      </c>
      <c r="K453" s="26" t="n">
        <f>21986</f>
        <v>21986.0</v>
      </c>
      <c r="L453" s="4" t="s">
        <v>832</v>
      </c>
      <c r="M453" s="27" t="n">
        <f>148103</f>
        <v>148103.0</v>
      </c>
      <c r="N453" s="5" t="s">
        <v>93</v>
      </c>
      <c r="O453" s="28" t="n">
        <f>22257</f>
        <v>22257.0</v>
      </c>
      <c r="P453" s="3" t="s">
        <v>1174</v>
      </c>
      <c r="Q453" s="26"/>
      <c r="R453" s="3" t="s">
        <v>1175</v>
      </c>
      <c r="S453" s="26" t="n">
        <f>14901220969</f>
        <v>1.4901220969E10</v>
      </c>
      <c r="T453" s="26" t="n">
        <f>10538526469</f>
        <v>1.0538526469E10</v>
      </c>
      <c r="U453" s="5" t="s">
        <v>74</v>
      </c>
      <c r="V453" s="28" t="n">
        <f>52171857290</f>
        <v>5.217185729E10</v>
      </c>
      <c r="W453" s="5" t="s">
        <v>93</v>
      </c>
      <c r="X453" s="28" t="n">
        <f>2598512000</f>
        <v>2.598512E9</v>
      </c>
      <c r="Y453" s="28" t="n">
        <f>283425</f>
        <v>283425.0</v>
      </c>
      <c r="Z453" s="26" t="n">
        <f>2732287</f>
        <v>2732287.0</v>
      </c>
      <c r="AA453" s="26" t="n">
        <f>864992</f>
        <v>864992.0</v>
      </c>
      <c r="AB453" s="4" t="s">
        <v>162</v>
      </c>
      <c r="AC453" s="27" t="n">
        <f>1045024</f>
        <v>1045024.0</v>
      </c>
      <c r="AD453" s="5" t="s">
        <v>49</v>
      </c>
      <c r="AE453" s="28" t="n">
        <f>644638</f>
        <v>644638.0</v>
      </c>
    </row>
    <row r="454">
      <c r="A454" s="20" t="s">
        <v>1122</v>
      </c>
      <c r="B454" s="21" t="s">
        <v>1123</v>
      </c>
      <c r="C454" s="22" t="s">
        <v>1128</v>
      </c>
      <c r="D454" s="23" t="s">
        <v>1129</v>
      </c>
      <c r="E454" s="24" t="s">
        <v>92</v>
      </c>
      <c r="F454" s="25" t="n">
        <f>244</f>
        <v>244.0</v>
      </c>
      <c r="G454" s="26" t="n">
        <f>9808230</f>
        <v>9808230.0</v>
      </c>
      <c r="H454" s="26"/>
      <c r="I454" s="26" t="n">
        <f>3453728</f>
        <v>3453728.0</v>
      </c>
      <c r="J454" s="26" t="n">
        <f>40198</f>
        <v>40198.0</v>
      </c>
      <c r="K454" s="26" t="n">
        <f>14155</f>
        <v>14155.0</v>
      </c>
      <c r="L454" s="4" t="s">
        <v>157</v>
      </c>
      <c r="M454" s="27" t="n">
        <f>126836</f>
        <v>126836.0</v>
      </c>
      <c r="N454" s="5" t="s">
        <v>289</v>
      </c>
      <c r="O454" s="28" t="n">
        <f>11098</f>
        <v>11098.0</v>
      </c>
      <c r="P454" s="3" t="s">
        <v>1176</v>
      </c>
      <c r="Q454" s="26"/>
      <c r="R454" s="3" t="s">
        <v>1177</v>
      </c>
      <c r="S454" s="26" t="n">
        <f>8659842940</f>
        <v>8.65984294E9</v>
      </c>
      <c r="T454" s="26" t="n">
        <f>5476772190</f>
        <v>5.47677219E9</v>
      </c>
      <c r="U454" s="5" t="s">
        <v>217</v>
      </c>
      <c r="V454" s="28" t="n">
        <f>33752748140</f>
        <v>3.375274814E10</v>
      </c>
      <c r="W454" s="5" t="s">
        <v>93</v>
      </c>
      <c r="X454" s="28" t="n">
        <f>1159506500</f>
        <v>1.1595065E9</v>
      </c>
      <c r="Y454" s="28" t="n">
        <f>394053</f>
        <v>394053.0</v>
      </c>
      <c r="Z454" s="26" t="n">
        <f>1879921</f>
        <v>1879921.0</v>
      </c>
      <c r="AA454" s="26" t="n">
        <f>487004</f>
        <v>487004.0</v>
      </c>
      <c r="AB454" s="4" t="s">
        <v>541</v>
      </c>
      <c r="AC454" s="27" t="n">
        <f>658766</f>
        <v>658766.0</v>
      </c>
      <c r="AD454" s="5" t="s">
        <v>49</v>
      </c>
      <c r="AE454" s="28" t="n">
        <f>332549</f>
        <v>332549.0</v>
      </c>
    </row>
    <row r="455">
      <c r="A455" s="20" t="s">
        <v>1122</v>
      </c>
      <c r="B455" s="21" t="s">
        <v>1123</v>
      </c>
      <c r="C455" s="22" t="s">
        <v>1132</v>
      </c>
      <c r="D455" s="23" t="s">
        <v>1133</v>
      </c>
      <c r="E455" s="24" t="s">
        <v>92</v>
      </c>
      <c r="F455" s="25" t="n">
        <f>244</f>
        <v>244.0</v>
      </c>
      <c r="G455" s="26" t="n">
        <f>23697140</f>
        <v>2.369714E7</v>
      </c>
      <c r="H455" s="26"/>
      <c r="I455" s="26" t="n">
        <f>8818394</f>
        <v>8818394.0</v>
      </c>
      <c r="J455" s="26" t="n">
        <f>97119</f>
        <v>97119.0</v>
      </c>
      <c r="K455" s="26" t="n">
        <f>36141</f>
        <v>36141.0</v>
      </c>
      <c r="L455" s="4" t="s">
        <v>217</v>
      </c>
      <c r="M455" s="27" t="n">
        <f>248747</f>
        <v>248747.0</v>
      </c>
      <c r="N455" s="5" t="s">
        <v>289</v>
      </c>
      <c r="O455" s="28" t="n">
        <f>37279</f>
        <v>37279.0</v>
      </c>
      <c r="P455" s="3" t="s">
        <v>1178</v>
      </c>
      <c r="Q455" s="26"/>
      <c r="R455" s="3" t="s">
        <v>1179</v>
      </c>
      <c r="S455" s="26" t="n">
        <f>23561063908</f>
        <v>2.3561063908E10</v>
      </c>
      <c r="T455" s="26" t="n">
        <f>16015298658</f>
        <v>1.6015298658E10</v>
      </c>
      <c r="U455" s="5" t="s">
        <v>53</v>
      </c>
      <c r="V455" s="28" t="n">
        <f>76052069339</f>
        <v>7.6052069339E10</v>
      </c>
      <c r="W455" s="5" t="s">
        <v>93</v>
      </c>
      <c r="X455" s="28" t="n">
        <f>3758018500</f>
        <v>3.7580185E9</v>
      </c>
      <c r="Y455" s="28" t="n">
        <f>677478</f>
        <v>677478.0</v>
      </c>
      <c r="Z455" s="26" t="n">
        <f>4612208</f>
        <v>4612208.0</v>
      </c>
      <c r="AA455" s="26" t="n">
        <f>1351996</f>
        <v>1351996.0</v>
      </c>
      <c r="AB455" s="4" t="s">
        <v>541</v>
      </c>
      <c r="AC455" s="27" t="n">
        <f>1669028</f>
        <v>1669028.0</v>
      </c>
      <c r="AD455" s="5" t="s">
        <v>49</v>
      </c>
      <c r="AE455" s="28" t="n">
        <f>977187</f>
        <v>977187.0</v>
      </c>
    </row>
    <row r="456">
      <c r="A456" s="20" t="s">
        <v>1122</v>
      </c>
      <c r="B456" s="21" t="s">
        <v>1123</v>
      </c>
      <c r="C456" s="22" t="s">
        <v>1124</v>
      </c>
      <c r="D456" s="23" t="s">
        <v>1125</v>
      </c>
      <c r="E456" s="24" t="s">
        <v>98</v>
      </c>
      <c r="F456" s="25" t="n">
        <f>245</f>
        <v>245.0</v>
      </c>
      <c r="G456" s="26" t="n">
        <f>14213439</f>
        <v>1.4213439E7</v>
      </c>
      <c r="H456" s="26"/>
      <c r="I456" s="26" t="n">
        <f>6505058</f>
        <v>6505058.0</v>
      </c>
      <c r="J456" s="26" t="n">
        <f>58014</f>
        <v>58014.0</v>
      </c>
      <c r="K456" s="26" t="n">
        <f>26551</f>
        <v>26551.0</v>
      </c>
      <c r="L456" s="4" t="s">
        <v>824</v>
      </c>
      <c r="M456" s="27" t="n">
        <f>109660</f>
        <v>109660.0</v>
      </c>
      <c r="N456" s="5" t="s">
        <v>93</v>
      </c>
      <c r="O456" s="28" t="n">
        <f>20666</f>
        <v>20666.0</v>
      </c>
      <c r="P456" s="3" t="s">
        <v>1180</v>
      </c>
      <c r="Q456" s="26"/>
      <c r="R456" s="3" t="s">
        <v>1181</v>
      </c>
      <c r="S456" s="26" t="n">
        <f>16114766395</f>
        <v>1.6114766395E10</v>
      </c>
      <c r="T456" s="26" t="n">
        <f>12593533003</f>
        <v>1.2593533003E10</v>
      </c>
      <c r="U456" s="5" t="s">
        <v>834</v>
      </c>
      <c r="V456" s="28" t="n">
        <f>43598791130</f>
        <v>4.359879113E10</v>
      </c>
      <c r="W456" s="5" t="s">
        <v>491</v>
      </c>
      <c r="X456" s="28" t="n">
        <f>3604807350</f>
        <v>3.60480735E9</v>
      </c>
      <c r="Y456" s="28" t="n">
        <f>208416</f>
        <v>208416.0</v>
      </c>
      <c r="Z456" s="26" t="n">
        <f>2592251</f>
        <v>2592251.0</v>
      </c>
      <c r="AA456" s="26" t="n">
        <f>910547</f>
        <v>910547.0</v>
      </c>
      <c r="AB456" s="4" t="s">
        <v>231</v>
      </c>
      <c r="AC456" s="27" t="n">
        <f>1161188</f>
        <v>1161188.0</v>
      </c>
      <c r="AD456" s="5" t="s">
        <v>68</v>
      </c>
      <c r="AE456" s="28" t="n">
        <f>720868</f>
        <v>720868.0</v>
      </c>
    </row>
    <row r="457">
      <c r="A457" s="20" t="s">
        <v>1122</v>
      </c>
      <c r="B457" s="21" t="s">
        <v>1123</v>
      </c>
      <c r="C457" s="22" t="s">
        <v>1128</v>
      </c>
      <c r="D457" s="23" t="s">
        <v>1129</v>
      </c>
      <c r="E457" s="24" t="s">
        <v>98</v>
      </c>
      <c r="F457" s="25" t="n">
        <f>245</f>
        <v>245.0</v>
      </c>
      <c r="G457" s="26" t="n">
        <f>9609450</f>
        <v>9609450.0</v>
      </c>
      <c r="H457" s="26"/>
      <c r="I457" s="26" t="n">
        <f>4009253</f>
        <v>4009253.0</v>
      </c>
      <c r="J457" s="26" t="n">
        <f>39222</f>
        <v>39222.0</v>
      </c>
      <c r="K457" s="26" t="n">
        <f>16364</f>
        <v>16364.0</v>
      </c>
      <c r="L457" s="4" t="s">
        <v>71</v>
      </c>
      <c r="M457" s="27" t="n">
        <f>81251</f>
        <v>81251.0</v>
      </c>
      <c r="N457" s="5" t="s">
        <v>491</v>
      </c>
      <c r="O457" s="28" t="n">
        <f>15690</f>
        <v>15690.0</v>
      </c>
      <c r="P457" s="3" t="s">
        <v>1182</v>
      </c>
      <c r="Q457" s="26"/>
      <c r="R457" s="3" t="s">
        <v>1183</v>
      </c>
      <c r="S457" s="26" t="n">
        <f>9613647236</f>
        <v>9.613647236E9</v>
      </c>
      <c r="T457" s="26" t="n">
        <f>7038731403</f>
        <v>7.038731403E9</v>
      </c>
      <c r="U457" s="5" t="s">
        <v>1057</v>
      </c>
      <c r="V457" s="28" t="n">
        <f>29333230620</f>
        <v>2.933323062E10</v>
      </c>
      <c r="W457" s="5" t="s">
        <v>491</v>
      </c>
      <c r="X457" s="28" t="n">
        <f>2530136339</f>
        <v>2.530136339E9</v>
      </c>
      <c r="Y457" s="28" t="n">
        <f>419523</f>
        <v>419523.0</v>
      </c>
      <c r="Z457" s="26" t="n">
        <f>1567798</f>
        <v>1567798.0</v>
      </c>
      <c r="AA457" s="26" t="n">
        <f>558765</f>
        <v>558765.0</v>
      </c>
      <c r="AB457" s="4" t="s">
        <v>231</v>
      </c>
      <c r="AC457" s="27" t="n">
        <f>654034</f>
        <v>654034.0</v>
      </c>
      <c r="AD457" s="5" t="s">
        <v>68</v>
      </c>
      <c r="AE457" s="28" t="n">
        <f>390673</f>
        <v>390673.0</v>
      </c>
    </row>
    <row r="458">
      <c r="A458" s="20" t="s">
        <v>1122</v>
      </c>
      <c r="B458" s="21" t="s">
        <v>1123</v>
      </c>
      <c r="C458" s="22" t="s">
        <v>1132</v>
      </c>
      <c r="D458" s="23" t="s">
        <v>1133</v>
      </c>
      <c r="E458" s="24" t="s">
        <v>98</v>
      </c>
      <c r="F458" s="25" t="n">
        <f>245</f>
        <v>245.0</v>
      </c>
      <c r="G458" s="26" t="n">
        <f>23822889</f>
        <v>2.3822889E7</v>
      </c>
      <c r="H458" s="26"/>
      <c r="I458" s="26" t="n">
        <f>10514311</f>
        <v>1.0514311E7</v>
      </c>
      <c r="J458" s="26" t="n">
        <f>97236</f>
        <v>97236.0</v>
      </c>
      <c r="K458" s="26" t="n">
        <f>42916</f>
        <v>42916.0</v>
      </c>
      <c r="L458" s="4" t="s">
        <v>824</v>
      </c>
      <c r="M458" s="27" t="n">
        <f>165580</f>
        <v>165580.0</v>
      </c>
      <c r="N458" s="5" t="s">
        <v>491</v>
      </c>
      <c r="O458" s="28" t="n">
        <f>37314</f>
        <v>37314.0</v>
      </c>
      <c r="P458" s="3" t="s">
        <v>1184</v>
      </c>
      <c r="Q458" s="26"/>
      <c r="R458" s="3" t="s">
        <v>1185</v>
      </c>
      <c r="S458" s="26" t="n">
        <f>25728413631</f>
        <v>2.5728413631E10</v>
      </c>
      <c r="T458" s="26" t="n">
        <f>19632264406</f>
        <v>1.9632264406E10</v>
      </c>
      <c r="U458" s="5" t="s">
        <v>1057</v>
      </c>
      <c r="V458" s="28" t="n">
        <f>61053559100</f>
        <v>6.10535591E10</v>
      </c>
      <c r="W458" s="5" t="s">
        <v>491</v>
      </c>
      <c r="X458" s="28" t="n">
        <f>6134943689</f>
        <v>6.134943689E9</v>
      </c>
      <c r="Y458" s="28" t="n">
        <f>627939</f>
        <v>627939.0</v>
      </c>
      <c r="Z458" s="26" t="n">
        <f>4160049</f>
        <v>4160049.0</v>
      </c>
      <c r="AA458" s="26" t="n">
        <f>1469312</f>
        <v>1469312.0</v>
      </c>
      <c r="AB458" s="4" t="s">
        <v>231</v>
      </c>
      <c r="AC458" s="27" t="n">
        <f>1815222</f>
        <v>1815222.0</v>
      </c>
      <c r="AD458" s="5" t="s">
        <v>68</v>
      </c>
      <c r="AE458" s="28" t="n">
        <f>1111541</f>
        <v>1111541.0</v>
      </c>
    </row>
    <row r="459">
      <c r="A459" s="20" t="s">
        <v>1122</v>
      </c>
      <c r="B459" s="21" t="s">
        <v>1123</v>
      </c>
      <c r="C459" s="22" t="s">
        <v>1124</v>
      </c>
      <c r="D459" s="23" t="s">
        <v>1125</v>
      </c>
      <c r="E459" s="24" t="s">
        <v>103</v>
      </c>
      <c r="F459" s="25" t="n">
        <f>244</f>
        <v>244.0</v>
      </c>
      <c r="G459" s="26" t="n">
        <f>12335783</f>
        <v>1.2335783E7</v>
      </c>
      <c r="H459" s="26"/>
      <c r="I459" s="26" t="n">
        <f>5668145</f>
        <v>5668145.0</v>
      </c>
      <c r="J459" s="26" t="n">
        <f>50556</f>
        <v>50556.0</v>
      </c>
      <c r="K459" s="26" t="n">
        <f>23230</f>
        <v>23230.0</v>
      </c>
      <c r="L459" s="4" t="s">
        <v>144</v>
      </c>
      <c r="M459" s="27" t="n">
        <f>110814</f>
        <v>110814.0</v>
      </c>
      <c r="N459" s="5" t="s">
        <v>50</v>
      </c>
      <c r="O459" s="28" t="n">
        <f>15193</f>
        <v>15193.0</v>
      </c>
      <c r="P459" s="3" t="s">
        <v>1186</v>
      </c>
      <c r="Q459" s="26"/>
      <c r="R459" s="3" t="s">
        <v>1187</v>
      </c>
      <c r="S459" s="26" t="n">
        <f>14083713103</f>
        <v>1.4083713103E10</v>
      </c>
      <c r="T459" s="26" t="n">
        <f>11064394652</f>
        <v>1.1064394652E10</v>
      </c>
      <c r="U459" s="5" t="s">
        <v>141</v>
      </c>
      <c r="V459" s="28" t="n">
        <f>52581311552</f>
        <v>5.2581311552E10</v>
      </c>
      <c r="W459" s="5" t="s">
        <v>50</v>
      </c>
      <c r="X459" s="28" t="n">
        <f>2599067650</f>
        <v>2.59906765E9</v>
      </c>
      <c r="Y459" s="28" t="n">
        <f>99726</f>
        <v>99726.0</v>
      </c>
      <c r="Z459" s="26" t="n">
        <f>2448113</f>
        <v>2448113.0</v>
      </c>
      <c r="AA459" s="26" t="n">
        <f>801049</f>
        <v>801049.0</v>
      </c>
      <c r="AB459" s="4" t="s">
        <v>286</v>
      </c>
      <c r="AC459" s="27" t="n">
        <f>1121942</f>
        <v>1121942.0</v>
      </c>
      <c r="AD459" s="5" t="s">
        <v>231</v>
      </c>
      <c r="AE459" s="28" t="n">
        <f>602344</f>
        <v>602344.0</v>
      </c>
    </row>
    <row r="460">
      <c r="A460" s="20" t="s">
        <v>1122</v>
      </c>
      <c r="B460" s="21" t="s">
        <v>1123</v>
      </c>
      <c r="C460" s="22" t="s">
        <v>1128</v>
      </c>
      <c r="D460" s="23" t="s">
        <v>1129</v>
      </c>
      <c r="E460" s="24" t="s">
        <v>103</v>
      </c>
      <c r="F460" s="25" t="n">
        <f>244</f>
        <v>244.0</v>
      </c>
      <c r="G460" s="26" t="n">
        <f>9525002</f>
        <v>9525002.0</v>
      </c>
      <c r="H460" s="26"/>
      <c r="I460" s="26" t="n">
        <f>3882853</f>
        <v>3882853.0</v>
      </c>
      <c r="J460" s="26" t="n">
        <f>39037</f>
        <v>39037.0</v>
      </c>
      <c r="K460" s="26" t="n">
        <f>15913</f>
        <v>15913.0</v>
      </c>
      <c r="L460" s="4" t="s">
        <v>107</v>
      </c>
      <c r="M460" s="27" t="n">
        <f>116395</f>
        <v>116395.0</v>
      </c>
      <c r="N460" s="5" t="s">
        <v>50</v>
      </c>
      <c r="O460" s="28" t="n">
        <f>7690</f>
        <v>7690.0</v>
      </c>
      <c r="P460" s="3" t="s">
        <v>1188</v>
      </c>
      <c r="Q460" s="26"/>
      <c r="R460" s="3" t="s">
        <v>1189</v>
      </c>
      <c r="S460" s="26" t="n">
        <f>12261403033</f>
        <v>1.2261403033E10</v>
      </c>
      <c r="T460" s="26" t="n">
        <f>8941886348</f>
        <v>8.941886348E9</v>
      </c>
      <c r="U460" s="5" t="s">
        <v>141</v>
      </c>
      <c r="V460" s="28" t="n">
        <f>73070575757</f>
        <v>7.3070575757E10</v>
      </c>
      <c r="W460" s="5" t="s">
        <v>50</v>
      </c>
      <c r="X460" s="28" t="n">
        <f>1293556393</f>
        <v>1.293556393E9</v>
      </c>
      <c r="Y460" s="28" t="n">
        <f>737537</f>
        <v>737537.0</v>
      </c>
      <c r="Z460" s="26" t="n">
        <f>2059273</f>
        <v>2059273.0</v>
      </c>
      <c r="AA460" s="26" t="n">
        <f>473105</f>
        <v>473105.0</v>
      </c>
      <c r="AB460" s="4" t="s">
        <v>286</v>
      </c>
      <c r="AC460" s="27" t="n">
        <f>719094</f>
        <v>719094.0</v>
      </c>
      <c r="AD460" s="5" t="s">
        <v>231</v>
      </c>
      <c r="AE460" s="28" t="n">
        <f>371174</f>
        <v>371174.0</v>
      </c>
    </row>
    <row r="461">
      <c r="A461" s="20" t="s">
        <v>1122</v>
      </c>
      <c r="B461" s="21" t="s">
        <v>1123</v>
      </c>
      <c r="C461" s="22" t="s">
        <v>1132</v>
      </c>
      <c r="D461" s="23" t="s">
        <v>1133</v>
      </c>
      <c r="E461" s="24" t="s">
        <v>103</v>
      </c>
      <c r="F461" s="25" t="n">
        <f>244</f>
        <v>244.0</v>
      </c>
      <c r="G461" s="26" t="n">
        <f>21860785</f>
        <v>2.1860785E7</v>
      </c>
      <c r="H461" s="26"/>
      <c r="I461" s="26" t="n">
        <f>9550998</f>
        <v>9550998.0</v>
      </c>
      <c r="J461" s="26" t="n">
        <f>89593</f>
        <v>89593.0</v>
      </c>
      <c r="K461" s="26" t="n">
        <f>39143</f>
        <v>39143.0</v>
      </c>
      <c r="L461" s="4" t="s">
        <v>107</v>
      </c>
      <c r="M461" s="27" t="n">
        <f>210203</f>
        <v>210203.0</v>
      </c>
      <c r="N461" s="5" t="s">
        <v>50</v>
      </c>
      <c r="O461" s="28" t="n">
        <f>22883</f>
        <v>22883.0</v>
      </c>
      <c r="P461" s="3" t="s">
        <v>1190</v>
      </c>
      <c r="Q461" s="26"/>
      <c r="R461" s="3" t="s">
        <v>1191</v>
      </c>
      <c r="S461" s="26" t="n">
        <f>26345116136</f>
        <v>2.6345116136E10</v>
      </c>
      <c r="T461" s="26" t="n">
        <f>20006281001</f>
        <v>2.0006281001E10</v>
      </c>
      <c r="U461" s="5" t="s">
        <v>141</v>
      </c>
      <c r="V461" s="28" t="n">
        <f>125651887309</f>
        <v>1.25651887309E11</v>
      </c>
      <c r="W461" s="5" t="s">
        <v>50</v>
      </c>
      <c r="X461" s="28" t="n">
        <f>3892624043</f>
        <v>3.892624043E9</v>
      </c>
      <c r="Y461" s="28" t="n">
        <f>837263</f>
        <v>837263.0</v>
      </c>
      <c r="Z461" s="26" t="n">
        <f>4507386</f>
        <v>4507386.0</v>
      </c>
      <c r="AA461" s="26" t="n">
        <f>1274154</f>
        <v>1274154.0</v>
      </c>
      <c r="AB461" s="4" t="s">
        <v>286</v>
      </c>
      <c r="AC461" s="27" t="n">
        <f>1841036</f>
        <v>1841036.0</v>
      </c>
      <c r="AD461" s="5" t="s">
        <v>231</v>
      </c>
      <c r="AE461" s="28" t="n">
        <f>973518</f>
        <v>973518.0</v>
      </c>
    </row>
    <row r="462">
      <c r="A462" s="20" t="s">
        <v>1192</v>
      </c>
      <c r="B462" s="21" t="s">
        <v>1193</v>
      </c>
      <c r="C462" s="22" t="s">
        <v>1124</v>
      </c>
      <c r="D462" s="23" t="s">
        <v>1125</v>
      </c>
      <c r="E462" s="24" t="s">
        <v>103</v>
      </c>
      <c r="F462" s="25" t="n">
        <f>207</f>
        <v>207.0</v>
      </c>
      <c r="G462" s="26" t="n">
        <f>4948018</f>
        <v>4948018.0</v>
      </c>
      <c r="H462" s="26"/>
      <c r="I462" s="26" t="n">
        <f>524488</f>
        <v>524488.0</v>
      </c>
      <c r="J462" s="26" t="n">
        <f>23903</f>
        <v>23903.0</v>
      </c>
      <c r="K462" s="26" t="n">
        <f>2534</f>
        <v>2534.0</v>
      </c>
      <c r="L462" s="4" t="s">
        <v>147</v>
      </c>
      <c r="M462" s="27" t="n">
        <f>77061</f>
        <v>77061.0</v>
      </c>
      <c r="N462" s="5" t="s">
        <v>524</v>
      </c>
      <c r="O462" s="28" t="n">
        <f>6242</f>
        <v>6242.0</v>
      </c>
      <c r="P462" s="3" t="s">
        <v>1194</v>
      </c>
      <c r="Q462" s="26"/>
      <c r="R462" s="3" t="s">
        <v>1195</v>
      </c>
      <c r="S462" s="26" t="n">
        <f>215042113</f>
        <v>2.15042113E8</v>
      </c>
      <c r="T462" s="26" t="n">
        <f>11008973</f>
        <v>1.1008973E7</v>
      </c>
      <c r="U462" s="5" t="s">
        <v>149</v>
      </c>
      <c r="V462" s="28" t="n">
        <f>716748850</f>
        <v>7.1674885E8</v>
      </c>
      <c r="W462" s="5" t="s">
        <v>611</v>
      </c>
      <c r="X462" s="28" t="n">
        <f>53378170</f>
        <v>5.337817E7</v>
      </c>
      <c r="Y462" s="28" t="n">
        <f>76388</f>
        <v>76388.0</v>
      </c>
      <c r="Z462" s="26" t="n">
        <f>489572</f>
        <v>489572.0</v>
      </c>
      <c r="AA462" s="26" t="n">
        <f>24329</f>
        <v>24329.0</v>
      </c>
      <c r="AB462" s="4" t="s">
        <v>147</v>
      </c>
      <c r="AC462" s="27" t="n">
        <f>73127</f>
        <v>73127.0</v>
      </c>
      <c r="AD462" s="5" t="s">
        <v>1196</v>
      </c>
      <c r="AE462" s="28" t="n">
        <f>2151</f>
        <v>2151.0</v>
      </c>
    </row>
    <row r="463">
      <c r="A463" s="20" t="s">
        <v>1192</v>
      </c>
      <c r="B463" s="21" t="s">
        <v>1193</v>
      </c>
      <c r="C463" s="22" t="s">
        <v>1128</v>
      </c>
      <c r="D463" s="23" t="s">
        <v>1129</v>
      </c>
      <c r="E463" s="24" t="s">
        <v>103</v>
      </c>
      <c r="F463" s="25" t="n">
        <f>207</f>
        <v>207.0</v>
      </c>
      <c r="G463" s="26" t="n">
        <f>4385606</f>
        <v>4385606.0</v>
      </c>
      <c r="H463" s="26"/>
      <c r="I463" s="26" t="n">
        <f>435575</f>
        <v>435575.0</v>
      </c>
      <c r="J463" s="26" t="n">
        <f>21187</f>
        <v>21187.0</v>
      </c>
      <c r="K463" s="26" t="n">
        <f>2104</f>
        <v>2104.0</v>
      </c>
      <c r="L463" s="4" t="s">
        <v>868</v>
      </c>
      <c r="M463" s="27" t="n">
        <f>53987</f>
        <v>53987.0</v>
      </c>
      <c r="N463" s="5" t="s">
        <v>926</v>
      </c>
      <c r="O463" s="28" t="n">
        <f>6066</f>
        <v>6066.0</v>
      </c>
      <c r="P463" s="3" t="s">
        <v>1197</v>
      </c>
      <c r="Q463" s="26"/>
      <c r="R463" s="3" t="s">
        <v>1198</v>
      </c>
      <c r="S463" s="26" t="n">
        <f>226371334</f>
        <v>2.26371334E8</v>
      </c>
      <c r="T463" s="26" t="n">
        <f>13673267</f>
        <v>1.3673267E7</v>
      </c>
      <c r="U463" s="5" t="s">
        <v>141</v>
      </c>
      <c r="V463" s="28" t="n">
        <f>861015075</f>
        <v>8.61015075E8</v>
      </c>
      <c r="W463" s="5" t="s">
        <v>524</v>
      </c>
      <c r="X463" s="28" t="n">
        <f>70589080</f>
        <v>7.058908E7</v>
      </c>
      <c r="Y463" s="28" t="n">
        <f>128392</f>
        <v>128392.0</v>
      </c>
      <c r="Z463" s="26" t="n">
        <f>382574</f>
        <v>382574.0</v>
      </c>
      <c r="AA463" s="26" t="n">
        <f>13456</f>
        <v>13456.0</v>
      </c>
      <c r="AB463" s="4" t="s">
        <v>868</v>
      </c>
      <c r="AC463" s="27" t="n">
        <f>61682</f>
        <v>61682.0</v>
      </c>
      <c r="AD463" s="5" t="s">
        <v>1196</v>
      </c>
      <c r="AE463" s="28" t="n">
        <f>2086</f>
        <v>2086.0</v>
      </c>
    </row>
    <row r="464">
      <c r="A464" s="20" t="s">
        <v>1192</v>
      </c>
      <c r="B464" s="21" t="s">
        <v>1193</v>
      </c>
      <c r="C464" s="22" t="s">
        <v>1132</v>
      </c>
      <c r="D464" s="23" t="s">
        <v>1133</v>
      </c>
      <c r="E464" s="24" t="s">
        <v>103</v>
      </c>
      <c r="F464" s="25" t="n">
        <f>207</f>
        <v>207.0</v>
      </c>
      <c r="G464" s="26" t="n">
        <f>9333624</f>
        <v>9333624.0</v>
      </c>
      <c r="H464" s="26"/>
      <c r="I464" s="26" t="n">
        <f>960063</f>
        <v>960063.0</v>
      </c>
      <c r="J464" s="26" t="n">
        <f>45090</f>
        <v>45090.0</v>
      </c>
      <c r="K464" s="26" t="n">
        <f>4638</f>
        <v>4638.0</v>
      </c>
      <c r="L464" s="4" t="s">
        <v>147</v>
      </c>
      <c r="M464" s="27" t="n">
        <f>123088</f>
        <v>123088.0</v>
      </c>
      <c r="N464" s="5" t="s">
        <v>524</v>
      </c>
      <c r="O464" s="28" t="n">
        <f>13142</f>
        <v>13142.0</v>
      </c>
      <c r="P464" s="3" t="s">
        <v>1199</v>
      </c>
      <c r="Q464" s="26"/>
      <c r="R464" s="3" t="s">
        <v>1200</v>
      </c>
      <c r="S464" s="26" t="n">
        <f>441413446</f>
        <v>4.41413446E8</v>
      </c>
      <c r="T464" s="26" t="n">
        <f>24682239</f>
        <v>2.4682239E7</v>
      </c>
      <c r="U464" s="5" t="s">
        <v>141</v>
      </c>
      <c r="V464" s="28" t="n">
        <f>1475397215</f>
        <v>1.475397215E9</v>
      </c>
      <c r="W464" s="5" t="s">
        <v>524</v>
      </c>
      <c r="X464" s="28" t="n">
        <f>135874680</f>
        <v>1.3587468E8</v>
      </c>
      <c r="Y464" s="28" t="n">
        <f>204780</f>
        <v>204780.0</v>
      </c>
      <c r="Z464" s="26" t="n">
        <f>872146</f>
        <v>872146.0</v>
      </c>
      <c r="AA464" s="26" t="n">
        <f>37785</f>
        <v>37785.0</v>
      </c>
      <c r="AB464" s="4" t="s">
        <v>147</v>
      </c>
      <c r="AC464" s="27" t="n">
        <f>110462</f>
        <v>110462.0</v>
      </c>
      <c r="AD464" s="5" t="s">
        <v>1196</v>
      </c>
      <c r="AE464" s="28" t="n">
        <f>4237</f>
        <v>4237.0</v>
      </c>
    </row>
    <row r="465">
      <c r="A465" s="20" t="s">
        <v>1201</v>
      </c>
      <c r="B465" s="21" t="s">
        <v>1202</v>
      </c>
      <c r="C465" s="22" t="s">
        <v>1124</v>
      </c>
      <c r="D465" s="23" t="s">
        <v>1125</v>
      </c>
      <c r="E465" s="24" t="s">
        <v>163</v>
      </c>
      <c r="F465" s="25" t="n">
        <f>108</f>
        <v>108.0</v>
      </c>
      <c r="G465" s="26" t="n">
        <f>3019068</f>
        <v>3019068.0</v>
      </c>
      <c r="H465" s="26"/>
      <c r="I465" s="26" t="str">
        <f>"－"</f>
        <v>－</v>
      </c>
      <c r="J465" s="26" t="n">
        <f>27954</f>
        <v>27954.0</v>
      </c>
      <c r="K465" s="26" t="str">
        <f>"－"</f>
        <v>－</v>
      </c>
      <c r="L465" s="4" t="s">
        <v>923</v>
      </c>
      <c r="M465" s="27" t="n">
        <f>2755029</f>
        <v>2755029.0</v>
      </c>
      <c r="N465" s="5" t="s">
        <v>179</v>
      </c>
      <c r="O465" s="28" t="n">
        <f>338</f>
        <v>338.0</v>
      </c>
      <c r="P465" s="3" t="s">
        <v>1203</v>
      </c>
      <c r="Q465" s="26"/>
      <c r="R465" s="3" t="s">
        <v>160</v>
      </c>
      <c r="S465" s="26" t="n">
        <f>2646659676</f>
        <v>2.646659676E9</v>
      </c>
      <c r="T465" s="26" t="str">
        <f>"－"</f>
        <v>－</v>
      </c>
      <c r="U465" s="5" t="s">
        <v>923</v>
      </c>
      <c r="V465" s="28" t="n">
        <f>202825860000</f>
        <v>2.0282586E11</v>
      </c>
      <c r="W465" s="5" t="s">
        <v>165</v>
      </c>
      <c r="X465" s="28" t="n">
        <f>54755000</f>
        <v>5.4755E7</v>
      </c>
      <c r="Y465" s="28" t="n">
        <f>4722</f>
        <v>4722.0</v>
      </c>
      <c r="Z465" s="26" t="str">
        <f>"－"</f>
        <v>－</v>
      </c>
      <c r="AA465" s="26" t="n">
        <f>334</f>
        <v>334.0</v>
      </c>
      <c r="AB465" s="4" t="s">
        <v>863</v>
      </c>
      <c r="AC465" s="27" t="n">
        <f>17647</f>
        <v>17647.0</v>
      </c>
      <c r="AD465" s="5" t="s">
        <v>182</v>
      </c>
      <c r="AE465" s="28" t="n">
        <f>271</f>
        <v>271.0</v>
      </c>
    </row>
    <row r="466">
      <c r="A466" s="20" t="s">
        <v>1201</v>
      </c>
      <c r="B466" s="21" t="s">
        <v>1202</v>
      </c>
      <c r="C466" s="22" t="s">
        <v>1128</v>
      </c>
      <c r="D466" s="23" t="s">
        <v>1129</v>
      </c>
      <c r="E466" s="24" t="s">
        <v>163</v>
      </c>
      <c r="F466" s="25" t="n">
        <f>108</f>
        <v>108.0</v>
      </c>
      <c r="G466" s="26" t="n">
        <f>2073160</f>
        <v>2073160.0</v>
      </c>
      <c r="H466" s="26"/>
      <c r="I466" s="26" t="str">
        <f>"－"</f>
        <v>－</v>
      </c>
      <c r="J466" s="26" t="n">
        <f>19196</f>
        <v>19196.0</v>
      </c>
      <c r="K466" s="26" t="str">
        <f>"－"</f>
        <v>－</v>
      </c>
      <c r="L466" s="4" t="s">
        <v>923</v>
      </c>
      <c r="M466" s="27" t="n">
        <f>1785136</f>
        <v>1785136.0</v>
      </c>
      <c r="N466" s="5" t="s">
        <v>179</v>
      </c>
      <c r="O466" s="28" t="n">
        <f>291</f>
        <v>291.0</v>
      </c>
      <c r="P466" s="3" t="s">
        <v>1204</v>
      </c>
      <c r="Q466" s="26"/>
      <c r="R466" s="3" t="s">
        <v>160</v>
      </c>
      <c r="S466" s="26" t="n">
        <f>5160650417</f>
        <v>5.160650417E9</v>
      </c>
      <c r="T466" s="26" t="str">
        <f>"－"</f>
        <v>－</v>
      </c>
      <c r="U466" s="5" t="s">
        <v>923</v>
      </c>
      <c r="V466" s="28" t="n">
        <f>465661720000</f>
        <v>4.6566172E11</v>
      </c>
      <c r="W466" s="5" t="s">
        <v>179</v>
      </c>
      <c r="X466" s="28" t="n">
        <f>21775000</f>
        <v>2.1775E7</v>
      </c>
      <c r="Y466" s="28" t="n">
        <f>2897</f>
        <v>2897.0</v>
      </c>
      <c r="Z466" s="26" t="str">
        <f>"－"</f>
        <v>－</v>
      </c>
      <c r="AA466" s="26" t="n">
        <f>521</f>
        <v>521.0</v>
      </c>
      <c r="AB466" s="4" t="s">
        <v>923</v>
      </c>
      <c r="AC466" s="27" t="n">
        <f>12633</f>
        <v>12633.0</v>
      </c>
      <c r="AD466" s="5" t="s">
        <v>85</v>
      </c>
      <c r="AE466" s="28" t="n">
        <f>63</f>
        <v>63.0</v>
      </c>
    </row>
    <row r="467">
      <c r="A467" s="20" t="s">
        <v>1201</v>
      </c>
      <c r="B467" s="21" t="s">
        <v>1202</v>
      </c>
      <c r="C467" s="22" t="s">
        <v>1132</v>
      </c>
      <c r="D467" s="23" t="s">
        <v>1133</v>
      </c>
      <c r="E467" s="24" t="s">
        <v>163</v>
      </c>
      <c r="F467" s="25" t="n">
        <f>108</f>
        <v>108.0</v>
      </c>
      <c r="G467" s="26" t="n">
        <f>5092228</f>
        <v>5092228.0</v>
      </c>
      <c r="H467" s="26"/>
      <c r="I467" s="26" t="str">
        <f>"－"</f>
        <v>－</v>
      </c>
      <c r="J467" s="26" t="n">
        <f>47150</f>
        <v>47150.0</v>
      </c>
      <c r="K467" s="26" t="str">
        <f>"－"</f>
        <v>－</v>
      </c>
      <c r="L467" s="4" t="s">
        <v>923</v>
      </c>
      <c r="M467" s="27" t="n">
        <f>4540165</f>
        <v>4540165.0</v>
      </c>
      <c r="N467" s="5" t="s">
        <v>179</v>
      </c>
      <c r="O467" s="28" t="n">
        <f>629</f>
        <v>629.0</v>
      </c>
      <c r="P467" s="3" t="s">
        <v>1205</v>
      </c>
      <c r="Q467" s="26"/>
      <c r="R467" s="3" t="s">
        <v>160</v>
      </c>
      <c r="S467" s="26" t="n">
        <f>7807310093</f>
        <v>7.807310093E9</v>
      </c>
      <c r="T467" s="26" t="str">
        <f>"－"</f>
        <v>－</v>
      </c>
      <c r="U467" s="5" t="s">
        <v>923</v>
      </c>
      <c r="V467" s="28" t="n">
        <f>668487580000</f>
        <v>6.6848758E11</v>
      </c>
      <c r="W467" s="5" t="s">
        <v>179</v>
      </c>
      <c r="X467" s="28" t="n">
        <f>93245000</f>
        <v>9.3245E7</v>
      </c>
      <c r="Y467" s="28" t="n">
        <f>7619</f>
        <v>7619.0</v>
      </c>
      <c r="Z467" s="26" t="str">
        <f>"－"</f>
        <v>－</v>
      </c>
      <c r="AA467" s="26" t="n">
        <f>855</f>
        <v>855.0</v>
      </c>
      <c r="AB467" s="4" t="s">
        <v>271</v>
      </c>
      <c r="AC467" s="27" t="n">
        <f>26724</f>
        <v>26724.0</v>
      </c>
      <c r="AD467" s="5" t="s">
        <v>115</v>
      </c>
      <c r="AE467" s="28" t="n">
        <f>354</f>
        <v>354.0</v>
      </c>
    </row>
    <row r="468">
      <c r="A468" s="20" t="s">
        <v>1201</v>
      </c>
      <c r="B468" s="21" t="s">
        <v>1202</v>
      </c>
      <c r="C468" s="22" t="s">
        <v>1124</v>
      </c>
      <c r="D468" s="23" t="s">
        <v>1125</v>
      </c>
      <c r="E468" s="24" t="s">
        <v>168</v>
      </c>
      <c r="F468" s="25" t="n">
        <f>245</f>
        <v>245.0</v>
      </c>
      <c r="G468" s="26" t="n">
        <f>86843</f>
        <v>86843.0</v>
      </c>
      <c r="H468" s="26"/>
      <c r="I468" s="26" t="str">
        <f>"－"</f>
        <v>－</v>
      </c>
      <c r="J468" s="26" t="n">
        <f>354</f>
        <v>354.0</v>
      </c>
      <c r="K468" s="26" t="str">
        <f>"－"</f>
        <v>－</v>
      </c>
      <c r="L468" s="4" t="s">
        <v>91</v>
      </c>
      <c r="M468" s="27" t="n">
        <f>8223</f>
        <v>8223.0</v>
      </c>
      <c r="N468" s="5" t="s">
        <v>1146</v>
      </c>
      <c r="O468" s="28" t="n">
        <f>12</f>
        <v>12.0</v>
      </c>
      <c r="P468" s="3" t="s">
        <v>1206</v>
      </c>
      <c r="Q468" s="26"/>
      <c r="R468" s="3" t="s">
        <v>160</v>
      </c>
      <c r="S468" s="26" t="n">
        <f>237037265</f>
        <v>2.37037265E8</v>
      </c>
      <c r="T468" s="26" t="str">
        <f>"－"</f>
        <v>－</v>
      </c>
      <c r="U468" s="5" t="s">
        <v>824</v>
      </c>
      <c r="V468" s="28" t="n">
        <f>6487475000</f>
        <v>6.487475E9</v>
      </c>
      <c r="W468" s="5" t="s">
        <v>1207</v>
      </c>
      <c r="X468" s="28" t="n">
        <f>2950000</f>
        <v>2950000.0</v>
      </c>
      <c r="Y468" s="28" t="n">
        <f>279</f>
        <v>279.0</v>
      </c>
      <c r="Z468" s="26" t="str">
        <f>"－"</f>
        <v>－</v>
      </c>
      <c r="AA468" s="26" t="n">
        <f>11</f>
        <v>11.0</v>
      </c>
      <c r="AB468" s="4" t="s">
        <v>982</v>
      </c>
      <c r="AC468" s="27" t="n">
        <f>872</f>
        <v>872.0</v>
      </c>
      <c r="AD468" s="5" t="s">
        <v>96</v>
      </c>
      <c r="AE468" s="28" t="str">
        <f>"－"</f>
        <v>－</v>
      </c>
    </row>
    <row r="469">
      <c r="A469" s="20" t="s">
        <v>1201</v>
      </c>
      <c r="B469" s="21" t="s">
        <v>1202</v>
      </c>
      <c r="C469" s="22" t="s">
        <v>1128</v>
      </c>
      <c r="D469" s="23" t="s">
        <v>1129</v>
      </c>
      <c r="E469" s="24" t="s">
        <v>168</v>
      </c>
      <c r="F469" s="25" t="n">
        <f>245</f>
        <v>245.0</v>
      </c>
      <c r="G469" s="26" t="n">
        <f>159818</f>
        <v>159818.0</v>
      </c>
      <c r="H469" s="26"/>
      <c r="I469" s="26" t="str">
        <f>"－"</f>
        <v>－</v>
      </c>
      <c r="J469" s="26" t="n">
        <f>652</f>
        <v>652.0</v>
      </c>
      <c r="K469" s="26" t="str">
        <f>"－"</f>
        <v>－</v>
      </c>
      <c r="L469" s="4" t="s">
        <v>91</v>
      </c>
      <c r="M469" s="27" t="n">
        <f>7166</f>
        <v>7166.0</v>
      </c>
      <c r="N469" s="5" t="s">
        <v>663</v>
      </c>
      <c r="O469" s="28" t="n">
        <f>50</f>
        <v>50.0</v>
      </c>
      <c r="P469" s="3" t="s">
        <v>1208</v>
      </c>
      <c r="Q469" s="26"/>
      <c r="R469" s="3" t="s">
        <v>160</v>
      </c>
      <c r="S469" s="26" t="n">
        <f>585688612</f>
        <v>5.85688612E8</v>
      </c>
      <c r="T469" s="26" t="str">
        <f>"－"</f>
        <v>－</v>
      </c>
      <c r="U469" s="5" t="s">
        <v>828</v>
      </c>
      <c r="V469" s="28" t="n">
        <f>12047835000</f>
        <v>1.2047835E10</v>
      </c>
      <c r="W469" s="5" t="s">
        <v>1209</v>
      </c>
      <c r="X469" s="28" t="n">
        <f>8725000</f>
        <v>8725000.0</v>
      </c>
      <c r="Y469" s="28" t="n">
        <f>428</f>
        <v>428.0</v>
      </c>
      <c r="Z469" s="26" t="str">
        <f>"－"</f>
        <v>－</v>
      </c>
      <c r="AA469" s="26" t="n">
        <f>997</f>
        <v>997.0</v>
      </c>
      <c r="AB469" s="4" t="s">
        <v>828</v>
      </c>
      <c r="AC469" s="27" t="n">
        <f>3557</f>
        <v>3557.0</v>
      </c>
      <c r="AD469" s="5" t="s">
        <v>668</v>
      </c>
      <c r="AE469" s="28" t="str">
        <f>"－"</f>
        <v>－</v>
      </c>
    </row>
    <row r="470">
      <c r="A470" s="20" t="s">
        <v>1201</v>
      </c>
      <c r="B470" s="21" t="s">
        <v>1202</v>
      </c>
      <c r="C470" s="22" t="s">
        <v>1132</v>
      </c>
      <c r="D470" s="23" t="s">
        <v>1133</v>
      </c>
      <c r="E470" s="24" t="s">
        <v>168</v>
      </c>
      <c r="F470" s="25" t="n">
        <f>245</f>
        <v>245.0</v>
      </c>
      <c r="G470" s="26" t="n">
        <f>246661</f>
        <v>246661.0</v>
      </c>
      <c r="H470" s="26"/>
      <c r="I470" s="26" t="str">
        <f>"－"</f>
        <v>－</v>
      </c>
      <c r="J470" s="26" t="n">
        <f>1007</f>
        <v>1007.0</v>
      </c>
      <c r="K470" s="26" t="str">
        <f>"－"</f>
        <v>－</v>
      </c>
      <c r="L470" s="4" t="s">
        <v>91</v>
      </c>
      <c r="M470" s="27" t="n">
        <f>15389</f>
        <v>15389.0</v>
      </c>
      <c r="N470" s="5" t="s">
        <v>663</v>
      </c>
      <c r="O470" s="28" t="n">
        <f>62</f>
        <v>62.0</v>
      </c>
      <c r="P470" s="3" t="s">
        <v>1210</v>
      </c>
      <c r="Q470" s="26"/>
      <c r="R470" s="3" t="s">
        <v>160</v>
      </c>
      <c r="S470" s="26" t="n">
        <f>822725878</f>
        <v>8.22725878E8</v>
      </c>
      <c r="T470" s="26" t="str">
        <f>"－"</f>
        <v>－</v>
      </c>
      <c r="U470" s="5" t="s">
        <v>828</v>
      </c>
      <c r="V470" s="28" t="n">
        <f>12434735000</f>
        <v>1.2434735E10</v>
      </c>
      <c r="W470" s="5" t="s">
        <v>663</v>
      </c>
      <c r="X470" s="28" t="n">
        <f>22650000</f>
        <v>2.265E7</v>
      </c>
      <c r="Y470" s="28" t="n">
        <f>707</f>
        <v>707.0</v>
      </c>
      <c r="Z470" s="26" t="str">
        <f>"－"</f>
        <v>－</v>
      </c>
      <c r="AA470" s="26" t="n">
        <f>1008</f>
        <v>1008.0</v>
      </c>
      <c r="AB470" s="4" t="s">
        <v>828</v>
      </c>
      <c r="AC470" s="27" t="n">
        <f>3920</f>
        <v>3920.0</v>
      </c>
      <c r="AD470" s="5" t="s">
        <v>96</v>
      </c>
      <c r="AE470" s="28" t="str">
        <f>"－"</f>
        <v>－</v>
      </c>
    </row>
    <row r="471">
      <c r="A471" s="20" t="s">
        <v>1201</v>
      </c>
      <c r="B471" s="21" t="s">
        <v>1202</v>
      </c>
      <c r="C471" s="22" t="s">
        <v>1124</v>
      </c>
      <c r="D471" s="23" t="s">
        <v>1125</v>
      </c>
      <c r="E471" s="24" t="s">
        <v>173</v>
      </c>
      <c r="F471" s="25" t="n">
        <f>247</f>
        <v>247.0</v>
      </c>
      <c r="G471" s="26" t="n">
        <f>26445</f>
        <v>26445.0</v>
      </c>
      <c r="H471" s="26"/>
      <c r="I471" s="26" t="str">
        <f>"－"</f>
        <v>－</v>
      </c>
      <c r="J471" s="26" t="n">
        <f>107</f>
        <v>107.0</v>
      </c>
      <c r="K471" s="26" t="str">
        <f>"－"</f>
        <v>－</v>
      </c>
      <c r="L471" s="4" t="s">
        <v>174</v>
      </c>
      <c r="M471" s="27" t="n">
        <f>890</f>
        <v>890.0</v>
      </c>
      <c r="N471" s="5" t="s">
        <v>668</v>
      </c>
      <c r="O471" s="28" t="n">
        <f>52</f>
        <v>52.0</v>
      </c>
      <c r="P471" s="3" t="s">
        <v>1211</v>
      </c>
      <c r="Q471" s="26"/>
      <c r="R471" s="3" t="s">
        <v>160</v>
      </c>
      <c r="S471" s="26" t="n">
        <f>24793603</f>
        <v>2.4793603E7</v>
      </c>
      <c r="T471" s="26" t="str">
        <f>"－"</f>
        <v>－</v>
      </c>
      <c r="U471" s="5" t="s">
        <v>277</v>
      </c>
      <c r="V471" s="28" t="n">
        <f>1358175000</f>
        <v>1.358175E9</v>
      </c>
      <c r="W471" s="5" t="s">
        <v>541</v>
      </c>
      <c r="X471" s="28" t="n">
        <f>1400000</f>
        <v>1400000.0</v>
      </c>
      <c r="Y471" s="28" t="n">
        <f>13</f>
        <v>13.0</v>
      </c>
      <c r="Z471" s="26" t="str">
        <f>"－"</f>
        <v>－</v>
      </c>
      <c r="AA471" s="26" t="n">
        <f>10</f>
        <v>10.0</v>
      </c>
      <c r="AB471" s="4" t="s">
        <v>277</v>
      </c>
      <c r="AC471" s="27" t="n">
        <f>281</f>
        <v>281.0</v>
      </c>
      <c r="AD471" s="5" t="s">
        <v>222</v>
      </c>
      <c r="AE471" s="28" t="n">
        <f>10</f>
        <v>10.0</v>
      </c>
    </row>
    <row r="472">
      <c r="A472" s="20" t="s">
        <v>1201</v>
      </c>
      <c r="B472" s="21" t="s">
        <v>1202</v>
      </c>
      <c r="C472" s="22" t="s">
        <v>1128</v>
      </c>
      <c r="D472" s="23" t="s">
        <v>1129</v>
      </c>
      <c r="E472" s="24" t="s">
        <v>173</v>
      </c>
      <c r="F472" s="25" t="n">
        <f>247</f>
        <v>247.0</v>
      </c>
      <c r="G472" s="26" t="n">
        <f>35619</f>
        <v>35619.0</v>
      </c>
      <c r="H472" s="26"/>
      <c r="I472" s="26" t="str">
        <f>"－"</f>
        <v>－</v>
      </c>
      <c r="J472" s="26" t="n">
        <f>144</f>
        <v>144.0</v>
      </c>
      <c r="K472" s="26" t="str">
        <f>"－"</f>
        <v>－</v>
      </c>
      <c r="L472" s="4" t="s">
        <v>127</v>
      </c>
      <c r="M472" s="27" t="n">
        <f>2260</f>
        <v>2260.0</v>
      </c>
      <c r="N472" s="5" t="s">
        <v>268</v>
      </c>
      <c r="O472" s="28" t="n">
        <f>66</f>
        <v>66.0</v>
      </c>
      <c r="P472" s="3" t="s">
        <v>1212</v>
      </c>
      <c r="Q472" s="26"/>
      <c r="R472" s="3" t="s">
        <v>160</v>
      </c>
      <c r="S472" s="26" t="n">
        <f>100812287</f>
        <v>1.00812287E8</v>
      </c>
      <c r="T472" s="26" t="str">
        <f>"－"</f>
        <v>－</v>
      </c>
      <c r="U472" s="5" t="s">
        <v>494</v>
      </c>
      <c r="V472" s="28" t="n">
        <f>3249370000</f>
        <v>3.24937E9</v>
      </c>
      <c r="W472" s="5" t="s">
        <v>1115</v>
      </c>
      <c r="X472" s="28" t="n">
        <f>6600000</f>
        <v>6600000.0</v>
      </c>
      <c r="Y472" s="28" t="n">
        <f>1341</f>
        <v>1341.0</v>
      </c>
      <c r="Z472" s="26" t="str">
        <f>"－"</f>
        <v>－</v>
      </c>
      <c r="AA472" s="26" t="n">
        <f>10</f>
        <v>10.0</v>
      </c>
      <c r="AB472" s="4" t="s">
        <v>174</v>
      </c>
      <c r="AC472" s="27" t="n">
        <f>1620</f>
        <v>1620.0</v>
      </c>
      <c r="AD472" s="5" t="s">
        <v>77</v>
      </c>
      <c r="AE472" s="28" t="n">
        <f>10</f>
        <v>10.0</v>
      </c>
    </row>
    <row r="473">
      <c r="A473" s="20" t="s">
        <v>1201</v>
      </c>
      <c r="B473" s="21" t="s">
        <v>1202</v>
      </c>
      <c r="C473" s="22" t="s">
        <v>1132</v>
      </c>
      <c r="D473" s="23" t="s">
        <v>1133</v>
      </c>
      <c r="E473" s="24" t="s">
        <v>173</v>
      </c>
      <c r="F473" s="25" t="n">
        <f>247</f>
        <v>247.0</v>
      </c>
      <c r="G473" s="26" t="n">
        <f>62064</f>
        <v>62064.0</v>
      </c>
      <c r="H473" s="26"/>
      <c r="I473" s="26" t="str">
        <f>"－"</f>
        <v>－</v>
      </c>
      <c r="J473" s="26" t="n">
        <f>251</f>
        <v>251.0</v>
      </c>
      <c r="K473" s="26" t="str">
        <f>"－"</f>
        <v>－</v>
      </c>
      <c r="L473" s="4" t="s">
        <v>127</v>
      </c>
      <c r="M473" s="27" t="n">
        <f>2744</f>
        <v>2744.0</v>
      </c>
      <c r="N473" s="5" t="s">
        <v>697</v>
      </c>
      <c r="O473" s="28" t="n">
        <f>144</f>
        <v>144.0</v>
      </c>
      <c r="P473" s="3" t="s">
        <v>1213</v>
      </c>
      <c r="Q473" s="26"/>
      <c r="R473" s="3" t="s">
        <v>160</v>
      </c>
      <c r="S473" s="26" t="n">
        <f>125605891</f>
        <v>1.25605891E8</v>
      </c>
      <c r="T473" s="26" t="str">
        <f>"－"</f>
        <v>－</v>
      </c>
      <c r="U473" s="5" t="s">
        <v>494</v>
      </c>
      <c r="V473" s="28" t="n">
        <f>3276020000</f>
        <v>3.27602E9</v>
      </c>
      <c r="W473" s="5" t="s">
        <v>697</v>
      </c>
      <c r="X473" s="28" t="n">
        <f>10050000</f>
        <v>1.005E7</v>
      </c>
      <c r="Y473" s="28" t="n">
        <f>1354</f>
        <v>1354.0</v>
      </c>
      <c r="Z473" s="26" t="str">
        <f>"－"</f>
        <v>－</v>
      </c>
      <c r="AA473" s="26" t="n">
        <f>20</f>
        <v>20.0</v>
      </c>
      <c r="AB473" s="4" t="s">
        <v>174</v>
      </c>
      <c r="AC473" s="27" t="n">
        <f>1680</f>
        <v>1680.0</v>
      </c>
      <c r="AD473" s="5" t="s">
        <v>77</v>
      </c>
      <c r="AE473" s="28" t="n">
        <f>20</f>
        <v>20.0</v>
      </c>
    </row>
    <row r="474">
      <c r="A474" s="20" t="s">
        <v>1201</v>
      </c>
      <c r="B474" s="21" t="s">
        <v>1202</v>
      </c>
      <c r="C474" s="22" t="s">
        <v>1124</v>
      </c>
      <c r="D474" s="23" t="s">
        <v>1125</v>
      </c>
      <c r="E474" s="24" t="s">
        <v>178</v>
      </c>
      <c r="F474" s="25" t="n">
        <f>249</f>
        <v>249.0</v>
      </c>
      <c r="G474" s="26" t="n">
        <f>23341</f>
        <v>23341.0</v>
      </c>
      <c r="H474" s="26"/>
      <c r="I474" s="26" t="str">
        <f>"－"</f>
        <v>－</v>
      </c>
      <c r="J474" s="26" t="n">
        <f>94</f>
        <v>94.0</v>
      </c>
      <c r="K474" s="26" t="str">
        <f>"－"</f>
        <v>－</v>
      </c>
      <c r="L474" s="4" t="s">
        <v>1214</v>
      </c>
      <c r="M474" s="27" t="n">
        <f>274</f>
        <v>274.0</v>
      </c>
      <c r="N474" s="5" t="s">
        <v>545</v>
      </c>
      <c r="O474" s="28" t="n">
        <f>72</f>
        <v>72.0</v>
      </c>
      <c r="P474" s="3" t="s">
        <v>1215</v>
      </c>
      <c r="Q474" s="26"/>
      <c r="R474" s="3" t="s">
        <v>160</v>
      </c>
      <c r="S474" s="26" t="n">
        <f>14433153</f>
        <v>1.4433153E7</v>
      </c>
      <c r="T474" s="26" t="str">
        <f>"－"</f>
        <v>－</v>
      </c>
      <c r="U474" s="5" t="s">
        <v>1214</v>
      </c>
      <c r="V474" s="28" t="n">
        <f>55030000</f>
        <v>5.503E7</v>
      </c>
      <c r="W474" s="5" t="s">
        <v>213</v>
      </c>
      <c r="X474" s="28" t="n">
        <f>2610000</f>
        <v>2610000.0</v>
      </c>
      <c r="Y474" s="28" t="str">
        <f>"－"</f>
        <v>－</v>
      </c>
      <c r="Z474" s="26" t="str">
        <f>"－"</f>
        <v>－</v>
      </c>
      <c r="AA474" s="26" t="n">
        <f>10</f>
        <v>10.0</v>
      </c>
      <c r="AB474" s="4" t="s">
        <v>1216</v>
      </c>
      <c r="AC474" s="27" t="n">
        <f>105</f>
        <v>105.0</v>
      </c>
      <c r="AD474" s="5" t="s">
        <v>389</v>
      </c>
      <c r="AE474" s="28" t="n">
        <f>10</f>
        <v>10.0</v>
      </c>
    </row>
    <row r="475">
      <c r="A475" s="20" t="s">
        <v>1201</v>
      </c>
      <c r="B475" s="21" t="s">
        <v>1202</v>
      </c>
      <c r="C475" s="22" t="s">
        <v>1128</v>
      </c>
      <c r="D475" s="23" t="s">
        <v>1129</v>
      </c>
      <c r="E475" s="24" t="s">
        <v>178</v>
      </c>
      <c r="F475" s="25" t="n">
        <f>249</f>
        <v>249.0</v>
      </c>
      <c r="G475" s="26" t="n">
        <f>23689</f>
        <v>23689.0</v>
      </c>
      <c r="H475" s="26"/>
      <c r="I475" s="26" t="str">
        <f>"－"</f>
        <v>－</v>
      </c>
      <c r="J475" s="26" t="n">
        <f>95</f>
        <v>95.0</v>
      </c>
      <c r="K475" s="26" t="str">
        <f>"－"</f>
        <v>－</v>
      </c>
      <c r="L475" s="4" t="s">
        <v>90</v>
      </c>
      <c r="M475" s="27" t="n">
        <f>192</f>
        <v>192.0</v>
      </c>
      <c r="N475" s="5" t="s">
        <v>389</v>
      </c>
      <c r="O475" s="28" t="n">
        <f>72</f>
        <v>72.0</v>
      </c>
      <c r="P475" s="3" t="s">
        <v>1217</v>
      </c>
      <c r="Q475" s="26"/>
      <c r="R475" s="3" t="s">
        <v>160</v>
      </c>
      <c r="S475" s="26" t="n">
        <f>17810582</f>
        <v>1.7810582E7</v>
      </c>
      <c r="T475" s="26" t="str">
        <f>"－"</f>
        <v>－</v>
      </c>
      <c r="U475" s="5" t="s">
        <v>828</v>
      </c>
      <c r="V475" s="28" t="n">
        <f>248750000</f>
        <v>2.4875E8</v>
      </c>
      <c r="W475" s="5" t="s">
        <v>389</v>
      </c>
      <c r="X475" s="28" t="n">
        <f>1560000</f>
        <v>1560000.0</v>
      </c>
      <c r="Y475" s="28" t="str">
        <f>"－"</f>
        <v>－</v>
      </c>
      <c r="Z475" s="26" t="str">
        <f>"－"</f>
        <v>－</v>
      </c>
      <c r="AA475" s="26" t="n">
        <f>110</f>
        <v>110.0</v>
      </c>
      <c r="AB475" s="4" t="s">
        <v>926</v>
      </c>
      <c r="AC475" s="27" t="n">
        <f>160</f>
        <v>160.0</v>
      </c>
      <c r="AD475" s="5" t="s">
        <v>389</v>
      </c>
      <c r="AE475" s="28" t="n">
        <f>10</f>
        <v>10.0</v>
      </c>
    </row>
    <row r="476">
      <c r="A476" s="20" t="s">
        <v>1201</v>
      </c>
      <c r="B476" s="21" t="s">
        <v>1202</v>
      </c>
      <c r="C476" s="22" t="s">
        <v>1132</v>
      </c>
      <c r="D476" s="23" t="s">
        <v>1133</v>
      </c>
      <c r="E476" s="24" t="s">
        <v>178</v>
      </c>
      <c r="F476" s="25" t="n">
        <f>249</f>
        <v>249.0</v>
      </c>
      <c r="G476" s="26" t="n">
        <f>47030</f>
        <v>47030.0</v>
      </c>
      <c r="H476" s="26"/>
      <c r="I476" s="26" t="str">
        <f>"－"</f>
        <v>－</v>
      </c>
      <c r="J476" s="26" t="n">
        <f>189</f>
        <v>189.0</v>
      </c>
      <c r="K476" s="26" t="str">
        <f>"－"</f>
        <v>－</v>
      </c>
      <c r="L476" s="4" t="s">
        <v>90</v>
      </c>
      <c r="M476" s="27" t="n">
        <f>384</f>
        <v>384.0</v>
      </c>
      <c r="N476" s="5" t="s">
        <v>431</v>
      </c>
      <c r="O476" s="28" t="n">
        <f>144</f>
        <v>144.0</v>
      </c>
      <c r="P476" s="3" t="s">
        <v>1218</v>
      </c>
      <c r="Q476" s="26"/>
      <c r="R476" s="3" t="s">
        <v>160</v>
      </c>
      <c r="S476" s="26" t="n">
        <f>32243735</f>
        <v>3.2243735E7</v>
      </c>
      <c r="T476" s="26" t="str">
        <f>"－"</f>
        <v>－</v>
      </c>
      <c r="U476" s="5" t="s">
        <v>828</v>
      </c>
      <c r="V476" s="28" t="n">
        <f>255325000</f>
        <v>2.55325E8</v>
      </c>
      <c r="W476" s="5" t="s">
        <v>179</v>
      </c>
      <c r="X476" s="28" t="n">
        <f>9250000</f>
        <v>9250000.0</v>
      </c>
      <c r="Y476" s="28" t="str">
        <f>"－"</f>
        <v>－</v>
      </c>
      <c r="Z476" s="26" t="str">
        <f>"－"</f>
        <v>－</v>
      </c>
      <c r="AA476" s="26" t="n">
        <f>120</f>
        <v>120.0</v>
      </c>
      <c r="AB476" s="4" t="s">
        <v>926</v>
      </c>
      <c r="AC476" s="27" t="n">
        <f>220</f>
        <v>220.0</v>
      </c>
      <c r="AD476" s="5" t="s">
        <v>389</v>
      </c>
      <c r="AE476" s="28" t="n">
        <f>20</f>
        <v>20.0</v>
      </c>
    </row>
    <row r="477">
      <c r="A477" s="20" t="s">
        <v>1201</v>
      </c>
      <c r="B477" s="21" t="s">
        <v>1202</v>
      </c>
      <c r="C477" s="22" t="s">
        <v>1124</v>
      </c>
      <c r="D477" s="23" t="s">
        <v>1125</v>
      </c>
      <c r="E477" s="24" t="s">
        <v>183</v>
      </c>
      <c r="F477" s="25" t="n">
        <f>246</f>
        <v>246.0</v>
      </c>
      <c r="G477" s="26" t="n">
        <f>15537</f>
        <v>15537.0</v>
      </c>
      <c r="H477" s="26"/>
      <c r="I477" s="26" t="str">
        <f>"－"</f>
        <v>－</v>
      </c>
      <c r="J477" s="26" t="n">
        <f>63</f>
        <v>63.0</v>
      </c>
      <c r="K477" s="26" t="str">
        <f>"－"</f>
        <v>－</v>
      </c>
      <c r="L477" s="4" t="s">
        <v>418</v>
      </c>
      <c r="M477" s="27" t="n">
        <f>180</f>
        <v>180.0</v>
      </c>
      <c r="N477" s="5" t="s">
        <v>926</v>
      </c>
      <c r="O477" s="28" t="n">
        <f>22</f>
        <v>22.0</v>
      </c>
      <c r="P477" s="3" t="s">
        <v>1219</v>
      </c>
      <c r="Q477" s="26"/>
      <c r="R477" s="3" t="s">
        <v>160</v>
      </c>
      <c r="S477" s="26" t="n">
        <f>12523984</f>
        <v>1.2523984E7</v>
      </c>
      <c r="T477" s="26" t="str">
        <f>"－"</f>
        <v>－</v>
      </c>
      <c r="U477" s="5" t="s">
        <v>358</v>
      </c>
      <c r="V477" s="28" t="n">
        <f>43450000</f>
        <v>4.345E7</v>
      </c>
      <c r="W477" s="5" t="s">
        <v>926</v>
      </c>
      <c r="X477" s="28" t="n">
        <f>1900000</f>
        <v>1900000.0</v>
      </c>
      <c r="Y477" s="28" t="n">
        <f>1</f>
        <v>1.0</v>
      </c>
      <c r="Z477" s="26" t="str">
        <f>"－"</f>
        <v>－</v>
      </c>
      <c r="AA477" s="26" t="n">
        <f>1</f>
        <v>1.0</v>
      </c>
      <c r="AB477" s="4" t="s">
        <v>1220</v>
      </c>
      <c r="AC477" s="27" t="n">
        <f>96</f>
        <v>96.0</v>
      </c>
      <c r="AD477" s="5" t="s">
        <v>886</v>
      </c>
      <c r="AE477" s="28" t="str">
        <f>"－"</f>
        <v>－</v>
      </c>
    </row>
    <row r="478">
      <c r="A478" s="20" t="s">
        <v>1201</v>
      </c>
      <c r="B478" s="21" t="s">
        <v>1202</v>
      </c>
      <c r="C478" s="22" t="s">
        <v>1128</v>
      </c>
      <c r="D478" s="23" t="s">
        <v>1129</v>
      </c>
      <c r="E478" s="24" t="s">
        <v>183</v>
      </c>
      <c r="F478" s="25" t="n">
        <f>246</f>
        <v>246.0</v>
      </c>
      <c r="G478" s="26" t="n">
        <f>16010</f>
        <v>16010.0</v>
      </c>
      <c r="H478" s="26"/>
      <c r="I478" s="26" t="str">
        <f>"－"</f>
        <v>－</v>
      </c>
      <c r="J478" s="26" t="n">
        <f>65</f>
        <v>65.0</v>
      </c>
      <c r="K478" s="26" t="str">
        <f>"－"</f>
        <v>－</v>
      </c>
      <c r="L478" s="4" t="s">
        <v>1209</v>
      </c>
      <c r="M478" s="27" t="n">
        <f>292</f>
        <v>292.0</v>
      </c>
      <c r="N478" s="5" t="s">
        <v>1216</v>
      </c>
      <c r="O478" s="28" t="n">
        <f>30</f>
        <v>30.0</v>
      </c>
      <c r="P478" s="3" t="s">
        <v>1221</v>
      </c>
      <c r="Q478" s="26"/>
      <c r="R478" s="3" t="s">
        <v>160</v>
      </c>
      <c r="S478" s="26" t="n">
        <f>17309004</f>
        <v>1.7309004E7</v>
      </c>
      <c r="T478" s="26" t="str">
        <f>"－"</f>
        <v>－</v>
      </c>
      <c r="U478" s="5" t="s">
        <v>389</v>
      </c>
      <c r="V478" s="28" t="n">
        <f>329390000</f>
        <v>3.2939E8</v>
      </c>
      <c r="W478" s="5" t="s">
        <v>209</v>
      </c>
      <c r="X478" s="28" t="n">
        <f>1590000</f>
        <v>1590000.0</v>
      </c>
      <c r="Y478" s="28" t="str">
        <f>"－"</f>
        <v>－</v>
      </c>
      <c r="Z478" s="26" t="str">
        <f>"－"</f>
        <v>－</v>
      </c>
      <c r="AA478" s="26" t="n">
        <f>1</f>
        <v>1.0</v>
      </c>
      <c r="AB478" s="4" t="s">
        <v>313</v>
      </c>
      <c r="AC478" s="27" t="n">
        <f>222</f>
        <v>222.0</v>
      </c>
      <c r="AD478" s="5" t="s">
        <v>128</v>
      </c>
      <c r="AE478" s="28" t="n">
        <f>1</f>
        <v>1.0</v>
      </c>
    </row>
    <row r="479">
      <c r="A479" s="20" t="s">
        <v>1201</v>
      </c>
      <c r="B479" s="21" t="s">
        <v>1202</v>
      </c>
      <c r="C479" s="22" t="s">
        <v>1132</v>
      </c>
      <c r="D479" s="23" t="s">
        <v>1133</v>
      </c>
      <c r="E479" s="24" t="s">
        <v>183</v>
      </c>
      <c r="F479" s="25" t="n">
        <f>246</f>
        <v>246.0</v>
      </c>
      <c r="G479" s="26" t="n">
        <f>31547</f>
        <v>31547.0</v>
      </c>
      <c r="H479" s="26"/>
      <c r="I479" s="26" t="str">
        <f>"－"</f>
        <v>－</v>
      </c>
      <c r="J479" s="26" t="n">
        <f>128</f>
        <v>128.0</v>
      </c>
      <c r="K479" s="26" t="str">
        <f>"－"</f>
        <v>－</v>
      </c>
      <c r="L479" s="4" t="s">
        <v>1209</v>
      </c>
      <c r="M479" s="27" t="n">
        <f>422</f>
        <v>422.0</v>
      </c>
      <c r="N479" s="5" t="s">
        <v>926</v>
      </c>
      <c r="O479" s="28" t="n">
        <f>58</f>
        <v>58.0</v>
      </c>
      <c r="P479" s="3" t="s">
        <v>1222</v>
      </c>
      <c r="Q479" s="26"/>
      <c r="R479" s="3" t="s">
        <v>160</v>
      </c>
      <c r="S479" s="26" t="n">
        <f>29832988</f>
        <v>2.9832988E7</v>
      </c>
      <c r="T479" s="26" t="str">
        <f>"－"</f>
        <v>－</v>
      </c>
      <c r="U479" s="5" t="s">
        <v>389</v>
      </c>
      <c r="V479" s="28" t="n">
        <f>334940000</f>
        <v>3.3494E8</v>
      </c>
      <c r="W479" s="5" t="s">
        <v>209</v>
      </c>
      <c r="X479" s="28" t="n">
        <f>6110000</f>
        <v>6110000.0</v>
      </c>
      <c r="Y479" s="28" t="n">
        <f>1</f>
        <v>1.0</v>
      </c>
      <c r="Z479" s="26" t="str">
        <f>"－"</f>
        <v>－</v>
      </c>
      <c r="AA479" s="26" t="n">
        <f>2</f>
        <v>2.0</v>
      </c>
      <c r="AB479" s="4" t="s">
        <v>313</v>
      </c>
      <c r="AC479" s="27" t="n">
        <f>282</f>
        <v>282.0</v>
      </c>
      <c r="AD479" s="5" t="s">
        <v>128</v>
      </c>
      <c r="AE479" s="28" t="n">
        <f>2</f>
        <v>2.0</v>
      </c>
    </row>
    <row r="480">
      <c r="A480" s="20" t="s">
        <v>1201</v>
      </c>
      <c r="B480" s="21" t="s">
        <v>1202</v>
      </c>
      <c r="C480" s="22" t="s">
        <v>1124</v>
      </c>
      <c r="D480" s="23" t="s">
        <v>1125</v>
      </c>
      <c r="E480" s="24" t="s">
        <v>187</v>
      </c>
      <c r="F480" s="25" t="n">
        <f>247</f>
        <v>247.0</v>
      </c>
      <c r="G480" s="26" t="n">
        <f>8412</f>
        <v>8412.0</v>
      </c>
      <c r="H480" s="26"/>
      <c r="I480" s="26" t="str">
        <f>"－"</f>
        <v>－</v>
      </c>
      <c r="J480" s="26" t="n">
        <f>34</f>
        <v>34.0</v>
      </c>
      <c r="K480" s="26" t="str">
        <f>"－"</f>
        <v>－</v>
      </c>
      <c r="L480" s="4" t="s">
        <v>58</v>
      </c>
      <c r="M480" s="27" t="n">
        <f>633</f>
        <v>633.0</v>
      </c>
      <c r="N480" s="5" t="s">
        <v>54</v>
      </c>
      <c r="O480" s="28" t="n">
        <f>12</f>
        <v>12.0</v>
      </c>
      <c r="P480" s="3" t="s">
        <v>1223</v>
      </c>
      <c r="Q480" s="26"/>
      <c r="R480" s="3" t="s">
        <v>160</v>
      </c>
      <c r="S480" s="26" t="n">
        <f>7111134</f>
        <v>7111134.0</v>
      </c>
      <c r="T480" s="26" t="str">
        <f>"－"</f>
        <v>－</v>
      </c>
      <c r="U480" s="5" t="s">
        <v>167</v>
      </c>
      <c r="V480" s="28" t="n">
        <f>319650000</f>
        <v>3.1965E8</v>
      </c>
      <c r="W480" s="5" t="s">
        <v>179</v>
      </c>
      <c r="X480" s="28" t="n">
        <f>210000</f>
        <v>210000.0</v>
      </c>
      <c r="Y480" s="28" t="n">
        <f>1211</f>
        <v>1211.0</v>
      </c>
      <c r="Z480" s="26" t="str">
        <f>"－"</f>
        <v>－</v>
      </c>
      <c r="AA480" s="26" t="n">
        <f>10</f>
        <v>10.0</v>
      </c>
      <c r="AB480" s="4" t="s">
        <v>1224</v>
      </c>
      <c r="AC480" s="27" t="n">
        <f>1232</f>
        <v>1232.0</v>
      </c>
      <c r="AD480" s="5" t="s">
        <v>455</v>
      </c>
      <c r="AE480" s="28" t="n">
        <f>1</f>
        <v>1.0</v>
      </c>
    </row>
    <row r="481">
      <c r="A481" s="20" t="s">
        <v>1201</v>
      </c>
      <c r="B481" s="21" t="s">
        <v>1202</v>
      </c>
      <c r="C481" s="22" t="s">
        <v>1128</v>
      </c>
      <c r="D481" s="23" t="s">
        <v>1129</v>
      </c>
      <c r="E481" s="24" t="s">
        <v>187</v>
      </c>
      <c r="F481" s="25" t="n">
        <f>247</f>
        <v>247.0</v>
      </c>
      <c r="G481" s="26" t="n">
        <f>10390</f>
        <v>10390.0</v>
      </c>
      <c r="H481" s="26"/>
      <c r="I481" s="26" t="str">
        <f>"－"</f>
        <v>－</v>
      </c>
      <c r="J481" s="26" t="n">
        <f>42</f>
        <v>42.0</v>
      </c>
      <c r="K481" s="26" t="str">
        <f>"－"</f>
        <v>－</v>
      </c>
      <c r="L481" s="4" t="s">
        <v>58</v>
      </c>
      <c r="M481" s="27" t="n">
        <f>634</f>
        <v>634.0</v>
      </c>
      <c r="N481" s="5" t="s">
        <v>54</v>
      </c>
      <c r="O481" s="28" t="n">
        <f>12</f>
        <v>12.0</v>
      </c>
      <c r="P481" s="3" t="s">
        <v>1225</v>
      </c>
      <c r="Q481" s="26"/>
      <c r="R481" s="3" t="s">
        <v>160</v>
      </c>
      <c r="S481" s="26" t="n">
        <f>5830000</f>
        <v>5830000.0</v>
      </c>
      <c r="T481" s="26" t="str">
        <f>"－"</f>
        <v>－</v>
      </c>
      <c r="U481" s="5" t="s">
        <v>58</v>
      </c>
      <c r="V481" s="28" t="n">
        <f>131030000</f>
        <v>1.3103E8</v>
      </c>
      <c r="W481" s="5" t="s">
        <v>380</v>
      </c>
      <c r="X481" s="28" t="n">
        <f>200000</f>
        <v>200000.0</v>
      </c>
      <c r="Y481" s="28" t="n">
        <f>6</f>
        <v>6.0</v>
      </c>
      <c r="Z481" s="26" t="str">
        <f>"－"</f>
        <v>－</v>
      </c>
      <c r="AA481" s="26" t="n">
        <f>10</f>
        <v>10.0</v>
      </c>
      <c r="AB481" s="4" t="s">
        <v>58</v>
      </c>
      <c r="AC481" s="27" t="n">
        <f>693</f>
        <v>693.0</v>
      </c>
      <c r="AD481" s="5" t="s">
        <v>455</v>
      </c>
      <c r="AE481" s="28" t="n">
        <f>1</f>
        <v>1.0</v>
      </c>
    </row>
    <row r="482">
      <c r="A482" s="20" t="s">
        <v>1201</v>
      </c>
      <c r="B482" s="21" t="s">
        <v>1202</v>
      </c>
      <c r="C482" s="22" t="s">
        <v>1132</v>
      </c>
      <c r="D482" s="23" t="s">
        <v>1133</v>
      </c>
      <c r="E482" s="24" t="s">
        <v>187</v>
      </c>
      <c r="F482" s="25" t="n">
        <f>247</f>
        <v>247.0</v>
      </c>
      <c r="G482" s="26" t="n">
        <f>18802</f>
        <v>18802.0</v>
      </c>
      <c r="H482" s="26"/>
      <c r="I482" s="26" t="str">
        <f>"－"</f>
        <v>－</v>
      </c>
      <c r="J482" s="26" t="n">
        <f>76</f>
        <v>76.0</v>
      </c>
      <c r="K482" s="26" t="str">
        <f>"－"</f>
        <v>－</v>
      </c>
      <c r="L482" s="4" t="s">
        <v>58</v>
      </c>
      <c r="M482" s="27" t="n">
        <f>1267</f>
        <v>1267.0</v>
      </c>
      <c r="N482" s="5" t="s">
        <v>54</v>
      </c>
      <c r="O482" s="28" t="n">
        <f>24</f>
        <v>24.0</v>
      </c>
      <c r="P482" s="3" t="s">
        <v>1226</v>
      </c>
      <c r="Q482" s="26"/>
      <c r="R482" s="3" t="s">
        <v>160</v>
      </c>
      <c r="S482" s="26" t="n">
        <f>12941134</f>
        <v>1.2941134E7</v>
      </c>
      <c r="T482" s="26" t="str">
        <f>"－"</f>
        <v>－</v>
      </c>
      <c r="U482" s="5" t="s">
        <v>58</v>
      </c>
      <c r="V482" s="28" t="n">
        <f>358510000</f>
        <v>3.5851E8</v>
      </c>
      <c r="W482" s="5" t="s">
        <v>179</v>
      </c>
      <c r="X482" s="28" t="n">
        <f>610000</f>
        <v>610000.0</v>
      </c>
      <c r="Y482" s="28" t="n">
        <f>1217</f>
        <v>1217.0</v>
      </c>
      <c r="Z482" s="26" t="str">
        <f>"－"</f>
        <v>－</v>
      </c>
      <c r="AA482" s="26" t="n">
        <f>20</f>
        <v>20.0</v>
      </c>
      <c r="AB482" s="4" t="s">
        <v>58</v>
      </c>
      <c r="AC482" s="27" t="n">
        <f>1315</f>
        <v>1315.0</v>
      </c>
      <c r="AD482" s="5" t="s">
        <v>455</v>
      </c>
      <c r="AE482" s="28" t="n">
        <f>2</f>
        <v>2.0</v>
      </c>
    </row>
    <row r="483">
      <c r="A483" s="20" t="s">
        <v>1201</v>
      </c>
      <c r="B483" s="21" t="s">
        <v>1202</v>
      </c>
      <c r="C483" s="22" t="s">
        <v>1124</v>
      </c>
      <c r="D483" s="23" t="s">
        <v>1125</v>
      </c>
      <c r="E483" s="24" t="s">
        <v>190</v>
      </c>
      <c r="F483" s="25" t="n">
        <f>247</f>
        <v>247.0</v>
      </c>
      <c r="G483" s="26" t="n">
        <f>6100</f>
        <v>6100.0</v>
      </c>
      <c r="H483" s="26"/>
      <c r="I483" s="26" t="str">
        <f>"－"</f>
        <v>－</v>
      </c>
      <c r="J483" s="26" t="n">
        <f>25</f>
        <v>25.0</v>
      </c>
      <c r="K483" s="26" t="str">
        <f>"－"</f>
        <v>－</v>
      </c>
      <c r="L483" s="4" t="s">
        <v>226</v>
      </c>
      <c r="M483" s="27" t="n">
        <f>42</f>
        <v>42.0</v>
      </c>
      <c r="N483" s="5" t="s">
        <v>455</v>
      </c>
      <c r="O483" s="28" t="n">
        <f>21</f>
        <v>21.0</v>
      </c>
      <c r="P483" s="3" t="s">
        <v>1227</v>
      </c>
      <c r="Q483" s="26"/>
      <c r="R483" s="3" t="s">
        <v>160</v>
      </c>
      <c r="S483" s="26" t="n">
        <f>6171154</f>
        <v>6171154.0</v>
      </c>
      <c r="T483" s="26" t="str">
        <f>"－"</f>
        <v>－</v>
      </c>
      <c r="U483" s="5" t="s">
        <v>234</v>
      </c>
      <c r="V483" s="28" t="n">
        <f>15320000</f>
        <v>1.532E7</v>
      </c>
      <c r="W483" s="5" t="s">
        <v>331</v>
      </c>
      <c r="X483" s="28" t="n">
        <f>730000</f>
        <v>730000.0</v>
      </c>
      <c r="Y483" s="28" t="str">
        <f>"－"</f>
        <v>－</v>
      </c>
      <c r="Z483" s="26" t="str">
        <f>"－"</f>
        <v>－</v>
      </c>
      <c r="AA483" s="26" t="n">
        <f>10</f>
        <v>10.0</v>
      </c>
      <c r="AB483" s="4" t="s">
        <v>179</v>
      </c>
      <c r="AC483" s="27" t="n">
        <f>22</f>
        <v>22.0</v>
      </c>
      <c r="AD483" s="5" t="s">
        <v>403</v>
      </c>
      <c r="AE483" s="28" t="n">
        <f>1</f>
        <v>1.0</v>
      </c>
    </row>
    <row r="484">
      <c r="A484" s="20" t="s">
        <v>1201</v>
      </c>
      <c r="B484" s="21" t="s">
        <v>1202</v>
      </c>
      <c r="C484" s="22" t="s">
        <v>1128</v>
      </c>
      <c r="D484" s="23" t="s">
        <v>1129</v>
      </c>
      <c r="E484" s="24" t="s">
        <v>190</v>
      </c>
      <c r="F484" s="25" t="n">
        <f>247</f>
        <v>247.0</v>
      </c>
      <c r="G484" s="26" t="n">
        <f>10912</f>
        <v>10912.0</v>
      </c>
      <c r="H484" s="26"/>
      <c r="I484" s="26" t="str">
        <f>"－"</f>
        <v>－</v>
      </c>
      <c r="J484" s="26" t="n">
        <f>44</f>
        <v>44.0</v>
      </c>
      <c r="K484" s="26" t="str">
        <f>"－"</f>
        <v>－</v>
      </c>
      <c r="L484" s="4" t="s">
        <v>826</v>
      </c>
      <c r="M484" s="27" t="n">
        <f>4388</f>
        <v>4388.0</v>
      </c>
      <c r="N484" s="5" t="s">
        <v>668</v>
      </c>
      <c r="O484" s="28" t="n">
        <f>21</f>
        <v>21.0</v>
      </c>
      <c r="P484" s="3" t="s">
        <v>1228</v>
      </c>
      <c r="Q484" s="26"/>
      <c r="R484" s="3" t="s">
        <v>160</v>
      </c>
      <c r="S484" s="26" t="n">
        <f>30796599</f>
        <v>3.0796599E7</v>
      </c>
      <c r="T484" s="26" t="str">
        <f>"－"</f>
        <v>－</v>
      </c>
      <c r="U484" s="5" t="s">
        <v>826</v>
      </c>
      <c r="V484" s="28" t="n">
        <f>5689780000</f>
        <v>5.68978E9</v>
      </c>
      <c r="W484" s="5" t="s">
        <v>148</v>
      </c>
      <c r="X484" s="28" t="n">
        <f>530000</f>
        <v>530000.0</v>
      </c>
      <c r="Y484" s="28" t="n">
        <f>4788</f>
        <v>4788.0</v>
      </c>
      <c r="Z484" s="26" t="str">
        <f>"－"</f>
        <v>－</v>
      </c>
      <c r="AA484" s="26" t="n">
        <f>10</f>
        <v>10.0</v>
      </c>
      <c r="AB484" s="4" t="s">
        <v>733</v>
      </c>
      <c r="AC484" s="27" t="n">
        <f>24</f>
        <v>24.0</v>
      </c>
      <c r="AD484" s="5" t="s">
        <v>403</v>
      </c>
      <c r="AE484" s="28" t="n">
        <f>1</f>
        <v>1.0</v>
      </c>
    </row>
    <row r="485">
      <c r="A485" s="20" t="s">
        <v>1201</v>
      </c>
      <c r="B485" s="21" t="s">
        <v>1202</v>
      </c>
      <c r="C485" s="22" t="s">
        <v>1132</v>
      </c>
      <c r="D485" s="23" t="s">
        <v>1133</v>
      </c>
      <c r="E485" s="24" t="s">
        <v>190</v>
      </c>
      <c r="F485" s="25" t="n">
        <f>247</f>
        <v>247.0</v>
      </c>
      <c r="G485" s="26" t="n">
        <f>17012</f>
        <v>17012.0</v>
      </c>
      <c r="H485" s="26"/>
      <c r="I485" s="26" t="str">
        <f>"－"</f>
        <v>－</v>
      </c>
      <c r="J485" s="26" t="n">
        <f>69</f>
        <v>69.0</v>
      </c>
      <c r="K485" s="26" t="str">
        <f>"－"</f>
        <v>－</v>
      </c>
      <c r="L485" s="4" t="s">
        <v>826</v>
      </c>
      <c r="M485" s="27" t="n">
        <f>4410</f>
        <v>4410.0</v>
      </c>
      <c r="N485" s="5" t="s">
        <v>668</v>
      </c>
      <c r="O485" s="28" t="n">
        <f>42</f>
        <v>42.0</v>
      </c>
      <c r="P485" s="3" t="s">
        <v>1229</v>
      </c>
      <c r="Q485" s="26"/>
      <c r="R485" s="3" t="s">
        <v>160</v>
      </c>
      <c r="S485" s="26" t="n">
        <f>36967753</f>
        <v>3.6967753E7</v>
      </c>
      <c r="T485" s="26" t="str">
        <f>"－"</f>
        <v>－</v>
      </c>
      <c r="U485" s="5" t="s">
        <v>826</v>
      </c>
      <c r="V485" s="28" t="n">
        <f>5696650000</f>
        <v>5.69665E9</v>
      </c>
      <c r="W485" s="5" t="s">
        <v>331</v>
      </c>
      <c r="X485" s="28" t="n">
        <f>5890000</f>
        <v>5890000.0</v>
      </c>
      <c r="Y485" s="28" t="n">
        <f>4788</f>
        <v>4788.0</v>
      </c>
      <c r="Z485" s="26" t="str">
        <f>"－"</f>
        <v>－</v>
      </c>
      <c r="AA485" s="26" t="n">
        <f>20</f>
        <v>20.0</v>
      </c>
      <c r="AB485" s="4" t="s">
        <v>733</v>
      </c>
      <c r="AC485" s="27" t="n">
        <f>45</f>
        <v>45.0</v>
      </c>
      <c r="AD485" s="5" t="s">
        <v>403</v>
      </c>
      <c r="AE485" s="28" t="n">
        <f>2</f>
        <v>2.0</v>
      </c>
    </row>
    <row r="486">
      <c r="A486" s="20" t="s">
        <v>1201</v>
      </c>
      <c r="B486" s="21" t="s">
        <v>1202</v>
      </c>
      <c r="C486" s="22" t="s">
        <v>1124</v>
      </c>
      <c r="D486" s="23" t="s">
        <v>1125</v>
      </c>
      <c r="E486" s="24" t="s">
        <v>194</v>
      </c>
      <c r="F486" s="25" t="n">
        <f>246</f>
        <v>246.0</v>
      </c>
      <c r="G486" s="26" t="n">
        <f>6414</f>
        <v>6414.0</v>
      </c>
      <c r="H486" s="26"/>
      <c r="I486" s="26" t="str">
        <f>"－"</f>
        <v>－</v>
      </c>
      <c r="J486" s="26" t="n">
        <f>26</f>
        <v>26.0</v>
      </c>
      <c r="K486" s="26" t="str">
        <f>"－"</f>
        <v>－</v>
      </c>
      <c r="L486" s="4" t="s">
        <v>119</v>
      </c>
      <c r="M486" s="27" t="n">
        <f>40</f>
        <v>40.0</v>
      </c>
      <c r="N486" s="5" t="s">
        <v>455</v>
      </c>
      <c r="O486" s="28" t="n">
        <f>25</f>
        <v>25.0</v>
      </c>
      <c r="P486" s="3" t="s">
        <v>1230</v>
      </c>
      <c r="Q486" s="26"/>
      <c r="R486" s="3" t="s">
        <v>160</v>
      </c>
      <c r="S486" s="26" t="n">
        <f>6053618</f>
        <v>6053618.0</v>
      </c>
      <c r="T486" s="26" t="str">
        <f>"－"</f>
        <v>－</v>
      </c>
      <c r="U486" s="5" t="s">
        <v>119</v>
      </c>
      <c r="V486" s="28" t="n">
        <f>37800000</f>
        <v>3.78E7</v>
      </c>
      <c r="W486" s="5" t="s">
        <v>957</v>
      </c>
      <c r="X486" s="28" t="n">
        <f>1075000</f>
        <v>1075000.0</v>
      </c>
      <c r="Y486" s="28" t="str">
        <f>"－"</f>
        <v>－</v>
      </c>
      <c r="Z486" s="26" t="str">
        <f>"－"</f>
        <v>－</v>
      </c>
      <c r="AA486" s="26" t="str">
        <f>"－"</f>
        <v>－</v>
      </c>
      <c r="AB486" s="4" t="s">
        <v>1231</v>
      </c>
      <c r="AC486" s="27" t="n">
        <f>30</f>
        <v>30.0</v>
      </c>
      <c r="AD486" s="5" t="s">
        <v>889</v>
      </c>
      <c r="AE486" s="28" t="str">
        <f>"－"</f>
        <v>－</v>
      </c>
    </row>
    <row r="487">
      <c r="A487" s="20" t="s">
        <v>1201</v>
      </c>
      <c r="B487" s="21" t="s">
        <v>1202</v>
      </c>
      <c r="C487" s="22" t="s">
        <v>1128</v>
      </c>
      <c r="D487" s="23" t="s">
        <v>1129</v>
      </c>
      <c r="E487" s="24" t="s">
        <v>194</v>
      </c>
      <c r="F487" s="25" t="n">
        <f>246</f>
        <v>246.0</v>
      </c>
      <c r="G487" s="26" t="n">
        <f>6568</f>
        <v>6568.0</v>
      </c>
      <c r="H487" s="26"/>
      <c r="I487" s="26" t="str">
        <f>"－"</f>
        <v>－</v>
      </c>
      <c r="J487" s="26" t="n">
        <f>27</f>
        <v>27.0</v>
      </c>
      <c r="K487" s="26" t="str">
        <f>"－"</f>
        <v>－</v>
      </c>
      <c r="L487" s="4" t="s">
        <v>71</v>
      </c>
      <c r="M487" s="27" t="n">
        <f>104</f>
        <v>104.0</v>
      </c>
      <c r="N487" s="5" t="s">
        <v>455</v>
      </c>
      <c r="O487" s="28" t="n">
        <f>25</f>
        <v>25.0</v>
      </c>
      <c r="P487" s="3" t="s">
        <v>1232</v>
      </c>
      <c r="Q487" s="26"/>
      <c r="R487" s="3" t="s">
        <v>160</v>
      </c>
      <c r="S487" s="26" t="n">
        <f>6316707</f>
        <v>6316707.0</v>
      </c>
      <c r="T487" s="26" t="str">
        <f>"－"</f>
        <v>－</v>
      </c>
      <c r="U487" s="5" t="s">
        <v>1233</v>
      </c>
      <c r="V487" s="28" t="n">
        <f>54040000</f>
        <v>5.404E7</v>
      </c>
      <c r="W487" s="5" t="s">
        <v>1234</v>
      </c>
      <c r="X487" s="28" t="n">
        <f>1350000</f>
        <v>1350000.0</v>
      </c>
      <c r="Y487" s="28" t="str">
        <f>"－"</f>
        <v>－</v>
      </c>
      <c r="Z487" s="26" t="str">
        <f>"－"</f>
        <v>－</v>
      </c>
      <c r="AA487" s="26" t="str">
        <f>"－"</f>
        <v>－</v>
      </c>
      <c r="AB487" s="4" t="s">
        <v>1233</v>
      </c>
      <c r="AC487" s="27" t="n">
        <f>92</f>
        <v>92.0</v>
      </c>
      <c r="AD487" s="5" t="s">
        <v>889</v>
      </c>
      <c r="AE487" s="28" t="str">
        <f>"－"</f>
        <v>－</v>
      </c>
    </row>
    <row r="488">
      <c r="A488" s="20" t="s">
        <v>1201</v>
      </c>
      <c r="B488" s="21" t="s">
        <v>1202</v>
      </c>
      <c r="C488" s="22" t="s">
        <v>1132</v>
      </c>
      <c r="D488" s="23" t="s">
        <v>1133</v>
      </c>
      <c r="E488" s="24" t="s">
        <v>194</v>
      </c>
      <c r="F488" s="25" t="n">
        <f>246</f>
        <v>246.0</v>
      </c>
      <c r="G488" s="26" t="n">
        <f>12982</f>
        <v>12982.0</v>
      </c>
      <c r="H488" s="26"/>
      <c r="I488" s="26" t="str">
        <f>"－"</f>
        <v>－</v>
      </c>
      <c r="J488" s="26" t="n">
        <f>53</f>
        <v>53.0</v>
      </c>
      <c r="K488" s="26" t="str">
        <f>"－"</f>
        <v>－</v>
      </c>
      <c r="L488" s="4" t="s">
        <v>71</v>
      </c>
      <c r="M488" s="27" t="n">
        <f>131</f>
        <v>131.0</v>
      </c>
      <c r="N488" s="5" t="s">
        <v>455</v>
      </c>
      <c r="O488" s="28" t="n">
        <f>50</f>
        <v>50.0</v>
      </c>
      <c r="P488" s="3" t="s">
        <v>1235</v>
      </c>
      <c r="Q488" s="26"/>
      <c r="R488" s="3" t="s">
        <v>160</v>
      </c>
      <c r="S488" s="26" t="n">
        <f>12370325</f>
        <v>1.2370325E7</v>
      </c>
      <c r="T488" s="26" t="str">
        <f>"－"</f>
        <v>－</v>
      </c>
      <c r="U488" s="5" t="s">
        <v>1233</v>
      </c>
      <c r="V488" s="28" t="n">
        <f>64740000</f>
        <v>6.474E7</v>
      </c>
      <c r="W488" s="5" t="s">
        <v>648</v>
      </c>
      <c r="X488" s="28" t="n">
        <f>4950000</f>
        <v>4950000.0</v>
      </c>
      <c r="Y488" s="28" t="str">
        <f>"－"</f>
        <v>－</v>
      </c>
      <c r="Z488" s="26" t="str">
        <f>"－"</f>
        <v>－</v>
      </c>
      <c r="AA488" s="26" t="str">
        <f>"－"</f>
        <v>－</v>
      </c>
      <c r="AB488" s="4" t="s">
        <v>1233</v>
      </c>
      <c r="AC488" s="27" t="n">
        <f>107</f>
        <v>107.0</v>
      </c>
      <c r="AD488" s="5" t="s">
        <v>889</v>
      </c>
      <c r="AE488" s="28" t="str">
        <f>"－"</f>
        <v>－</v>
      </c>
    </row>
    <row r="489">
      <c r="A489" s="20" t="s">
        <v>1201</v>
      </c>
      <c r="B489" s="21" t="s">
        <v>1202</v>
      </c>
      <c r="C489" s="22" t="s">
        <v>1124</v>
      </c>
      <c r="D489" s="23" t="s">
        <v>1125</v>
      </c>
      <c r="E489" s="24" t="s">
        <v>199</v>
      </c>
      <c r="F489" s="25" t="n">
        <f>247</f>
        <v>247.0</v>
      </c>
      <c r="G489" s="26" t="n">
        <f>3214</f>
        <v>3214.0</v>
      </c>
      <c r="H489" s="26"/>
      <c r="I489" s="26" t="str">
        <f>"－"</f>
        <v>－</v>
      </c>
      <c r="J489" s="26" t="n">
        <f>13</f>
        <v>13.0</v>
      </c>
      <c r="K489" s="26" t="str">
        <f>"－"</f>
        <v>－</v>
      </c>
      <c r="L489" s="4" t="s">
        <v>517</v>
      </c>
      <c r="M489" s="27" t="n">
        <f>35</f>
        <v>35.0</v>
      </c>
      <c r="N489" s="5" t="s">
        <v>828</v>
      </c>
      <c r="O489" s="28" t="str">
        <f>"－"</f>
        <v>－</v>
      </c>
      <c r="P489" s="3" t="s">
        <v>1236</v>
      </c>
      <c r="Q489" s="26"/>
      <c r="R489" s="3" t="s">
        <v>160</v>
      </c>
      <c r="S489" s="26" t="n">
        <f>3547024</f>
        <v>3547024.0</v>
      </c>
      <c r="T489" s="26" t="str">
        <f>"－"</f>
        <v>－</v>
      </c>
      <c r="U489" s="5" t="s">
        <v>648</v>
      </c>
      <c r="V489" s="28" t="n">
        <f>11350000</f>
        <v>1.135E7</v>
      </c>
      <c r="W489" s="5" t="s">
        <v>828</v>
      </c>
      <c r="X489" s="28" t="str">
        <f>"－"</f>
        <v>－</v>
      </c>
      <c r="Y489" s="28" t="n">
        <f>37</f>
        <v>37.0</v>
      </c>
      <c r="Z489" s="26" t="str">
        <f>"－"</f>
        <v>－</v>
      </c>
      <c r="AA489" s="26" t="str">
        <f>"－"</f>
        <v>－</v>
      </c>
      <c r="AB489" s="4" t="s">
        <v>184</v>
      </c>
      <c r="AC489" s="27" t="n">
        <f>60</f>
        <v>60.0</v>
      </c>
      <c r="AD489" s="5" t="s">
        <v>389</v>
      </c>
      <c r="AE489" s="28" t="str">
        <f>"－"</f>
        <v>－</v>
      </c>
    </row>
    <row r="490">
      <c r="A490" s="20" t="s">
        <v>1201</v>
      </c>
      <c r="B490" s="21" t="s">
        <v>1202</v>
      </c>
      <c r="C490" s="22" t="s">
        <v>1128</v>
      </c>
      <c r="D490" s="23" t="s">
        <v>1129</v>
      </c>
      <c r="E490" s="24" t="s">
        <v>199</v>
      </c>
      <c r="F490" s="25" t="n">
        <f>247</f>
        <v>247.0</v>
      </c>
      <c r="G490" s="26" t="n">
        <f>3206</f>
        <v>3206.0</v>
      </c>
      <c r="H490" s="26"/>
      <c r="I490" s="26" t="str">
        <f>"－"</f>
        <v>－</v>
      </c>
      <c r="J490" s="26" t="n">
        <f>13</f>
        <v>13.0</v>
      </c>
      <c r="K490" s="26" t="str">
        <f>"－"</f>
        <v>－</v>
      </c>
      <c r="L490" s="4" t="s">
        <v>517</v>
      </c>
      <c r="M490" s="27" t="n">
        <f>35</f>
        <v>35.0</v>
      </c>
      <c r="N490" s="5" t="s">
        <v>828</v>
      </c>
      <c r="O490" s="28" t="str">
        <f>"－"</f>
        <v>－</v>
      </c>
      <c r="P490" s="3" t="s">
        <v>1237</v>
      </c>
      <c r="Q490" s="26"/>
      <c r="R490" s="3" t="s">
        <v>160</v>
      </c>
      <c r="S490" s="26" t="n">
        <f>3399231</f>
        <v>3399231.0</v>
      </c>
      <c r="T490" s="26" t="str">
        <f>"－"</f>
        <v>－</v>
      </c>
      <c r="U490" s="5" t="s">
        <v>517</v>
      </c>
      <c r="V490" s="28" t="n">
        <f>16250000</f>
        <v>1.625E7</v>
      </c>
      <c r="W490" s="5" t="s">
        <v>828</v>
      </c>
      <c r="X490" s="28" t="str">
        <f>"－"</f>
        <v>－</v>
      </c>
      <c r="Y490" s="28" t="n">
        <f>13</f>
        <v>13.0</v>
      </c>
      <c r="Z490" s="26" t="str">
        <f>"－"</f>
        <v>－</v>
      </c>
      <c r="AA490" s="26" t="str">
        <f>"－"</f>
        <v>－</v>
      </c>
      <c r="AB490" s="4" t="s">
        <v>837</v>
      </c>
      <c r="AC490" s="27" t="n">
        <f>42</f>
        <v>42.0</v>
      </c>
      <c r="AD490" s="5" t="s">
        <v>389</v>
      </c>
      <c r="AE490" s="28" t="str">
        <f>"－"</f>
        <v>－</v>
      </c>
    </row>
    <row r="491">
      <c r="A491" s="20" t="s">
        <v>1201</v>
      </c>
      <c r="B491" s="21" t="s">
        <v>1202</v>
      </c>
      <c r="C491" s="22" t="s">
        <v>1132</v>
      </c>
      <c r="D491" s="23" t="s">
        <v>1133</v>
      </c>
      <c r="E491" s="24" t="s">
        <v>199</v>
      </c>
      <c r="F491" s="25" t="n">
        <f>247</f>
        <v>247.0</v>
      </c>
      <c r="G491" s="26" t="n">
        <f>6420</f>
        <v>6420.0</v>
      </c>
      <c r="H491" s="26"/>
      <c r="I491" s="26" t="str">
        <f>"－"</f>
        <v>－</v>
      </c>
      <c r="J491" s="26" t="n">
        <f>26</f>
        <v>26.0</v>
      </c>
      <c r="K491" s="26" t="str">
        <f>"－"</f>
        <v>－</v>
      </c>
      <c r="L491" s="4" t="s">
        <v>517</v>
      </c>
      <c r="M491" s="27" t="n">
        <f>70</f>
        <v>70.0</v>
      </c>
      <c r="N491" s="5" t="s">
        <v>828</v>
      </c>
      <c r="O491" s="28" t="str">
        <f>"－"</f>
        <v>－</v>
      </c>
      <c r="P491" s="3" t="s">
        <v>1238</v>
      </c>
      <c r="Q491" s="26"/>
      <c r="R491" s="3" t="s">
        <v>160</v>
      </c>
      <c r="S491" s="26" t="n">
        <f>6946255</f>
        <v>6946255.0</v>
      </c>
      <c r="T491" s="26" t="str">
        <f>"－"</f>
        <v>－</v>
      </c>
      <c r="U491" s="5" t="s">
        <v>517</v>
      </c>
      <c r="V491" s="28" t="n">
        <f>25150000</f>
        <v>2.515E7</v>
      </c>
      <c r="W491" s="5" t="s">
        <v>828</v>
      </c>
      <c r="X491" s="28" t="str">
        <f>"－"</f>
        <v>－</v>
      </c>
      <c r="Y491" s="28" t="n">
        <f>50</f>
        <v>50.0</v>
      </c>
      <c r="Z491" s="26" t="str">
        <f>"－"</f>
        <v>－</v>
      </c>
      <c r="AA491" s="26" t="str">
        <f>"－"</f>
        <v>－</v>
      </c>
      <c r="AB491" s="4" t="s">
        <v>837</v>
      </c>
      <c r="AC491" s="27" t="n">
        <f>102</f>
        <v>102.0</v>
      </c>
      <c r="AD491" s="5" t="s">
        <v>389</v>
      </c>
      <c r="AE491" s="28" t="str">
        <f>"－"</f>
        <v>－</v>
      </c>
    </row>
    <row r="492">
      <c r="A492" s="20" t="s">
        <v>1201</v>
      </c>
      <c r="B492" s="21" t="s">
        <v>1202</v>
      </c>
      <c r="C492" s="22" t="s">
        <v>1124</v>
      </c>
      <c r="D492" s="23" t="s">
        <v>1125</v>
      </c>
      <c r="E492" s="24" t="s">
        <v>205</v>
      </c>
      <c r="F492" s="25" t="n">
        <f>247</f>
        <v>247.0</v>
      </c>
      <c r="G492" s="26" t="n">
        <f>268</f>
        <v>268.0</v>
      </c>
      <c r="H492" s="26"/>
      <c r="I492" s="26" t="str">
        <f>"－"</f>
        <v>－</v>
      </c>
      <c r="J492" s="26" t="n">
        <f>1</f>
        <v>1.0</v>
      </c>
      <c r="K492" s="26" t="str">
        <f>"－"</f>
        <v>－</v>
      </c>
      <c r="L492" s="4" t="s">
        <v>174</v>
      </c>
      <c r="M492" s="27" t="n">
        <f>10</f>
        <v>10.0</v>
      </c>
      <c r="N492" s="5" t="s">
        <v>1239</v>
      </c>
      <c r="O492" s="28" t="str">
        <f>"－"</f>
        <v>－</v>
      </c>
      <c r="P492" s="3" t="s">
        <v>1240</v>
      </c>
      <c r="Q492" s="26"/>
      <c r="R492" s="3" t="s">
        <v>160</v>
      </c>
      <c r="S492" s="26" t="n">
        <f>272955</f>
        <v>272955.0</v>
      </c>
      <c r="T492" s="26" t="str">
        <f>"－"</f>
        <v>－</v>
      </c>
      <c r="U492" s="5" t="s">
        <v>174</v>
      </c>
      <c r="V492" s="28" t="n">
        <f>2850000</f>
        <v>2850000.0</v>
      </c>
      <c r="W492" s="5" t="s">
        <v>1239</v>
      </c>
      <c r="X492" s="28" t="str">
        <f>"－"</f>
        <v>－</v>
      </c>
      <c r="Y492" s="28" t="n">
        <f>17</f>
        <v>17.0</v>
      </c>
      <c r="Z492" s="26" t="str">
        <f>"－"</f>
        <v>－</v>
      </c>
      <c r="AA492" s="26" t="n">
        <f>4</f>
        <v>4.0</v>
      </c>
      <c r="AB492" s="4" t="s">
        <v>644</v>
      </c>
      <c r="AC492" s="27" t="n">
        <f>16</f>
        <v>16.0</v>
      </c>
      <c r="AD492" s="5" t="s">
        <v>389</v>
      </c>
      <c r="AE492" s="28" t="str">
        <f>"－"</f>
        <v>－</v>
      </c>
    </row>
    <row r="493">
      <c r="A493" s="20" t="s">
        <v>1201</v>
      </c>
      <c r="B493" s="21" t="s">
        <v>1202</v>
      </c>
      <c r="C493" s="22" t="s">
        <v>1128</v>
      </c>
      <c r="D493" s="23" t="s">
        <v>1129</v>
      </c>
      <c r="E493" s="24" t="s">
        <v>205</v>
      </c>
      <c r="F493" s="25" t="n">
        <f>247</f>
        <v>247.0</v>
      </c>
      <c r="G493" s="26" t="n">
        <f>260</f>
        <v>260.0</v>
      </c>
      <c r="H493" s="26"/>
      <c r="I493" s="26" t="str">
        <f>"－"</f>
        <v>－</v>
      </c>
      <c r="J493" s="26" t="n">
        <f>1</f>
        <v>1.0</v>
      </c>
      <c r="K493" s="26" t="str">
        <f>"－"</f>
        <v>－</v>
      </c>
      <c r="L493" s="4" t="s">
        <v>174</v>
      </c>
      <c r="M493" s="27" t="n">
        <f>9</f>
        <v>9.0</v>
      </c>
      <c r="N493" s="5" t="s">
        <v>1239</v>
      </c>
      <c r="O493" s="28" t="str">
        <f>"－"</f>
        <v>－</v>
      </c>
      <c r="P493" s="3" t="s">
        <v>1241</v>
      </c>
      <c r="Q493" s="26"/>
      <c r="R493" s="3" t="s">
        <v>160</v>
      </c>
      <c r="S493" s="26" t="n">
        <f>239899</f>
        <v>239899.0</v>
      </c>
      <c r="T493" s="26" t="str">
        <f>"－"</f>
        <v>－</v>
      </c>
      <c r="U493" s="5" t="s">
        <v>174</v>
      </c>
      <c r="V493" s="28" t="n">
        <f>3025000</f>
        <v>3025000.0</v>
      </c>
      <c r="W493" s="5" t="s">
        <v>1239</v>
      </c>
      <c r="X493" s="28" t="str">
        <f>"－"</f>
        <v>－</v>
      </c>
      <c r="Y493" s="28" t="n">
        <f>4</f>
        <v>4.0</v>
      </c>
      <c r="Z493" s="26" t="str">
        <f>"－"</f>
        <v>－</v>
      </c>
      <c r="AA493" s="26" t="n">
        <f>1</f>
        <v>1.0</v>
      </c>
      <c r="AB493" s="4" t="s">
        <v>218</v>
      </c>
      <c r="AC493" s="27" t="n">
        <f>14</f>
        <v>14.0</v>
      </c>
      <c r="AD493" s="5" t="s">
        <v>389</v>
      </c>
      <c r="AE493" s="28" t="str">
        <f>"－"</f>
        <v>－</v>
      </c>
    </row>
    <row r="494">
      <c r="A494" s="20" t="s">
        <v>1201</v>
      </c>
      <c r="B494" s="21" t="s">
        <v>1202</v>
      </c>
      <c r="C494" s="22" t="s">
        <v>1132</v>
      </c>
      <c r="D494" s="23" t="s">
        <v>1133</v>
      </c>
      <c r="E494" s="24" t="s">
        <v>205</v>
      </c>
      <c r="F494" s="25" t="n">
        <f>247</f>
        <v>247.0</v>
      </c>
      <c r="G494" s="26" t="n">
        <f>528</f>
        <v>528.0</v>
      </c>
      <c r="H494" s="26"/>
      <c r="I494" s="26" t="str">
        <f>"－"</f>
        <v>－</v>
      </c>
      <c r="J494" s="26" t="n">
        <f>2</f>
        <v>2.0</v>
      </c>
      <c r="K494" s="26" t="str">
        <f>"－"</f>
        <v>－</v>
      </c>
      <c r="L494" s="4" t="s">
        <v>174</v>
      </c>
      <c r="M494" s="27" t="n">
        <f>19</f>
        <v>19.0</v>
      </c>
      <c r="N494" s="5" t="s">
        <v>1239</v>
      </c>
      <c r="O494" s="28" t="str">
        <f>"－"</f>
        <v>－</v>
      </c>
      <c r="P494" s="3" t="s">
        <v>1242</v>
      </c>
      <c r="Q494" s="26"/>
      <c r="R494" s="3" t="s">
        <v>160</v>
      </c>
      <c r="S494" s="26" t="n">
        <f>512854</f>
        <v>512854.0</v>
      </c>
      <c r="T494" s="26" t="str">
        <f>"－"</f>
        <v>－</v>
      </c>
      <c r="U494" s="5" t="s">
        <v>174</v>
      </c>
      <c r="V494" s="28" t="n">
        <f>5875000</f>
        <v>5875000.0</v>
      </c>
      <c r="W494" s="5" t="s">
        <v>1239</v>
      </c>
      <c r="X494" s="28" t="str">
        <f>"－"</f>
        <v>－</v>
      </c>
      <c r="Y494" s="28" t="n">
        <f>21</f>
        <v>21.0</v>
      </c>
      <c r="Z494" s="26" t="str">
        <f>"－"</f>
        <v>－</v>
      </c>
      <c r="AA494" s="26" t="n">
        <f>5</f>
        <v>5.0</v>
      </c>
      <c r="AB494" s="4" t="s">
        <v>218</v>
      </c>
      <c r="AC494" s="27" t="n">
        <f>30</f>
        <v>30.0</v>
      </c>
      <c r="AD494" s="5" t="s">
        <v>389</v>
      </c>
      <c r="AE494" s="28" t="str">
        <f>"－"</f>
        <v>－</v>
      </c>
    </row>
    <row r="495">
      <c r="A495" s="20" t="s">
        <v>1201</v>
      </c>
      <c r="B495" s="21" t="s">
        <v>1202</v>
      </c>
      <c r="C495" s="22" t="s">
        <v>1124</v>
      </c>
      <c r="D495" s="23" t="s">
        <v>1125</v>
      </c>
      <c r="E495" s="24" t="s">
        <v>210</v>
      </c>
      <c r="F495" s="25" t="n">
        <f>246</f>
        <v>246.0</v>
      </c>
      <c r="G495" s="26" t="n">
        <f>2137</f>
        <v>2137.0</v>
      </c>
      <c r="H495" s="26"/>
      <c r="I495" s="26" t="str">
        <f>"－"</f>
        <v>－</v>
      </c>
      <c r="J495" s="26" t="n">
        <f>9</f>
        <v>9.0</v>
      </c>
      <c r="K495" s="26" t="str">
        <f>"－"</f>
        <v>－</v>
      </c>
      <c r="L495" s="4" t="s">
        <v>638</v>
      </c>
      <c r="M495" s="27" t="n">
        <f>501</f>
        <v>501.0</v>
      </c>
      <c r="N495" s="5" t="s">
        <v>889</v>
      </c>
      <c r="O495" s="28" t="str">
        <f>"－"</f>
        <v>－</v>
      </c>
      <c r="P495" s="3" t="s">
        <v>1243</v>
      </c>
      <c r="Q495" s="26"/>
      <c r="R495" s="3" t="s">
        <v>160</v>
      </c>
      <c r="S495" s="26" t="n">
        <f>2728862</f>
        <v>2728862.0</v>
      </c>
      <c r="T495" s="26" t="str">
        <f>"－"</f>
        <v>－</v>
      </c>
      <c r="U495" s="5" t="s">
        <v>58</v>
      </c>
      <c r="V495" s="28" t="n">
        <f>139520000</f>
        <v>1.3952E8</v>
      </c>
      <c r="W495" s="5" t="s">
        <v>889</v>
      </c>
      <c r="X495" s="28" t="str">
        <f>"－"</f>
        <v>－</v>
      </c>
      <c r="Y495" s="28" t="n">
        <f>45</f>
        <v>45.0</v>
      </c>
      <c r="Z495" s="26" t="str">
        <f>"－"</f>
        <v>－</v>
      </c>
      <c r="AA495" s="26" t="n">
        <f>43</f>
        <v>43.0</v>
      </c>
      <c r="AB495" s="4" t="s">
        <v>695</v>
      </c>
      <c r="AC495" s="27" t="n">
        <f>1280</f>
        <v>1280.0</v>
      </c>
      <c r="AD495" s="5" t="s">
        <v>442</v>
      </c>
      <c r="AE495" s="28" t="str">
        <f>"－"</f>
        <v>－</v>
      </c>
    </row>
    <row r="496">
      <c r="A496" s="20" t="s">
        <v>1201</v>
      </c>
      <c r="B496" s="21" t="s">
        <v>1202</v>
      </c>
      <c r="C496" s="22" t="s">
        <v>1128</v>
      </c>
      <c r="D496" s="23" t="s">
        <v>1129</v>
      </c>
      <c r="E496" s="24" t="s">
        <v>210</v>
      </c>
      <c r="F496" s="25" t="n">
        <f>246</f>
        <v>246.0</v>
      </c>
      <c r="G496" s="26" t="n">
        <f>1381</f>
        <v>1381.0</v>
      </c>
      <c r="H496" s="26"/>
      <c r="I496" s="26" t="str">
        <f>"－"</f>
        <v>－</v>
      </c>
      <c r="J496" s="26" t="n">
        <f>6</f>
        <v>6.0</v>
      </c>
      <c r="K496" s="26" t="str">
        <f>"－"</f>
        <v>－</v>
      </c>
      <c r="L496" s="4" t="s">
        <v>1244</v>
      </c>
      <c r="M496" s="27" t="n">
        <f>345</f>
        <v>345.0</v>
      </c>
      <c r="N496" s="5" t="s">
        <v>889</v>
      </c>
      <c r="O496" s="28" t="str">
        <f>"－"</f>
        <v>－</v>
      </c>
      <c r="P496" s="3" t="s">
        <v>1245</v>
      </c>
      <c r="Q496" s="26"/>
      <c r="R496" s="3" t="s">
        <v>160</v>
      </c>
      <c r="S496" s="26" t="n">
        <f>2578049</f>
        <v>2578049.0</v>
      </c>
      <c r="T496" s="26" t="str">
        <f>"－"</f>
        <v>－</v>
      </c>
      <c r="U496" s="5" t="s">
        <v>120</v>
      </c>
      <c r="V496" s="28" t="n">
        <f>276000000</f>
        <v>2.76E8</v>
      </c>
      <c r="W496" s="5" t="s">
        <v>889</v>
      </c>
      <c r="X496" s="28" t="str">
        <f>"－"</f>
        <v>－</v>
      </c>
      <c r="Y496" s="28" t="n">
        <f>2</f>
        <v>2.0</v>
      </c>
      <c r="Z496" s="26" t="str">
        <f>"－"</f>
        <v>－</v>
      </c>
      <c r="AA496" s="26" t="n">
        <f>25</f>
        <v>25.0</v>
      </c>
      <c r="AB496" s="4" t="s">
        <v>1246</v>
      </c>
      <c r="AC496" s="27" t="n">
        <f>667</f>
        <v>667.0</v>
      </c>
      <c r="AD496" s="5" t="s">
        <v>442</v>
      </c>
      <c r="AE496" s="28" t="str">
        <f>"－"</f>
        <v>－</v>
      </c>
    </row>
    <row r="497">
      <c r="A497" s="20" t="s">
        <v>1201</v>
      </c>
      <c r="B497" s="21" t="s">
        <v>1202</v>
      </c>
      <c r="C497" s="22" t="s">
        <v>1132</v>
      </c>
      <c r="D497" s="23" t="s">
        <v>1133</v>
      </c>
      <c r="E497" s="24" t="s">
        <v>210</v>
      </c>
      <c r="F497" s="25" t="n">
        <f>246</f>
        <v>246.0</v>
      </c>
      <c r="G497" s="26" t="n">
        <f>3518</f>
        <v>3518.0</v>
      </c>
      <c r="H497" s="26"/>
      <c r="I497" s="26" t="str">
        <f>"－"</f>
        <v>－</v>
      </c>
      <c r="J497" s="26" t="n">
        <f>14</f>
        <v>14.0</v>
      </c>
      <c r="K497" s="26" t="str">
        <f>"－"</f>
        <v>－</v>
      </c>
      <c r="L497" s="4" t="s">
        <v>165</v>
      </c>
      <c r="M497" s="27" t="n">
        <f>502</f>
        <v>502.0</v>
      </c>
      <c r="N497" s="5" t="s">
        <v>889</v>
      </c>
      <c r="O497" s="28" t="str">
        <f>"－"</f>
        <v>－</v>
      </c>
      <c r="P497" s="3" t="s">
        <v>1247</v>
      </c>
      <c r="Q497" s="26"/>
      <c r="R497" s="3" t="s">
        <v>160</v>
      </c>
      <c r="S497" s="26" t="n">
        <f>5306911</f>
        <v>5306911.0</v>
      </c>
      <c r="T497" s="26" t="str">
        <f>"－"</f>
        <v>－</v>
      </c>
      <c r="U497" s="5" t="s">
        <v>120</v>
      </c>
      <c r="V497" s="28" t="n">
        <f>276740000</f>
        <v>2.7674E8</v>
      </c>
      <c r="W497" s="5" t="s">
        <v>889</v>
      </c>
      <c r="X497" s="28" t="str">
        <f>"－"</f>
        <v>－</v>
      </c>
      <c r="Y497" s="28" t="n">
        <f>47</f>
        <v>47.0</v>
      </c>
      <c r="Z497" s="26" t="str">
        <f>"－"</f>
        <v>－</v>
      </c>
      <c r="AA497" s="26" t="n">
        <f>68</f>
        <v>68.0</v>
      </c>
      <c r="AB497" s="4" t="s">
        <v>695</v>
      </c>
      <c r="AC497" s="27" t="n">
        <f>1601</f>
        <v>1601.0</v>
      </c>
      <c r="AD497" s="5" t="s">
        <v>442</v>
      </c>
      <c r="AE497" s="28" t="str">
        <f>"－"</f>
        <v>－</v>
      </c>
    </row>
    <row r="498">
      <c r="A498" s="20" t="s">
        <v>1201</v>
      </c>
      <c r="B498" s="21" t="s">
        <v>1202</v>
      </c>
      <c r="C498" s="22" t="s">
        <v>1124</v>
      </c>
      <c r="D498" s="23" t="s">
        <v>1125</v>
      </c>
      <c r="E498" s="24" t="s">
        <v>214</v>
      </c>
      <c r="F498" s="25" t="n">
        <f>246</f>
        <v>246.0</v>
      </c>
      <c r="G498" s="26" t="n">
        <f>519</f>
        <v>519.0</v>
      </c>
      <c r="H498" s="26"/>
      <c r="I498" s="26" t="str">
        <f>"－"</f>
        <v>－</v>
      </c>
      <c r="J498" s="26" t="n">
        <f>2</f>
        <v>2.0</v>
      </c>
      <c r="K498" s="26" t="str">
        <f>"－"</f>
        <v>－</v>
      </c>
      <c r="L498" s="4" t="s">
        <v>542</v>
      </c>
      <c r="M498" s="27" t="n">
        <f>169</f>
        <v>169.0</v>
      </c>
      <c r="N498" s="5" t="s">
        <v>222</v>
      </c>
      <c r="O498" s="28" t="str">
        <f>"－"</f>
        <v>－</v>
      </c>
      <c r="P498" s="3" t="s">
        <v>1248</v>
      </c>
      <c r="Q498" s="26"/>
      <c r="R498" s="3" t="s">
        <v>160</v>
      </c>
      <c r="S498" s="26" t="n">
        <f>791931</f>
        <v>791931.0</v>
      </c>
      <c r="T498" s="26" t="str">
        <f>"－"</f>
        <v>－</v>
      </c>
      <c r="U498" s="5" t="s">
        <v>542</v>
      </c>
      <c r="V498" s="28" t="n">
        <f>58585000</f>
        <v>5.8585E7</v>
      </c>
      <c r="W498" s="5" t="s">
        <v>222</v>
      </c>
      <c r="X498" s="28" t="str">
        <f>"－"</f>
        <v>－</v>
      </c>
      <c r="Y498" s="28" t="str">
        <f>"－"</f>
        <v>－</v>
      </c>
      <c r="Z498" s="26" t="str">
        <f>"－"</f>
        <v>－</v>
      </c>
      <c r="AA498" s="26" t="str">
        <f>"－"</f>
        <v>－</v>
      </c>
      <c r="AB498" s="4" t="s">
        <v>388</v>
      </c>
      <c r="AC498" s="27" t="n">
        <f>185</f>
        <v>185.0</v>
      </c>
      <c r="AD498" s="5" t="s">
        <v>479</v>
      </c>
      <c r="AE498" s="28" t="str">
        <f>"－"</f>
        <v>－</v>
      </c>
    </row>
    <row r="499">
      <c r="A499" s="20" t="s">
        <v>1201</v>
      </c>
      <c r="B499" s="21" t="s">
        <v>1202</v>
      </c>
      <c r="C499" s="22" t="s">
        <v>1128</v>
      </c>
      <c r="D499" s="23" t="s">
        <v>1129</v>
      </c>
      <c r="E499" s="24" t="s">
        <v>214</v>
      </c>
      <c r="F499" s="25" t="n">
        <f>246</f>
        <v>246.0</v>
      </c>
      <c r="G499" s="26" t="n">
        <f>514</f>
        <v>514.0</v>
      </c>
      <c r="H499" s="26"/>
      <c r="I499" s="26" t="str">
        <f>"－"</f>
        <v>－</v>
      </c>
      <c r="J499" s="26" t="n">
        <f>2</f>
        <v>2.0</v>
      </c>
      <c r="K499" s="26" t="str">
        <f>"－"</f>
        <v>－</v>
      </c>
      <c r="L499" s="4" t="s">
        <v>69</v>
      </c>
      <c r="M499" s="27" t="n">
        <f>145</f>
        <v>145.0</v>
      </c>
      <c r="N499" s="5" t="s">
        <v>474</v>
      </c>
      <c r="O499" s="28" t="str">
        <f>"－"</f>
        <v>－</v>
      </c>
      <c r="P499" s="3" t="s">
        <v>1249</v>
      </c>
      <c r="Q499" s="26"/>
      <c r="R499" s="3" t="s">
        <v>160</v>
      </c>
      <c r="S499" s="26" t="n">
        <f>368049</f>
        <v>368049.0</v>
      </c>
      <c r="T499" s="26" t="str">
        <f>"－"</f>
        <v>－</v>
      </c>
      <c r="U499" s="5" t="s">
        <v>69</v>
      </c>
      <c r="V499" s="28" t="n">
        <f>21025000</f>
        <v>2.1025E7</v>
      </c>
      <c r="W499" s="5" t="s">
        <v>474</v>
      </c>
      <c r="X499" s="28" t="str">
        <f>"－"</f>
        <v>－</v>
      </c>
      <c r="Y499" s="28" t="n">
        <f>15</f>
        <v>15.0</v>
      </c>
      <c r="Z499" s="26" t="str">
        <f>"－"</f>
        <v>－</v>
      </c>
      <c r="AA499" s="26" t="str">
        <f>"－"</f>
        <v>－</v>
      </c>
      <c r="AB499" s="4" t="s">
        <v>69</v>
      </c>
      <c r="AC499" s="27" t="n">
        <f>145</f>
        <v>145.0</v>
      </c>
      <c r="AD499" s="5" t="s">
        <v>794</v>
      </c>
      <c r="AE499" s="28" t="str">
        <f>"－"</f>
        <v>－</v>
      </c>
    </row>
    <row r="500">
      <c r="A500" s="20" t="s">
        <v>1201</v>
      </c>
      <c r="B500" s="21" t="s">
        <v>1202</v>
      </c>
      <c r="C500" s="22" t="s">
        <v>1132</v>
      </c>
      <c r="D500" s="23" t="s">
        <v>1133</v>
      </c>
      <c r="E500" s="24" t="s">
        <v>214</v>
      </c>
      <c r="F500" s="25" t="n">
        <f>246</f>
        <v>246.0</v>
      </c>
      <c r="G500" s="26" t="n">
        <f>1033</f>
        <v>1033.0</v>
      </c>
      <c r="H500" s="26"/>
      <c r="I500" s="26" t="str">
        <f>"－"</f>
        <v>－</v>
      </c>
      <c r="J500" s="26" t="n">
        <f>4</f>
        <v>4.0</v>
      </c>
      <c r="K500" s="26" t="str">
        <f>"－"</f>
        <v>－</v>
      </c>
      <c r="L500" s="4" t="s">
        <v>542</v>
      </c>
      <c r="M500" s="27" t="n">
        <f>188</f>
        <v>188.0</v>
      </c>
      <c r="N500" s="5" t="s">
        <v>491</v>
      </c>
      <c r="O500" s="28" t="str">
        <f>"－"</f>
        <v>－</v>
      </c>
      <c r="P500" s="3" t="s">
        <v>1250</v>
      </c>
      <c r="Q500" s="26"/>
      <c r="R500" s="3" t="s">
        <v>160</v>
      </c>
      <c r="S500" s="26" t="n">
        <f>1159980</f>
        <v>1159980.0</v>
      </c>
      <c r="T500" s="26" t="str">
        <f>"－"</f>
        <v>－</v>
      </c>
      <c r="U500" s="5" t="s">
        <v>542</v>
      </c>
      <c r="V500" s="28" t="n">
        <f>62265000</f>
        <v>6.2265E7</v>
      </c>
      <c r="W500" s="5" t="s">
        <v>491</v>
      </c>
      <c r="X500" s="28" t="str">
        <f>"－"</f>
        <v>－</v>
      </c>
      <c r="Y500" s="28" t="n">
        <f>15</f>
        <v>15.0</v>
      </c>
      <c r="Z500" s="26" t="str">
        <f>"－"</f>
        <v>－</v>
      </c>
      <c r="AA500" s="26" t="str">
        <f>"－"</f>
        <v>－</v>
      </c>
      <c r="AB500" s="4" t="s">
        <v>542</v>
      </c>
      <c r="AC500" s="27" t="n">
        <f>238</f>
        <v>238.0</v>
      </c>
      <c r="AD500" s="5" t="s">
        <v>479</v>
      </c>
      <c r="AE500" s="28" t="str">
        <f>"－"</f>
        <v>－</v>
      </c>
    </row>
    <row r="501">
      <c r="A501" s="20" t="s">
        <v>1201</v>
      </c>
      <c r="B501" s="21" t="s">
        <v>1202</v>
      </c>
      <c r="C501" s="22" t="s">
        <v>1124</v>
      </c>
      <c r="D501" s="23" t="s">
        <v>1125</v>
      </c>
      <c r="E501" s="24" t="s">
        <v>219</v>
      </c>
      <c r="F501" s="25" t="n">
        <f>245</f>
        <v>245.0</v>
      </c>
      <c r="G501" s="26" t="n">
        <f>6835</f>
        <v>6835.0</v>
      </c>
      <c r="H501" s="26"/>
      <c r="I501" s="26" t="str">
        <f>"－"</f>
        <v>－</v>
      </c>
      <c r="J501" s="26" t="n">
        <f>28</f>
        <v>28.0</v>
      </c>
      <c r="K501" s="26" t="str">
        <f>"－"</f>
        <v>－</v>
      </c>
      <c r="L501" s="4" t="s">
        <v>1251</v>
      </c>
      <c r="M501" s="27" t="n">
        <f>976</f>
        <v>976.0</v>
      </c>
      <c r="N501" s="5" t="s">
        <v>389</v>
      </c>
      <c r="O501" s="28" t="str">
        <f>"－"</f>
        <v>－</v>
      </c>
      <c r="P501" s="3" t="s">
        <v>1252</v>
      </c>
      <c r="Q501" s="26"/>
      <c r="R501" s="3" t="s">
        <v>160</v>
      </c>
      <c r="S501" s="26" t="n">
        <f>11396408</f>
        <v>1.1396408E7</v>
      </c>
      <c r="T501" s="26" t="str">
        <f>"－"</f>
        <v>－</v>
      </c>
      <c r="U501" s="5" t="s">
        <v>1251</v>
      </c>
      <c r="V501" s="28" t="n">
        <f>422040000</f>
        <v>4.2204E8</v>
      </c>
      <c r="W501" s="5" t="s">
        <v>389</v>
      </c>
      <c r="X501" s="28" t="str">
        <f>"－"</f>
        <v>－</v>
      </c>
      <c r="Y501" s="28" t="n">
        <f>630</f>
        <v>630.0</v>
      </c>
      <c r="Z501" s="26" t="str">
        <f>"－"</f>
        <v>－</v>
      </c>
      <c r="AA501" s="26" t="n">
        <f>679</f>
        <v>679.0</v>
      </c>
      <c r="AB501" s="4" t="s">
        <v>574</v>
      </c>
      <c r="AC501" s="27" t="n">
        <f>1494</f>
        <v>1494.0</v>
      </c>
      <c r="AD501" s="5" t="s">
        <v>389</v>
      </c>
      <c r="AE501" s="28" t="str">
        <f>"－"</f>
        <v>－</v>
      </c>
    </row>
    <row r="502">
      <c r="A502" s="20" t="s">
        <v>1201</v>
      </c>
      <c r="B502" s="21" t="s">
        <v>1202</v>
      </c>
      <c r="C502" s="22" t="s">
        <v>1128</v>
      </c>
      <c r="D502" s="23" t="s">
        <v>1129</v>
      </c>
      <c r="E502" s="24" t="s">
        <v>219</v>
      </c>
      <c r="F502" s="25" t="n">
        <f>245</f>
        <v>245.0</v>
      </c>
      <c r="G502" s="26" t="n">
        <f>3173</f>
        <v>3173.0</v>
      </c>
      <c r="H502" s="26"/>
      <c r="I502" s="26" t="str">
        <f>"－"</f>
        <v>－</v>
      </c>
      <c r="J502" s="26" t="n">
        <f>13</f>
        <v>13.0</v>
      </c>
      <c r="K502" s="26" t="str">
        <f>"－"</f>
        <v>－</v>
      </c>
      <c r="L502" s="4" t="s">
        <v>1251</v>
      </c>
      <c r="M502" s="27" t="n">
        <f>976</f>
        <v>976.0</v>
      </c>
      <c r="N502" s="5" t="s">
        <v>389</v>
      </c>
      <c r="O502" s="28" t="str">
        <f>"－"</f>
        <v>－</v>
      </c>
      <c r="P502" s="3" t="s">
        <v>1253</v>
      </c>
      <c r="Q502" s="26"/>
      <c r="R502" s="3" t="s">
        <v>160</v>
      </c>
      <c r="S502" s="26" t="n">
        <f>6986490</f>
        <v>6986490.0</v>
      </c>
      <c r="T502" s="26" t="str">
        <f>"－"</f>
        <v>－</v>
      </c>
      <c r="U502" s="5" t="s">
        <v>1251</v>
      </c>
      <c r="V502" s="28" t="n">
        <f>732000000</f>
        <v>7.32E8</v>
      </c>
      <c r="W502" s="5" t="s">
        <v>389</v>
      </c>
      <c r="X502" s="28" t="str">
        <f>"－"</f>
        <v>－</v>
      </c>
      <c r="Y502" s="28" t="str">
        <f>"－"</f>
        <v>－</v>
      </c>
      <c r="Z502" s="26" t="str">
        <f>"－"</f>
        <v>－</v>
      </c>
      <c r="AA502" s="26" t="str">
        <f>"－"</f>
        <v>－</v>
      </c>
      <c r="AB502" s="4" t="s">
        <v>123</v>
      </c>
      <c r="AC502" s="27" t="n">
        <f>976</f>
        <v>976.0</v>
      </c>
      <c r="AD502" s="5" t="s">
        <v>389</v>
      </c>
      <c r="AE502" s="28" t="str">
        <f>"－"</f>
        <v>－</v>
      </c>
    </row>
    <row r="503">
      <c r="A503" s="20" t="s">
        <v>1201</v>
      </c>
      <c r="B503" s="21" t="s">
        <v>1202</v>
      </c>
      <c r="C503" s="22" t="s">
        <v>1132</v>
      </c>
      <c r="D503" s="23" t="s">
        <v>1133</v>
      </c>
      <c r="E503" s="24" t="s">
        <v>219</v>
      </c>
      <c r="F503" s="25" t="n">
        <f>245</f>
        <v>245.0</v>
      </c>
      <c r="G503" s="26" t="n">
        <f>10008</f>
        <v>10008.0</v>
      </c>
      <c r="H503" s="26"/>
      <c r="I503" s="26" t="str">
        <f>"－"</f>
        <v>－</v>
      </c>
      <c r="J503" s="26" t="n">
        <f>41</f>
        <v>41.0</v>
      </c>
      <c r="K503" s="26" t="str">
        <f>"－"</f>
        <v>－</v>
      </c>
      <c r="L503" s="4" t="s">
        <v>1251</v>
      </c>
      <c r="M503" s="27" t="n">
        <f>1952</f>
        <v>1952.0</v>
      </c>
      <c r="N503" s="5" t="s">
        <v>389</v>
      </c>
      <c r="O503" s="28" t="str">
        <f>"－"</f>
        <v>－</v>
      </c>
      <c r="P503" s="3" t="s">
        <v>1254</v>
      </c>
      <c r="Q503" s="26"/>
      <c r="R503" s="3" t="s">
        <v>160</v>
      </c>
      <c r="S503" s="26" t="n">
        <f>18382898</f>
        <v>1.8382898E7</v>
      </c>
      <c r="T503" s="26" t="str">
        <f>"－"</f>
        <v>－</v>
      </c>
      <c r="U503" s="5" t="s">
        <v>1251</v>
      </c>
      <c r="V503" s="28" t="n">
        <f>1154040000</f>
        <v>1.15404E9</v>
      </c>
      <c r="W503" s="5" t="s">
        <v>389</v>
      </c>
      <c r="X503" s="28" t="str">
        <f>"－"</f>
        <v>－</v>
      </c>
      <c r="Y503" s="28" t="n">
        <f>630</f>
        <v>630.0</v>
      </c>
      <c r="Z503" s="26" t="str">
        <f>"－"</f>
        <v>－</v>
      </c>
      <c r="AA503" s="26" t="n">
        <f>679</f>
        <v>679.0</v>
      </c>
      <c r="AB503" s="4" t="s">
        <v>123</v>
      </c>
      <c r="AC503" s="27" t="n">
        <f>2262</f>
        <v>2262.0</v>
      </c>
      <c r="AD503" s="5" t="s">
        <v>389</v>
      </c>
      <c r="AE503" s="28" t="str">
        <f>"－"</f>
        <v>－</v>
      </c>
    </row>
    <row r="504">
      <c r="A504" s="20" t="s">
        <v>1201</v>
      </c>
      <c r="B504" s="21" t="s">
        <v>1202</v>
      </c>
      <c r="C504" s="22" t="s">
        <v>1124</v>
      </c>
      <c r="D504" s="23" t="s">
        <v>1125</v>
      </c>
      <c r="E504" s="24" t="s">
        <v>223</v>
      </c>
      <c r="F504" s="25" t="n">
        <f>246</f>
        <v>246.0</v>
      </c>
      <c r="G504" s="26" t="n">
        <f>64624</f>
        <v>64624.0</v>
      </c>
      <c r="H504" s="26"/>
      <c r="I504" s="26" t="str">
        <f>"－"</f>
        <v>－</v>
      </c>
      <c r="J504" s="26" t="n">
        <f>263</f>
        <v>263.0</v>
      </c>
      <c r="K504" s="26" t="str">
        <f>"－"</f>
        <v>－</v>
      </c>
      <c r="L504" s="4" t="s">
        <v>818</v>
      </c>
      <c r="M504" s="27" t="n">
        <f>7929</f>
        <v>7929.0</v>
      </c>
      <c r="N504" s="5" t="s">
        <v>213</v>
      </c>
      <c r="O504" s="28" t="str">
        <f>"－"</f>
        <v>－</v>
      </c>
      <c r="P504" s="3" t="s">
        <v>1255</v>
      </c>
      <c r="Q504" s="26"/>
      <c r="R504" s="3" t="s">
        <v>160</v>
      </c>
      <c r="S504" s="26" t="n">
        <f>84982244</f>
        <v>8.4982244E7</v>
      </c>
      <c r="T504" s="26" t="str">
        <f>"－"</f>
        <v>－</v>
      </c>
      <c r="U504" s="5" t="s">
        <v>920</v>
      </c>
      <c r="V504" s="28" t="n">
        <f>3545850000</f>
        <v>3.54585E9</v>
      </c>
      <c r="W504" s="5" t="s">
        <v>213</v>
      </c>
      <c r="X504" s="28" t="str">
        <f>"－"</f>
        <v>－</v>
      </c>
      <c r="Y504" s="28" t="n">
        <f>2352</f>
        <v>2352.0</v>
      </c>
      <c r="Z504" s="26" t="str">
        <f>"－"</f>
        <v>－</v>
      </c>
      <c r="AA504" s="26" t="n">
        <f>7481</f>
        <v>7481.0</v>
      </c>
      <c r="AB504" s="4" t="s">
        <v>167</v>
      </c>
      <c r="AC504" s="27" t="n">
        <f>12842</f>
        <v>12842.0</v>
      </c>
      <c r="AD504" s="5" t="s">
        <v>213</v>
      </c>
      <c r="AE504" s="28" t="n">
        <f>679</f>
        <v>679.0</v>
      </c>
    </row>
    <row r="505">
      <c r="A505" s="20" t="s">
        <v>1201</v>
      </c>
      <c r="B505" s="21" t="s">
        <v>1202</v>
      </c>
      <c r="C505" s="22" t="s">
        <v>1128</v>
      </c>
      <c r="D505" s="23" t="s">
        <v>1129</v>
      </c>
      <c r="E505" s="24" t="s">
        <v>223</v>
      </c>
      <c r="F505" s="25" t="n">
        <f>246</f>
        <v>246.0</v>
      </c>
      <c r="G505" s="26" t="n">
        <f>60848</f>
        <v>60848.0</v>
      </c>
      <c r="H505" s="26"/>
      <c r="I505" s="26" t="str">
        <f>"－"</f>
        <v>－</v>
      </c>
      <c r="J505" s="26" t="n">
        <f>247</f>
        <v>247.0</v>
      </c>
      <c r="K505" s="26" t="str">
        <f>"－"</f>
        <v>－</v>
      </c>
      <c r="L505" s="4" t="s">
        <v>818</v>
      </c>
      <c r="M505" s="27" t="n">
        <f>6814</f>
        <v>6814.0</v>
      </c>
      <c r="N505" s="5" t="s">
        <v>213</v>
      </c>
      <c r="O505" s="28" t="str">
        <f>"－"</f>
        <v>－</v>
      </c>
      <c r="P505" s="3" t="s">
        <v>1256</v>
      </c>
      <c r="Q505" s="26"/>
      <c r="R505" s="3" t="s">
        <v>160</v>
      </c>
      <c r="S505" s="26" t="n">
        <f>21842215</f>
        <v>2.1842215E7</v>
      </c>
      <c r="T505" s="26" t="str">
        <f>"－"</f>
        <v>－</v>
      </c>
      <c r="U505" s="5" t="s">
        <v>818</v>
      </c>
      <c r="V505" s="28" t="n">
        <f>618142000</f>
        <v>6.18142E8</v>
      </c>
      <c r="W505" s="5" t="s">
        <v>213</v>
      </c>
      <c r="X505" s="28" t="str">
        <f>"－"</f>
        <v>－</v>
      </c>
      <c r="Y505" s="28" t="n">
        <f>2937</f>
        <v>2937.0</v>
      </c>
      <c r="Z505" s="26" t="str">
        <f>"－"</f>
        <v>－</v>
      </c>
      <c r="AA505" s="26" t="n">
        <f>3184</f>
        <v>3184.0</v>
      </c>
      <c r="AB505" s="4" t="s">
        <v>193</v>
      </c>
      <c r="AC505" s="27" t="n">
        <f>8351</f>
        <v>8351.0</v>
      </c>
      <c r="AD505" s="5" t="s">
        <v>213</v>
      </c>
      <c r="AE505" s="28" t="str">
        <f>"－"</f>
        <v>－</v>
      </c>
    </row>
    <row r="506">
      <c r="A506" s="20" t="s">
        <v>1201</v>
      </c>
      <c r="B506" s="21" t="s">
        <v>1202</v>
      </c>
      <c r="C506" s="22" t="s">
        <v>1132</v>
      </c>
      <c r="D506" s="23" t="s">
        <v>1133</v>
      </c>
      <c r="E506" s="24" t="s">
        <v>223</v>
      </c>
      <c r="F506" s="25" t="n">
        <f>246</f>
        <v>246.0</v>
      </c>
      <c r="G506" s="26" t="n">
        <f>125472</f>
        <v>125472.0</v>
      </c>
      <c r="H506" s="26"/>
      <c r="I506" s="26" t="str">
        <f>"－"</f>
        <v>－</v>
      </c>
      <c r="J506" s="26" t="n">
        <f>510</f>
        <v>510.0</v>
      </c>
      <c r="K506" s="26" t="str">
        <f>"－"</f>
        <v>－</v>
      </c>
      <c r="L506" s="4" t="s">
        <v>818</v>
      </c>
      <c r="M506" s="27" t="n">
        <f>14743</f>
        <v>14743.0</v>
      </c>
      <c r="N506" s="5" t="s">
        <v>213</v>
      </c>
      <c r="O506" s="28" t="str">
        <f>"－"</f>
        <v>－</v>
      </c>
      <c r="P506" s="3" t="s">
        <v>1257</v>
      </c>
      <c r="Q506" s="26"/>
      <c r="R506" s="3" t="s">
        <v>160</v>
      </c>
      <c r="S506" s="26" t="n">
        <f>106824459</f>
        <v>1.06824459E8</v>
      </c>
      <c r="T506" s="26" t="str">
        <f>"－"</f>
        <v>－</v>
      </c>
      <c r="U506" s="5" t="s">
        <v>920</v>
      </c>
      <c r="V506" s="28" t="n">
        <f>3978381000</f>
        <v>3.978381E9</v>
      </c>
      <c r="W506" s="5" t="s">
        <v>213</v>
      </c>
      <c r="X506" s="28" t="str">
        <f>"－"</f>
        <v>－</v>
      </c>
      <c r="Y506" s="28" t="n">
        <f>5289</f>
        <v>5289.0</v>
      </c>
      <c r="Z506" s="26" t="str">
        <f>"－"</f>
        <v>－</v>
      </c>
      <c r="AA506" s="26" t="n">
        <f>10665</f>
        <v>10665.0</v>
      </c>
      <c r="AB506" s="4" t="s">
        <v>167</v>
      </c>
      <c r="AC506" s="27" t="n">
        <f>21125</f>
        <v>21125.0</v>
      </c>
      <c r="AD506" s="5" t="s">
        <v>213</v>
      </c>
      <c r="AE506" s="28" t="n">
        <f>679</f>
        <v>679.0</v>
      </c>
    </row>
    <row r="507">
      <c r="A507" s="20" t="s">
        <v>1201</v>
      </c>
      <c r="B507" s="21" t="s">
        <v>1202</v>
      </c>
      <c r="C507" s="22" t="s">
        <v>1124</v>
      </c>
      <c r="D507" s="23" t="s">
        <v>1125</v>
      </c>
      <c r="E507" s="24" t="s">
        <v>227</v>
      </c>
      <c r="F507" s="25" t="n">
        <f>248</f>
        <v>248.0</v>
      </c>
      <c r="G507" s="26" t="n">
        <f>32497</f>
        <v>32497.0</v>
      </c>
      <c r="H507" s="26"/>
      <c r="I507" s="26" t="str">
        <f>"－"</f>
        <v>－</v>
      </c>
      <c r="J507" s="26" t="n">
        <f>131</f>
        <v>131.0</v>
      </c>
      <c r="K507" s="26" t="str">
        <f>"－"</f>
        <v>－</v>
      </c>
      <c r="L507" s="4" t="s">
        <v>68</v>
      </c>
      <c r="M507" s="27" t="n">
        <f>7184</f>
        <v>7184.0</v>
      </c>
      <c r="N507" s="5" t="s">
        <v>213</v>
      </c>
      <c r="O507" s="28" t="str">
        <f>"－"</f>
        <v>－</v>
      </c>
      <c r="P507" s="3" t="s">
        <v>1258</v>
      </c>
      <c r="Q507" s="26"/>
      <c r="R507" s="3" t="s">
        <v>160</v>
      </c>
      <c r="S507" s="26" t="n">
        <f>11896448</f>
        <v>1.1896448E7</v>
      </c>
      <c r="T507" s="26" t="str">
        <f>"－"</f>
        <v>－</v>
      </c>
      <c r="U507" s="5" t="s">
        <v>68</v>
      </c>
      <c r="V507" s="28" t="n">
        <f>663464000</f>
        <v>6.63464E8</v>
      </c>
      <c r="W507" s="5" t="s">
        <v>213</v>
      </c>
      <c r="X507" s="28" t="str">
        <f>"－"</f>
        <v>－</v>
      </c>
      <c r="Y507" s="28" t="n">
        <f>4481</f>
        <v>4481.0</v>
      </c>
      <c r="Z507" s="26" t="str">
        <f>"－"</f>
        <v>－</v>
      </c>
      <c r="AA507" s="26" t="n">
        <f>270</f>
        <v>270.0</v>
      </c>
      <c r="AB507" s="4" t="s">
        <v>517</v>
      </c>
      <c r="AC507" s="27" t="n">
        <f>10349</f>
        <v>10349.0</v>
      </c>
      <c r="AD507" s="5" t="s">
        <v>1259</v>
      </c>
      <c r="AE507" s="28" t="n">
        <f>230</f>
        <v>230.0</v>
      </c>
    </row>
    <row r="508">
      <c r="A508" s="20" t="s">
        <v>1201</v>
      </c>
      <c r="B508" s="21" t="s">
        <v>1202</v>
      </c>
      <c r="C508" s="22" t="s">
        <v>1128</v>
      </c>
      <c r="D508" s="23" t="s">
        <v>1129</v>
      </c>
      <c r="E508" s="24" t="s">
        <v>227</v>
      </c>
      <c r="F508" s="25" t="n">
        <f>248</f>
        <v>248.0</v>
      </c>
      <c r="G508" s="26" t="n">
        <f>34457</f>
        <v>34457.0</v>
      </c>
      <c r="H508" s="26"/>
      <c r="I508" s="26" t="str">
        <f>"－"</f>
        <v>－</v>
      </c>
      <c r="J508" s="26" t="n">
        <f>139</f>
        <v>139.0</v>
      </c>
      <c r="K508" s="26" t="str">
        <f>"－"</f>
        <v>－</v>
      </c>
      <c r="L508" s="4" t="s">
        <v>68</v>
      </c>
      <c r="M508" s="27" t="n">
        <f>6341</f>
        <v>6341.0</v>
      </c>
      <c r="N508" s="5" t="s">
        <v>213</v>
      </c>
      <c r="O508" s="28" t="str">
        <f>"－"</f>
        <v>－</v>
      </c>
      <c r="P508" s="3" t="s">
        <v>1260</v>
      </c>
      <c r="Q508" s="26"/>
      <c r="R508" s="3" t="s">
        <v>160</v>
      </c>
      <c r="S508" s="26" t="n">
        <f>36108367</f>
        <v>3.6108367E7</v>
      </c>
      <c r="T508" s="26" t="str">
        <f>"－"</f>
        <v>－</v>
      </c>
      <c r="U508" s="5" t="s">
        <v>775</v>
      </c>
      <c r="V508" s="28" t="n">
        <f>1259055000</f>
        <v>1.259055E9</v>
      </c>
      <c r="W508" s="5" t="s">
        <v>213</v>
      </c>
      <c r="X508" s="28" t="str">
        <f>"－"</f>
        <v>－</v>
      </c>
      <c r="Y508" s="28" t="n">
        <f>6684</f>
        <v>6684.0</v>
      </c>
      <c r="Z508" s="26" t="str">
        <f>"－"</f>
        <v>－</v>
      </c>
      <c r="AA508" s="26" t="n">
        <f>1874</f>
        <v>1874.0</v>
      </c>
      <c r="AB508" s="4" t="s">
        <v>517</v>
      </c>
      <c r="AC508" s="27" t="n">
        <f>9408</f>
        <v>9408.0</v>
      </c>
      <c r="AD508" s="5" t="s">
        <v>1259</v>
      </c>
      <c r="AE508" s="28" t="n">
        <f>230</f>
        <v>230.0</v>
      </c>
    </row>
    <row r="509">
      <c r="A509" s="20" t="s">
        <v>1201</v>
      </c>
      <c r="B509" s="21" t="s">
        <v>1202</v>
      </c>
      <c r="C509" s="22" t="s">
        <v>1132</v>
      </c>
      <c r="D509" s="23" t="s">
        <v>1133</v>
      </c>
      <c r="E509" s="24" t="s">
        <v>227</v>
      </c>
      <c r="F509" s="25" t="n">
        <f>248</f>
        <v>248.0</v>
      </c>
      <c r="G509" s="26" t="n">
        <f>66954</f>
        <v>66954.0</v>
      </c>
      <c r="H509" s="26"/>
      <c r="I509" s="26" t="str">
        <f>"－"</f>
        <v>－</v>
      </c>
      <c r="J509" s="26" t="n">
        <f>270</f>
        <v>270.0</v>
      </c>
      <c r="K509" s="26" t="str">
        <f>"－"</f>
        <v>－</v>
      </c>
      <c r="L509" s="4" t="s">
        <v>68</v>
      </c>
      <c r="M509" s="27" t="n">
        <f>13525</f>
        <v>13525.0</v>
      </c>
      <c r="N509" s="5" t="s">
        <v>213</v>
      </c>
      <c r="O509" s="28" t="str">
        <f>"－"</f>
        <v>－</v>
      </c>
      <c r="P509" s="3" t="s">
        <v>1261</v>
      </c>
      <c r="Q509" s="26"/>
      <c r="R509" s="3" t="s">
        <v>160</v>
      </c>
      <c r="S509" s="26" t="n">
        <f>48004815</f>
        <v>4.8004815E7</v>
      </c>
      <c r="T509" s="26" t="str">
        <f>"－"</f>
        <v>－</v>
      </c>
      <c r="U509" s="5" t="s">
        <v>68</v>
      </c>
      <c r="V509" s="28" t="n">
        <f>1647884000</f>
        <v>1.647884E9</v>
      </c>
      <c r="W509" s="5" t="s">
        <v>213</v>
      </c>
      <c r="X509" s="28" t="str">
        <f>"－"</f>
        <v>－</v>
      </c>
      <c r="Y509" s="28" t="n">
        <f>11165</f>
        <v>11165.0</v>
      </c>
      <c r="Z509" s="26" t="str">
        <f>"－"</f>
        <v>－</v>
      </c>
      <c r="AA509" s="26" t="n">
        <f>2144</f>
        <v>2144.0</v>
      </c>
      <c r="AB509" s="4" t="s">
        <v>517</v>
      </c>
      <c r="AC509" s="27" t="n">
        <f>19757</f>
        <v>19757.0</v>
      </c>
      <c r="AD509" s="5" t="s">
        <v>1259</v>
      </c>
      <c r="AE509" s="28" t="n">
        <f>460</f>
        <v>460.0</v>
      </c>
    </row>
    <row r="510">
      <c r="A510" s="20" t="s">
        <v>1201</v>
      </c>
      <c r="B510" s="21" t="s">
        <v>1202</v>
      </c>
      <c r="C510" s="22" t="s">
        <v>1124</v>
      </c>
      <c r="D510" s="23" t="s">
        <v>1125</v>
      </c>
      <c r="E510" s="24" t="s">
        <v>230</v>
      </c>
      <c r="F510" s="25" t="n">
        <f>245</f>
        <v>245.0</v>
      </c>
      <c r="G510" s="26" t="n">
        <f>7808</f>
        <v>7808.0</v>
      </c>
      <c r="H510" s="26"/>
      <c r="I510" s="26" t="str">
        <f>"－"</f>
        <v>－</v>
      </c>
      <c r="J510" s="26" t="n">
        <f>32</f>
        <v>32.0</v>
      </c>
      <c r="K510" s="26" t="str">
        <f>"－"</f>
        <v>－</v>
      </c>
      <c r="L510" s="4" t="s">
        <v>162</v>
      </c>
      <c r="M510" s="27" t="n">
        <f>1440</f>
        <v>1440.0</v>
      </c>
      <c r="N510" s="5" t="s">
        <v>213</v>
      </c>
      <c r="O510" s="28" t="str">
        <f>"－"</f>
        <v>－</v>
      </c>
      <c r="P510" s="3" t="s">
        <v>1262</v>
      </c>
      <c r="Q510" s="26"/>
      <c r="R510" s="3" t="s">
        <v>160</v>
      </c>
      <c r="S510" s="26" t="n">
        <f>2719898</f>
        <v>2719898.0</v>
      </c>
      <c r="T510" s="26" t="str">
        <f>"－"</f>
        <v>－</v>
      </c>
      <c r="U510" s="5" t="s">
        <v>775</v>
      </c>
      <c r="V510" s="28" t="n">
        <f>195000000</f>
        <v>1.95E8</v>
      </c>
      <c r="W510" s="5" t="s">
        <v>213</v>
      </c>
      <c r="X510" s="28" t="str">
        <f>"－"</f>
        <v>－</v>
      </c>
      <c r="Y510" s="28" t="n">
        <f>1500</f>
        <v>1500.0</v>
      </c>
      <c r="Z510" s="26" t="str">
        <f>"－"</f>
        <v>－</v>
      </c>
      <c r="AA510" s="26" t="n">
        <f>760</f>
        <v>760.0</v>
      </c>
      <c r="AB510" s="4" t="s">
        <v>900</v>
      </c>
      <c r="AC510" s="27" t="n">
        <f>1933</f>
        <v>1933.0</v>
      </c>
      <c r="AD510" s="5" t="s">
        <v>917</v>
      </c>
      <c r="AE510" s="28" t="n">
        <f>265</f>
        <v>265.0</v>
      </c>
    </row>
    <row r="511">
      <c r="A511" s="20" t="s">
        <v>1201</v>
      </c>
      <c r="B511" s="21" t="s">
        <v>1202</v>
      </c>
      <c r="C511" s="22" t="s">
        <v>1128</v>
      </c>
      <c r="D511" s="23" t="s">
        <v>1129</v>
      </c>
      <c r="E511" s="24" t="s">
        <v>230</v>
      </c>
      <c r="F511" s="25" t="n">
        <f>245</f>
        <v>245.0</v>
      </c>
      <c r="G511" s="26" t="n">
        <f>9542</f>
        <v>9542.0</v>
      </c>
      <c r="H511" s="26"/>
      <c r="I511" s="26" t="str">
        <f>"－"</f>
        <v>－</v>
      </c>
      <c r="J511" s="26" t="n">
        <f>39</f>
        <v>39.0</v>
      </c>
      <c r="K511" s="26" t="str">
        <f>"－"</f>
        <v>－</v>
      </c>
      <c r="L511" s="4" t="s">
        <v>889</v>
      </c>
      <c r="M511" s="27" t="n">
        <f>2413</f>
        <v>2413.0</v>
      </c>
      <c r="N511" s="5" t="s">
        <v>403</v>
      </c>
      <c r="O511" s="28" t="str">
        <f>"－"</f>
        <v>－</v>
      </c>
      <c r="P511" s="3" t="s">
        <v>1263</v>
      </c>
      <c r="Q511" s="26"/>
      <c r="R511" s="3" t="s">
        <v>160</v>
      </c>
      <c r="S511" s="26" t="n">
        <f>29172551</f>
        <v>2.9172551E7</v>
      </c>
      <c r="T511" s="26" t="str">
        <f>"－"</f>
        <v>－</v>
      </c>
      <c r="U511" s="5" t="s">
        <v>74</v>
      </c>
      <c r="V511" s="28" t="n">
        <f>1957560000</f>
        <v>1.95756E9</v>
      </c>
      <c r="W511" s="5" t="s">
        <v>403</v>
      </c>
      <c r="X511" s="28" t="str">
        <f>"－"</f>
        <v>－</v>
      </c>
      <c r="Y511" s="28" t="str">
        <f>"－"</f>
        <v>－</v>
      </c>
      <c r="Z511" s="26" t="str">
        <f>"－"</f>
        <v>－</v>
      </c>
      <c r="AA511" s="26" t="n">
        <f>760</f>
        <v>760.0</v>
      </c>
      <c r="AB511" s="4" t="s">
        <v>389</v>
      </c>
      <c r="AC511" s="27" t="n">
        <f>2683</f>
        <v>2683.0</v>
      </c>
      <c r="AD511" s="5" t="s">
        <v>889</v>
      </c>
      <c r="AE511" s="28" t="n">
        <f>265</f>
        <v>265.0</v>
      </c>
    </row>
    <row r="512">
      <c r="A512" s="20" t="s">
        <v>1201</v>
      </c>
      <c r="B512" s="21" t="s">
        <v>1202</v>
      </c>
      <c r="C512" s="22" t="s">
        <v>1132</v>
      </c>
      <c r="D512" s="23" t="s">
        <v>1133</v>
      </c>
      <c r="E512" s="24" t="s">
        <v>230</v>
      </c>
      <c r="F512" s="25" t="n">
        <f>245</f>
        <v>245.0</v>
      </c>
      <c r="G512" s="26" t="n">
        <f>17350</f>
        <v>17350.0</v>
      </c>
      <c r="H512" s="26"/>
      <c r="I512" s="26" t="str">
        <f>"－"</f>
        <v>－</v>
      </c>
      <c r="J512" s="26" t="n">
        <f>71</f>
        <v>71.0</v>
      </c>
      <c r="K512" s="26" t="str">
        <f>"－"</f>
        <v>－</v>
      </c>
      <c r="L512" s="4" t="s">
        <v>162</v>
      </c>
      <c r="M512" s="27" t="n">
        <f>2880</f>
        <v>2880.0</v>
      </c>
      <c r="N512" s="5" t="s">
        <v>403</v>
      </c>
      <c r="O512" s="28" t="str">
        <f>"－"</f>
        <v>－</v>
      </c>
      <c r="P512" s="3" t="s">
        <v>1264</v>
      </c>
      <c r="Q512" s="26"/>
      <c r="R512" s="3" t="s">
        <v>160</v>
      </c>
      <c r="S512" s="26" t="n">
        <f>31892449</f>
        <v>3.1892449E7</v>
      </c>
      <c r="T512" s="26" t="str">
        <f>"－"</f>
        <v>－</v>
      </c>
      <c r="U512" s="5" t="s">
        <v>74</v>
      </c>
      <c r="V512" s="28" t="n">
        <f>2000460000</f>
        <v>2.00046E9</v>
      </c>
      <c r="W512" s="5" t="s">
        <v>403</v>
      </c>
      <c r="X512" s="28" t="str">
        <f>"－"</f>
        <v>－</v>
      </c>
      <c r="Y512" s="28" t="n">
        <f>1500</f>
        <v>1500.0</v>
      </c>
      <c r="Z512" s="26" t="str">
        <f>"－"</f>
        <v>－</v>
      </c>
      <c r="AA512" s="26" t="n">
        <f>1520</f>
        <v>1520.0</v>
      </c>
      <c r="AB512" s="4" t="s">
        <v>900</v>
      </c>
      <c r="AC512" s="27" t="n">
        <f>3778</f>
        <v>3778.0</v>
      </c>
      <c r="AD512" s="5" t="s">
        <v>889</v>
      </c>
      <c r="AE512" s="28" t="n">
        <f>530</f>
        <v>530.0</v>
      </c>
    </row>
    <row r="513">
      <c r="A513" s="20" t="s">
        <v>1201</v>
      </c>
      <c r="B513" s="21" t="s">
        <v>1202</v>
      </c>
      <c r="C513" s="22" t="s">
        <v>1124</v>
      </c>
      <c r="D513" s="23" t="s">
        <v>1125</v>
      </c>
      <c r="E513" s="24" t="s">
        <v>235</v>
      </c>
      <c r="F513" s="25" t="n">
        <f>246</f>
        <v>246.0</v>
      </c>
      <c r="G513" s="26" t="n">
        <f>11357</f>
        <v>11357.0</v>
      </c>
      <c r="H513" s="26"/>
      <c r="I513" s="26" t="str">
        <f>"－"</f>
        <v>－</v>
      </c>
      <c r="J513" s="26" t="n">
        <f>46</f>
        <v>46.0</v>
      </c>
      <c r="K513" s="26" t="str">
        <f>"－"</f>
        <v>－</v>
      </c>
      <c r="L513" s="4" t="s">
        <v>96</v>
      </c>
      <c r="M513" s="27" t="n">
        <f>2440</f>
        <v>2440.0</v>
      </c>
      <c r="N513" s="5" t="s">
        <v>213</v>
      </c>
      <c r="O513" s="28" t="str">
        <f>"－"</f>
        <v>－</v>
      </c>
      <c r="P513" s="3" t="s">
        <v>1265</v>
      </c>
      <c r="Q513" s="26"/>
      <c r="R513" s="3" t="s">
        <v>160</v>
      </c>
      <c r="S513" s="26" t="n">
        <f>2734533</f>
        <v>2734533.0</v>
      </c>
      <c r="T513" s="26" t="str">
        <f>"－"</f>
        <v>－</v>
      </c>
      <c r="U513" s="5" t="s">
        <v>162</v>
      </c>
      <c r="V513" s="28" t="n">
        <f>160450000</f>
        <v>1.6045E8</v>
      </c>
      <c r="W513" s="5" t="s">
        <v>213</v>
      </c>
      <c r="X513" s="28" t="str">
        <f>"－"</f>
        <v>－</v>
      </c>
      <c r="Y513" s="28" t="str">
        <f>"－"</f>
        <v>－</v>
      </c>
      <c r="Z513" s="26" t="str">
        <f>"－"</f>
        <v>－</v>
      </c>
      <c r="AA513" s="26" t="n">
        <f>677</f>
        <v>677.0</v>
      </c>
      <c r="AB513" s="4" t="s">
        <v>162</v>
      </c>
      <c r="AC513" s="27" t="n">
        <f>2800</f>
        <v>2800.0</v>
      </c>
      <c r="AD513" s="5" t="s">
        <v>85</v>
      </c>
      <c r="AE513" s="28" t="n">
        <f>677</f>
        <v>677.0</v>
      </c>
    </row>
    <row r="514">
      <c r="A514" s="20" t="s">
        <v>1201</v>
      </c>
      <c r="B514" s="21" t="s">
        <v>1202</v>
      </c>
      <c r="C514" s="22" t="s">
        <v>1128</v>
      </c>
      <c r="D514" s="23" t="s">
        <v>1129</v>
      </c>
      <c r="E514" s="24" t="s">
        <v>235</v>
      </c>
      <c r="F514" s="25" t="n">
        <f>246</f>
        <v>246.0</v>
      </c>
      <c r="G514" s="26" t="n">
        <f>9571</f>
        <v>9571.0</v>
      </c>
      <c r="H514" s="26"/>
      <c r="I514" s="26" t="str">
        <f>"－"</f>
        <v>－</v>
      </c>
      <c r="J514" s="26" t="n">
        <f>39</f>
        <v>39.0</v>
      </c>
      <c r="K514" s="26" t="str">
        <f>"－"</f>
        <v>－</v>
      </c>
      <c r="L514" s="4" t="s">
        <v>96</v>
      </c>
      <c r="M514" s="27" t="n">
        <f>2440</f>
        <v>2440.0</v>
      </c>
      <c r="N514" s="5" t="s">
        <v>213</v>
      </c>
      <c r="O514" s="28" t="str">
        <f>"－"</f>
        <v>－</v>
      </c>
      <c r="P514" s="3" t="s">
        <v>1266</v>
      </c>
      <c r="Q514" s="26"/>
      <c r="R514" s="3" t="s">
        <v>160</v>
      </c>
      <c r="S514" s="26" t="n">
        <f>71043293</f>
        <v>7.1043293E7</v>
      </c>
      <c r="T514" s="26" t="str">
        <f>"－"</f>
        <v>－</v>
      </c>
      <c r="U514" s="5" t="s">
        <v>64</v>
      </c>
      <c r="V514" s="28" t="n">
        <f>5951600000</f>
        <v>5.9516E9</v>
      </c>
      <c r="W514" s="5" t="s">
        <v>213</v>
      </c>
      <c r="X514" s="28" t="str">
        <f>"－"</f>
        <v>－</v>
      </c>
      <c r="Y514" s="28" t="str">
        <f>"－"</f>
        <v>－</v>
      </c>
      <c r="Z514" s="26" t="str">
        <f>"－"</f>
        <v>－</v>
      </c>
      <c r="AA514" s="26" t="n">
        <f>677</f>
        <v>677.0</v>
      </c>
      <c r="AB514" s="4" t="s">
        <v>387</v>
      </c>
      <c r="AC514" s="27" t="n">
        <f>1787</f>
        <v>1787.0</v>
      </c>
      <c r="AD514" s="5" t="s">
        <v>167</v>
      </c>
      <c r="AE514" s="28" t="n">
        <f>650</f>
        <v>650.0</v>
      </c>
    </row>
    <row r="515">
      <c r="A515" s="20" t="s">
        <v>1201</v>
      </c>
      <c r="B515" s="21" t="s">
        <v>1202</v>
      </c>
      <c r="C515" s="22" t="s">
        <v>1132</v>
      </c>
      <c r="D515" s="23" t="s">
        <v>1133</v>
      </c>
      <c r="E515" s="24" t="s">
        <v>235</v>
      </c>
      <c r="F515" s="25" t="n">
        <f>246</f>
        <v>246.0</v>
      </c>
      <c r="G515" s="26" t="n">
        <f>20928</f>
        <v>20928.0</v>
      </c>
      <c r="H515" s="26"/>
      <c r="I515" s="26" t="str">
        <f>"－"</f>
        <v>－</v>
      </c>
      <c r="J515" s="26" t="n">
        <f>85</f>
        <v>85.0</v>
      </c>
      <c r="K515" s="26" t="str">
        <f>"－"</f>
        <v>－</v>
      </c>
      <c r="L515" s="4" t="s">
        <v>96</v>
      </c>
      <c r="M515" s="27" t="n">
        <f>4880</f>
        <v>4880.0</v>
      </c>
      <c r="N515" s="5" t="s">
        <v>213</v>
      </c>
      <c r="O515" s="28" t="str">
        <f>"－"</f>
        <v>－</v>
      </c>
      <c r="P515" s="3" t="s">
        <v>1267</v>
      </c>
      <c r="Q515" s="26"/>
      <c r="R515" s="3" t="s">
        <v>160</v>
      </c>
      <c r="S515" s="26" t="n">
        <f>73777825</f>
        <v>7.3777825E7</v>
      </c>
      <c r="T515" s="26" t="str">
        <f>"－"</f>
        <v>－</v>
      </c>
      <c r="U515" s="5" t="s">
        <v>64</v>
      </c>
      <c r="V515" s="28" t="n">
        <f>6024415000</f>
        <v>6.024415E9</v>
      </c>
      <c r="W515" s="5" t="s">
        <v>213</v>
      </c>
      <c r="X515" s="28" t="str">
        <f>"－"</f>
        <v>－</v>
      </c>
      <c r="Y515" s="28" t="str">
        <f>"－"</f>
        <v>－</v>
      </c>
      <c r="Z515" s="26" t="str">
        <f>"－"</f>
        <v>－</v>
      </c>
      <c r="AA515" s="26" t="n">
        <f>1354</f>
        <v>1354.0</v>
      </c>
      <c r="AB515" s="4" t="s">
        <v>162</v>
      </c>
      <c r="AC515" s="27" t="n">
        <f>3680</f>
        <v>3680.0</v>
      </c>
      <c r="AD515" s="5" t="s">
        <v>85</v>
      </c>
      <c r="AE515" s="28" t="n">
        <f>1354</f>
        <v>1354.0</v>
      </c>
    </row>
    <row r="516">
      <c r="A516" s="20" t="s">
        <v>1201</v>
      </c>
      <c r="B516" s="21" t="s">
        <v>1202</v>
      </c>
      <c r="C516" s="22" t="s">
        <v>1124</v>
      </c>
      <c r="D516" s="23" t="s">
        <v>1125</v>
      </c>
      <c r="E516" s="24" t="s">
        <v>240</v>
      </c>
      <c r="F516" s="25" t="n">
        <f>246</f>
        <v>246.0</v>
      </c>
      <c r="G516" s="26" t="n">
        <f>8676</f>
        <v>8676.0</v>
      </c>
      <c r="H516" s="26"/>
      <c r="I516" s="26" t="str">
        <f>"－"</f>
        <v>－</v>
      </c>
      <c r="J516" s="26" t="n">
        <f>35</f>
        <v>35.0</v>
      </c>
      <c r="K516" s="26" t="str">
        <f>"－"</f>
        <v>－</v>
      </c>
      <c r="L516" s="4" t="s">
        <v>188</v>
      </c>
      <c r="M516" s="27" t="n">
        <f>1536</f>
        <v>1536.0</v>
      </c>
      <c r="N516" s="5" t="s">
        <v>455</v>
      </c>
      <c r="O516" s="28" t="str">
        <f>"－"</f>
        <v>－</v>
      </c>
      <c r="P516" s="3" t="s">
        <v>1268</v>
      </c>
      <c r="Q516" s="26"/>
      <c r="R516" s="3" t="s">
        <v>160</v>
      </c>
      <c r="S516" s="26" t="n">
        <f>5082354</f>
        <v>5082354.0</v>
      </c>
      <c r="T516" s="26" t="str">
        <f>"－"</f>
        <v>－</v>
      </c>
      <c r="U516" s="5" t="s">
        <v>104</v>
      </c>
      <c r="V516" s="28" t="n">
        <f>169688000</f>
        <v>1.69688E8</v>
      </c>
      <c r="W516" s="5" t="s">
        <v>455</v>
      </c>
      <c r="X516" s="28" t="str">
        <f>"－"</f>
        <v>－</v>
      </c>
      <c r="Y516" s="28" t="str">
        <f>"－"</f>
        <v>－</v>
      </c>
      <c r="Z516" s="26" t="str">
        <f>"－"</f>
        <v>－</v>
      </c>
      <c r="AA516" s="26" t="n">
        <f>848</f>
        <v>848.0</v>
      </c>
      <c r="AB516" s="4" t="s">
        <v>682</v>
      </c>
      <c r="AC516" s="27" t="n">
        <f>993</f>
        <v>993.0</v>
      </c>
      <c r="AD516" s="5" t="s">
        <v>619</v>
      </c>
      <c r="AE516" s="28" t="n">
        <f>660</f>
        <v>660.0</v>
      </c>
    </row>
    <row r="517">
      <c r="A517" s="20" t="s">
        <v>1201</v>
      </c>
      <c r="B517" s="21" t="s">
        <v>1202</v>
      </c>
      <c r="C517" s="22" t="s">
        <v>1128</v>
      </c>
      <c r="D517" s="23" t="s">
        <v>1129</v>
      </c>
      <c r="E517" s="24" t="s">
        <v>240</v>
      </c>
      <c r="F517" s="25" t="n">
        <f>246</f>
        <v>246.0</v>
      </c>
      <c r="G517" s="26" t="n">
        <f>10384</f>
        <v>10384.0</v>
      </c>
      <c r="H517" s="26"/>
      <c r="I517" s="26" t="str">
        <f>"－"</f>
        <v>－</v>
      </c>
      <c r="J517" s="26" t="n">
        <f>42</f>
        <v>42.0</v>
      </c>
      <c r="K517" s="26" t="str">
        <f>"－"</f>
        <v>－</v>
      </c>
      <c r="L517" s="4" t="s">
        <v>188</v>
      </c>
      <c r="M517" s="27" t="n">
        <f>1536</f>
        <v>1536.0</v>
      </c>
      <c r="N517" s="5" t="s">
        <v>455</v>
      </c>
      <c r="O517" s="28" t="str">
        <f>"－"</f>
        <v>－</v>
      </c>
      <c r="P517" s="3" t="s">
        <v>1269</v>
      </c>
      <c r="Q517" s="26"/>
      <c r="R517" s="3" t="s">
        <v>160</v>
      </c>
      <c r="S517" s="26" t="n">
        <f>51294309</f>
        <v>5.1294309E7</v>
      </c>
      <c r="T517" s="26" t="str">
        <f>"－"</f>
        <v>－</v>
      </c>
      <c r="U517" s="5" t="s">
        <v>188</v>
      </c>
      <c r="V517" s="28" t="n">
        <f>2164955000</f>
        <v>2.164955E9</v>
      </c>
      <c r="W517" s="5" t="s">
        <v>455</v>
      </c>
      <c r="X517" s="28" t="str">
        <f>"－"</f>
        <v>－</v>
      </c>
      <c r="Y517" s="28" t="n">
        <f>116</f>
        <v>116.0</v>
      </c>
      <c r="Z517" s="26" t="str">
        <f>"－"</f>
        <v>－</v>
      </c>
      <c r="AA517" s="26" t="n">
        <f>950</f>
        <v>950.0</v>
      </c>
      <c r="AB517" s="4" t="s">
        <v>726</v>
      </c>
      <c r="AC517" s="27" t="n">
        <f>1642</f>
        <v>1642.0</v>
      </c>
      <c r="AD517" s="5" t="s">
        <v>619</v>
      </c>
      <c r="AE517" s="28" t="n">
        <f>660</f>
        <v>660.0</v>
      </c>
    </row>
    <row r="518">
      <c r="A518" s="20" t="s">
        <v>1201</v>
      </c>
      <c r="B518" s="21" t="s">
        <v>1202</v>
      </c>
      <c r="C518" s="22" t="s">
        <v>1132</v>
      </c>
      <c r="D518" s="23" t="s">
        <v>1133</v>
      </c>
      <c r="E518" s="24" t="s">
        <v>240</v>
      </c>
      <c r="F518" s="25" t="n">
        <f>246</f>
        <v>246.0</v>
      </c>
      <c r="G518" s="26" t="n">
        <f>19060</f>
        <v>19060.0</v>
      </c>
      <c r="H518" s="26"/>
      <c r="I518" s="26" t="str">
        <f>"－"</f>
        <v>－</v>
      </c>
      <c r="J518" s="26" t="n">
        <f>77</f>
        <v>77.0</v>
      </c>
      <c r="K518" s="26" t="str">
        <f>"－"</f>
        <v>－</v>
      </c>
      <c r="L518" s="4" t="s">
        <v>188</v>
      </c>
      <c r="M518" s="27" t="n">
        <f>3072</f>
        <v>3072.0</v>
      </c>
      <c r="N518" s="5" t="s">
        <v>455</v>
      </c>
      <c r="O518" s="28" t="str">
        <f>"－"</f>
        <v>－</v>
      </c>
      <c r="P518" s="3" t="s">
        <v>1270</v>
      </c>
      <c r="Q518" s="26"/>
      <c r="R518" s="3" t="s">
        <v>160</v>
      </c>
      <c r="S518" s="26" t="n">
        <f>56376663</f>
        <v>5.6376663E7</v>
      </c>
      <c r="T518" s="26" t="str">
        <f>"－"</f>
        <v>－</v>
      </c>
      <c r="U518" s="5" t="s">
        <v>188</v>
      </c>
      <c r="V518" s="28" t="n">
        <f>2250971000</f>
        <v>2.250971E9</v>
      </c>
      <c r="W518" s="5" t="s">
        <v>455</v>
      </c>
      <c r="X518" s="28" t="str">
        <f>"－"</f>
        <v>－</v>
      </c>
      <c r="Y518" s="28" t="n">
        <f>116</f>
        <v>116.0</v>
      </c>
      <c r="Z518" s="26" t="str">
        <f>"－"</f>
        <v>－</v>
      </c>
      <c r="AA518" s="26" t="n">
        <f>1798</f>
        <v>1798.0</v>
      </c>
      <c r="AB518" s="4" t="s">
        <v>726</v>
      </c>
      <c r="AC518" s="27" t="n">
        <f>2495</f>
        <v>2495.0</v>
      </c>
      <c r="AD518" s="5" t="s">
        <v>619</v>
      </c>
      <c r="AE518" s="28" t="n">
        <f>1320</f>
        <v>1320.0</v>
      </c>
    </row>
    <row r="519">
      <c r="A519" s="20" t="s">
        <v>1201</v>
      </c>
      <c r="B519" s="21" t="s">
        <v>1202</v>
      </c>
      <c r="C519" s="22" t="s">
        <v>1124</v>
      </c>
      <c r="D519" s="23" t="s">
        <v>1125</v>
      </c>
      <c r="E519" s="24" t="s">
        <v>244</v>
      </c>
      <c r="F519" s="25" t="n">
        <f>245</f>
        <v>245.0</v>
      </c>
      <c r="G519" s="26" t="n">
        <f>21559</f>
        <v>21559.0</v>
      </c>
      <c r="H519" s="26"/>
      <c r="I519" s="26" t="n">
        <f>14576</f>
        <v>14576.0</v>
      </c>
      <c r="J519" s="26" t="n">
        <f>88</f>
        <v>88.0</v>
      </c>
      <c r="K519" s="26" t="n">
        <f>59</f>
        <v>59.0</v>
      </c>
      <c r="L519" s="4" t="s">
        <v>667</v>
      </c>
      <c r="M519" s="27" t="n">
        <f>4698</f>
        <v>4698.0</v>
      </c>
      <c r="N519" s="5" t="s">
        <v>389</v>
      </c>
      <c r="O519" s="28" t="str">
        <f>"－"</f>
        <v>－</v>
      </c>
      <c r="P519" s="3" t="s">
        <v>1271</v>
      </c>
      <c r="Q519" s="26"/>
      <c r="R519" s="3" t="s">
        <v>1272</v>
      </c>
      <c r="S519" s="26" t="n">
        <f>55238796</f>
        <v>5.5238796E7</v>
      </c>
      <c r="T519" s="26" t="n">
        <f>43064449</f>
        <v>4.3064449E7</v>
      </c>
      <c r="U519" s="5" t="s">
        <v>667</v>
      </c>
      <c r="V519" s="28" t="n">
        <f>5010430000</f>
        <v>5.01043E9</v>
      </c>
      <c r="W519" s="5" t="s">
        <v>389</v>
      </c>
      <c r="X519" s="28" t="str">
        <f>"－"</f>
        <v>－</v>
      </c>
      <c r="Y519" s="28" t="n">
        <f>135</f>
        <v>135.0</v>
      </c>
      <c r="Z519" s="26" t="n">
        <f>5898</f>
        <v>5898.0</v>
      </c>
      <c r="AA519" s="26" t="n">
        <f>7074</f>
        <v>7074.0</v>
      </c>
      <c r="AB519" s="4" t="s">
        <v>566</v>
      </c>
      <c r="AC519" s="27" t="n">
        <f>8175</f>
        <v>8175.0</v>
      </c>
      <c r="AD519" s="5" t="s">
        <v>327</v>
      </c>
      <c r="AE519" s="28" t="n">
        <f>816</f>
        <v>816.0</v>
      </c>
    </row>
    <row r="520">
      <c r="A520" s="20" t="s">
        <v>1201</v>
      </c>
      <c r="B520" s="21" t="s">
        <v>1202</v>
      </c>
      <c r="C520" s="22" t="s">
        <v>1128</v>
      </c>
      <c r="D520" s="23" t="s">
        <v>1129</v>
      </c>
      <c r="E520" s="24" t="s">
        <v>244</v>
      </c>
      <c r="F520" s="25" t="n">
        <f>245</f>
        <v>245.0</v>
      </c>
      <c r="G520" s="26" t="n">
        <f>20028</f>
        <v>20028.0</v>
      </c>
      <c r="H520" s="26"/>
      <c r="I520" s="26" t="n">
        <f>12641</f>
        <v>12641.0</v>
      </c>
      <c r="J520" s="26" t="n">
        <f>82</f>
        <v>82.0</v>
      </c>
      <c r="K520" s="26" t="n">
        <f>52</f>
        <v>52.0</v>
      </c>
      <c r="L520" s="4" t="s">
        <v>667</v>
      </c>
      <c r="M520" s="27" t="n">
        <f>4698</f>
        <v>4698.0</v>
      </c>
      <c r="N520" s="5" t="s">
        <v>389</v>
      </c>
      <c r="O520" s="28" t="str">
        <f>"－"</f>
        <v>－</v>
      </c>
      <c r="P520" s="3" t="s">
        <v>1273</v>
      </c>
      <c r="Q520" s="26"/>
      <c r="R520" s="3" t="s">
        <v>1274</v>
      </c>
      <c r="S520" s="26" t="n">
        <f>41157527</f>
        <v>4.1157527E7</v>
      </c>
      <c r="T520" s="26" t="n">
        <f>22685890</f>
        <v>2.268589E7</v>
      </c>
      <c r="U520" s="5" t="s">
        <v>667</v>
      </c>
      <c r="V520" s="28" t="n">
        <f>2141115000</f>
        <v>2.141115E9</v>
      </c>
      <c r="W520" s="5" t="s">
        <v>389</v>
      </c>
      <c r="X520" s="28" t="str">
        <f>"－"</f>
        <v>－</v>
      </c>
      <c r="Y520" s="28" t="n">
        <f>3001</f>
        <v>3001.0</v>
      </c>
      <c r="Z520" s="26" t="n">
        <f>5898</f>
        <v>5898.0</v>
      </c>
      <c r="AA520" s="26" t="n">
        <f>6874</f>
        <v>6874.0</v>
      </c>
      <c r="AB520" s="4" t="s">
        <v>566</v>
      </c>
      <c r="AC520" s="27" t="n">
        <f>7394</f>
        <v>7394.0</v>
      </c>
      <c r="AD520" s="5" t="s">
        <v>479</v>
      </c>
      <c r="AE520" s="28" t="n">
        <f>876</f>
        <v>876.0</v>
      </c>
    </row>
    <row r="521">
      <c r="A521" s="20" t="s">
        <v>1201</v>
      </c>
      <c r="B521" s="21" t="s">
        <v>1202</v>
      </c>
      <c r="C521" s="22" t="s">
        <v>1132</v>
      </c>
      <c r="D521" s="23" t="s">
        <v>1133</v>
      </c>
      <c r="E521" s="24" t="s">
        <v>244</v>
      </c>
      <c r="F521" s="25" t="n">
        <f>245</f>
        <v>245.0</v>
      </c>
      <c r="G521" s="26" t="n">
        <f>41587</f>
        <v>41587.0</v>
      </c>
      <c r="H521" s="26"/>
      <c r="I521" s="26" t="n">
        <f>27217</f>
        <v>27217.0</v>
      </c>
      <c r="J521" s="26" t="n">
        <f>170</f>
        <v>170.0</v>
      </c>
      <c r="K521" s="26" t="n">
        <f>111</f>
        <v>111.0</v>
      </c>
      <c r="L521" s="4" t="s">
        <v>667</v>
      </c>
      <c r="M521" s="27" t="n">
        <f>9396</f>
        <v>9396.0</v>
      </c>
      <c r="N521" s="5" t="s">
        <v>389</v>
      </c>
      <c r="O521" s="28" t="str">
        <f>"－"</f>
        <v>－</v>
      </c>
      <c r="P521" s="3" t="s">
        <v>1275</v>
      </c>
      <c r="Q521" s="26"/>
      <c r="R521" s="3" t="s">
        <v>1276</v>
      </c>
      <c r="S521" s="26" t="n">
        <f>96396322</f>
        <v>9.6396322E7</v>
      </c>
      <c r="T521" s="26" t="n">
        <f>65750339</f>
        <v>6.5750339E7</v>
      </c>
      <c r="U521" s="5" t="s">
        <v>667</v>
      </c>
      <c r="V521" s="28" t="n">
        <f>7151545000</f>
        <v>7.151545E9</v>
      </c>
      <c r="W521" s="5" t="s">
        <v>389</v>
      </c>
      <c r="X521" s="28" t="str">
        <f>"－"</f>
        <v>－</v>
      </c>
      <c r="Y521" s="28" t="n">
        <f>3136</f>
        <v>3136.0</v>
      </c>
      <c r="Z521" s="26" t="n">
        <f>11796</f>
        <v>11796.0</v>
      </c>
      <c r="AA521" s="26" t="n">
        <f>13948</f>
        <v>13948.0</v>
      </c>
      <c r="AB521" s="4" t="s">
        <v>566</v>
      </c>
      <c r="AC521" s="27" t="n">
        <f>15569</f>
        <v>15569.0</v>
      </c>
      <c r="AD521" s="5" t="s">
        <v>262</v>
      </c>
      <c r="AE521" s="28" t="n">
        <f>1702</f>
        <v>1702.0</v>
      </c>
    </row>
    <row r="522">
      <c r="A522" s="20" t="s">
        <v>1201</v>
      </c>
      <c r="B522" s="21" t="s">
        <v>1202</v>
      </c>
      <c r="C522" s="22" t="s">
        <v>1124</v>
      </c>
      <c r="D522" s="23" t="s">
        <v>1125</v>
      </c>
      <c r="E522" s="24" t="s">
        <v>247</v>
      </c>
      <c r="F522" s="25" t="n">
        <f>245</f>
        <v>245.0</v>
      </c>
      <c r="G522" s="26" t="n">
        <f>21494</f>
        <v>21494.0</v>
      </c>
      <c r="H522" s="26"/>
      <c r="I522" s="26" t="n">
        <f>21108</f>
        <v>21108.0</v>
      </c>
      <c r="J522" s="26" t="n">
        <f>88</f>
        <v>88.0</v>
      </c>
      <c r="K522" s="26" t="n">
        <f>86</f>
        <v>86.0</v>
      </c>
      <c r="L522" s="4" t="s">
        <v>336</v>
      </c>
      <c r="M522" s="27" t="n">
        <f>2910</f>
        <v>2910.0</v>
      </c>
      <c r="N522" s="5" t="s">
        <v>213</v>
      </c>
      <c r="O522" s="28" t="str">
        <f>"－"</f>
        <v>－</v>
      </c>
      <c r="P522" s="3" t="s">
        <v>1277</v>
      </c>
      <c r="Q522" s="26"/>
      <c r="R522" s="3" t="s">
        <v>1278</v>
      </c>
      <c r="S522" s="26" t="n">
        <f>145564273</f>
        <v>1.45564273E8</v>
      </c>
      <c r="T522" s="26" t="n">
        <f>144958988</f>
        <v>1.44958988E8</v>
      </c>
      <c r="U522" s="5" t="s">
        <v>336</v>
      </c>
      <c r="V522" s="28" t="n">
        <f>9640400000</f>
        <v>9.6404E9</v>
      </c>
      <c r="W522" s="5" t="s">
        <v>213</v>
      </c>
      <c r="X522" s="28" t="str">
        <f>"－"</f>
        <v>－</v>
      </c>
      <c r="Y522" s="28" t="n">
        <f>2551</f>
        <v>2551.0</v>
      </c>
      <c r="Z522" s="26" t="n">
        <f>8663</f>
        <v>8663.0</v>
      </c>
      <c r="AA522" s="26" t="n">
        <f>1958</f>
        <v>1958.0</v>
      </c>
      <c r="AB522" s="4" t="s">
        <v>418</v>
      </c>
      <c r="AC522" s="27" t="n">
        <f>8656</f>
        <v>8656.0</v>
      </c>
      <c r="AD522" s="5" t="s">
        <v>119</v>
      </c>
      <c r="AE522" s="28" t="n">
        <f>1239</f>
        <v>1239.0</v>
      </c>
    </row>
    <row r="523">
      <c r="A523" s="20" t="s">
        <v>1201</v>
      </c>
      <c r="B523" s="21" t="s">
        <v>1202</v>
      </c>
      <c r="C523" s="22" t="s">
        <v>1128</v>
      </c>
      <c r="D523" s="23" t="s">
        <v>1129</v>
      </c>
      <c r="E523" s="24" t="s">
        <v>247</v>
      </c>
      <c r="F523" s="25" t="n">
        <f>245</f>
        <v>245.0</v>
      </c>
      <c r="G523" s="26" t="n">
        <f>20669</f>
        <v>20669.0</v>
      </c>
      <c r="H523" s="26"/>
      <c r="I523" s="26" t="n">
        <f>20189</f>
        <v>20189.0</v>
      </c>
      <c r="J523" s="26" t="n">
        <f>84</f>
        <v>84.0</v>
      </c>
      <c r="K523" s="26" t="n">
        <f>82</f>
        <v>82.0</v>
      </c>
      <c r="L523" s="4" t="s">
        <v>336</v>
      </c>
      <c r="M523" s="27" t="n">
        <f>2968</f>
        <v>2968.0</v>
      </c>
      <c r="N523" s="5" t="s">
        <v>213</v>
      </c>
      <c r="O523" s="28" t="str">
        <f>"－"</f>
        <v>－</v>
      </c>
      <c r="P523" s="3" t="s">
        <v>1279</v>
      </c>
      <c r="Q523" s="26"/>
      <c r="R523" s="3" t="s">
        <v>1280</v>
      </c>
      <c r="S523" s="26" t="n">
        <f>38256645</f>
        <v>3.8256645E7</v>
      </c>
      <c r="T523" s="26" t="n">
        <f>37806033</f>
        <v>3.7806033E7</v>
      </c>
      <c r="U523" s="5" t="s">
        <v>68</v>
      </c>
      <c r="V523" s="28" t="n">
        <f>2007575000</f>
        <v>2.007575E9</v>
      </c>
      <c r="W523" s="5" t="s">
        <v>213</v>
      </c>
      <c r="X523" s="28" t="str">
        <f>"－"</f>
        <v>－</v>
      </c>
      <c r="Y523" s="28" t="n">
        <f>110</f>
        <v>110.0</v>
      </c>
      <c r="Z523" s="26" t="n">
        <f>7738</f>
        <v>7738.0</v>
      </c>
      <c r="AA523" s="26" t="n">
        <f>1958</f>
        <v>1958.0</v>
      </c>
      <c r="AB523" s="4" t="s">
        <v>175</v>
      </c>
      <c r="AC523" s="27" t="n">
        <f>8647</f>
        <v>8647.0</v>
      </c>
      <c r="AD523" s="5" t="s">
        <v>119</v>
      </c>
      <c r="AE523" s="28" t="n">
        <f>1224</f>
        <v>1224.0</v>
      </c>
    </row>
    <row r="524">
      <c r="A524" s="20" t="s">
        <v>1201</v>
      </c>
      <c r="B524" s="21" t="s">
        <v>1202</v>
      </c>
      <c r="C524" s="22" t="s">
        <v>1132</v>
      </c>
      <c r="D524" s="23" t="s">
        <v>1133</v>
      </c>
      <c r="E524" s="24" t="s">
        <v>247</v>
      </c>
      <c r="F524" s="25" t="n">
        <f>245</f>
        <v>245.0</v>
      </c>
      <c r="G524" s="26" t="n">
        <f>42163</f>
        <v>42163.0</v>
      </c>
      <c r="H524" s="26"/>
      <c r="I524" s="26" t="n">
        <f>41297</f>
        <v>41297.0</v>
      </c>
      <c r="J524" s="26" t="n">
        <f>172</f>
        <v>172.0</v>
      </c>
      <c r="K524" s="26" t="n">
        <f>169</f>
        <v>169.0</v>
      </c>
      <c r="L524" s="4" t="s">
        <v>336</v>
      </c>
      <c r="M524" s="27" t="n">
        <f>5878</f>
        <v>5878.0</v>
      </c>
      <c r="N524" s="5" t="s">
        <v>213</v>
      </c>
      <c r="O524" s="28" t="str">
        <f>"－"</f>
        <v>－</v>
      </c>
      <c r="P524" s="3" t="s">
        <v>1281</v>
      </c>
      <c r="Q524" s="26"/>
      <c r="R524" s="3" t="s">
        <v>1282</v>
      </c>
      <c r="S524" s="26" t="n">
        <f>183820918</f>
        <v>1.83820918E8</v>
      </c>
      <c r="T524" s="26" t="n">
        <f>182765020</f>
        <v>1.8276502E8</v>
      </c>
      <c r="U524" s="5" t="s">
        <v>336</v>
      </c>
      <c r="V524" s="28" t="n">
        <f>9681446000</f>
        <v>9.681446E9</v>
      </c>
      <c r="W524" s="5" t="s">
        <v>213</v>
      </c>
      <c r="X524" s="28" t="str">
        <f>"－"</f>
        <v>－</v>
      </c>
      <c r="Y524" s="28" t="n">
        <f>2661</f>
        <v>2661.0</v>
      </c>
      <c r="Z524" s="26" t="n">
        <f>16401</f>
        <v>16401.0</v>
      </c>
      <c r="AA524" s="26" t="n">
        <f>3916</f>
        <v>3916.0</v>
      </c>
      <c r="AB524" s="4" t="s">
        <v>418</v>
      </c>
      <c r="AC524" s="27" t="n">
        <f>17172</f>
        <v>17172.0</v>
      </c>
      <c r="AD524" s="5" t="s">
        <v>119</v>
      </c>
      <c r="AE524" s="28" t="n">
        <f>2463</f>
        <v>2463.0</v>
      </c>
    </row>
    <row r="525">
      <c r="A525" s="20" t="s">
        <v>1201</v>
      </c>
      <c r="B525" s="21" t="s">
        <v>1202</v>
      </c>
      <c r="C525" s="22" t="s">
        <v>1124</v>
      </c>
      <c r="D525" s="23" t="s">
        <v>1125</v>
      </c>
      <c r="E525" s="24" t="s">
        <v>251</v>
      </c>
      <c r="F525" s="25" t="n">
        <f>244</f>
        <v>244.0</v>
      </c>
      <c r="G525" s="26" t="n">
        <f>25184</f>
        <v>25184.0</v>
      </c>
      <c r="H525" s="26"/>
      <c r="I525" s="26" t="n">
        <f>25168</f>
        <v>25168.0</v>
      </c>
      <c r="J525" s="26" t="n">
        <f>103</f>
        <v>103.0</v>
      </c>
      <c r="K525" s="26" t="n">
        <f>103</f>
        <v>103.0</v>
      </c>
      <c r="L525" s="4" t="s">
        <v>462</v>
      </c>
      <c r="M525" s="27" t="n">
        <f>2160</f>
        <v>2160.0</v>
      </c>
      <c r="N525" s="5" t="s">
        <v>213</v>
      </c>
      <c r="O525" s="28" t="str">
        <f>"－"</f>
        <v>－</v>
      </c>
      <c r="P525" s="3" t="s">
        <v>1283</v>
      </c>
      <c r="Q525" s="26"/>
      <c r="R525" s="3" t="s">
        <v>1284</v>
      </c>
      <c r="S525" s="26" t="n">
        <f>29094967</f>
        <v>2.9094967E7</v>
      </c>
      <c r="T525" s="26" t="n">
        <f>29086910</f>
        <v>2.908691E7</v>
      </c>
      <c r="U525" s="5" t="s">
        <v>49</v>
      </c>
      <c r="V525" s="28" t="n">
        <f>1833840000</f>
        <v>1.83384E9</v>
      </c>
      <c r="W525" s="5" t="s">
        <v>213</v>
      </c>
      <c r="X525" s="28" t="str">
        <f>"－"</f>
        <v>－</v>
      </c>
      <c r="Y525" s="28" t="n">
        <f>5</f>
        <v>5.0</v>
      </c>
      <c r="Z525" s="26" t="n">
        <f>2522</f>
        <v>2522.0</v>
      </c>
      <c r="AA525" s="26" t="n">
        <f>2735</f>
        <v>2735.0</v>
      </c>
      <c r="AB525" s="4" t="s">
        <v>574</v>
      </c>
      <c r="AC525" s="27" t="n">
        <f>4749</f>
        <v>4749.0</v>
      </c>
      <c r="AD525" s="5" t="s">
        <v>798</v>
      </c>
      <c r="AE525" s="28" t="n">
        <f>1171</f>
        <v>1171.0</v>
      </c>
    </row>
    <row r="526">
      <c r="A526" s="20" t="s">
        <v>1201</v>
      </c>
      <c r="B526" s="21" t="s">
        <v>1202</v>
      </c>
      <c r="C526" s="22" t="s">
        <v>1128</v>
      </c>
      <c r="D526" s="23" t="s">
        <v>1129</v>
      </c>
      <c r="E526" s="24" t="s">
        <v>251</v>
      </c>
      <c r="F526" s="25" t="n">
        <f>244</f>
        <v>244.0</v>
      </c>
      <c r="G526" s="26" t="n">
        <f>53483</f>
        <v>53483.0</v>
      </c>
      <c r="H526" s="26"/>
      <c r="I526" s="26" t="n">
        <f>53422</f>
        <v>53422.0</v>
      </c>
      <c r="J526" s="26" t="n">
        <f>219</f>
        <v>219.0</v>
      </c>
      <c r="K526" s="26" t="n">
        <f>219</f>
        <v>219.0</v>
      </c>
      <c r="L526" s="4" t="s">
        <v>182</v>
      </c>
      <c r="M526" s="27" t="n">
        <f>6530</f>
        <v>6530.0</v>
      </c>
      <c r="N526" s="5" t="s">
        <v>213</v>
      </c>
      <c r="O526" s="28" t="str">
        <f>"－"</f>
        <v>－</v>
      </c>
      <c r="P526" s="3" t="s">
        <v>1285</v>
      </c>
      <c r="Q526" s="26"/>
      <c r="R526" s="3" t="s">
        <v>1286</v>
      </c>
      <c r="S526" s="26" t="n">
        <f>74028545</f>
        <v>7.4028545E7</v>
      </c>
      <c r="T526" s="26" t="n">
        <f>73990758</f>
        <v>7.3990758E7</v>
      </c>
      <c r="U526" s="5" t="s">
        <v>234</v>
      </c>
      <c r="V526" s="28" t="n">
        <f>2601807000</f>
        <v>2.601807E9</v>
      </c>
      <c r="W526" s="5" t="s">
        <v>213</v>
      </c>
      <c r="X526" s="28" t="str">
        <f>"－"</f>
        <v>－</v>
      </c>
      <c r="Y526" s="28" t="n">
        <f>6680</f>
        <v>6680.0</v>
      </c>
      <c r="Z526" s="26" t="n">
        <f>8125</f>
        <v>8125.0</v>
      </c>
      <c r="AA526" s="26" t="n">
        <f>11665</f>
        <v>11665.0</v>
      </c>
      <c r="AB526" s="4" t="s">
        <v>182</v>
      </c>
      <c r="AC526" s="27" t="n">
        <f>17898</f>
        <v>17898.0</v>
      </c>
      <c r="AD526" s="5" t="s">
        <v>213</v>
      </c>
      <c r="AE526" s="28" t="n">
        <f>1958</f>
        <v>1958.0</v>
      </c>
    </row>
    <row r="527">
      <c r="A527" s="20" t="s">
        <v>1201</v>
      </c>
      <c r="B527" s="21" t="s">
        <v>1202</v>
      </c>
      <c r="C527" s="22" t="s">
        <v>1132</v>
      </c>
      <c r="D527" s="23" t="s">
        <v>1133</v>
      </c>
      <c r="E527" s="24" t="s">
        <v>251</v>
      </c>
      <c r="F527" s="25" t="n">
        <f>244</f>
        <v>244.0</v>
      </c>
      <c r="G527" s="26" t="n">
        <f>78667</f>
        <v>78667.0</v>
      </c>
      <c r="H527" s="26"/>
      <c r="I527" s="26" t="n">
        <f>78590</f>
        <v>78590.0</v>
      </c>
      <c r="J527" s="26" t="n">
        <f>322</f>
        <v>322.0</v>
      </c>
      <c r="K527" s="26" t="n">
        <f>322</f>
        <v>322.0</v>
      </c>
      <c r="L527" s="4" t="s">
        <v>182</v>
      </c>
      <c r="M527" s="27" t="n">
        <f>6530</f>
        <v>6530.0</v>
      </c>
      <c r="N527" s="5" t="s">
        <v>213</v>
      </c>
      <c r="O527" s="28" t="str">
        <f>"－"</f>
        <v>－</v>
      </c>
      <c r="P527" s="3" t="s">
        <v>1287</v>
      </c>
      <c r="Q527" s="26"/>
      <c r="R527" s="3" t="s">
        <v>1288</v>
      </c>
      <c r="S527" s="26" t="n">
        <f>103123512</f>
        <v>1.03123512E8</v>
      </c>
      <c r="T527" s="26" t="n">
        <f>103077668</f>
        <v>1.03077668E8</v>
      </c>
      <c r="U527" s="5" t="s">
        <v>234</v>
      </c>
      <c r="V527" s="28" t="n">
        <f>2791031000</f>
        <v>2.791031E9</v>
      </c>
      <c r="W527" s="5" t="s">
        <v>213</v>
      </c>
      <c r="X527" s="28" t="str">
        <f>"－"</f>
        <v>－</v>
      </c>
      <c r="Y527" s="28" t="n">
        <f>6685</f>
        <v>6685.0</v>
      </c>
      <c r="Z527" s="26" t="n">
        <f>10647</f>
        <v>10647.0</v>
      </c>
      <c r="AA527" s="26" t="n">
        <f>14400</f>
        <v>14400.0</v>
      </c>
      <c r="AB527" s="4" t="s">
        <v>574</v>
      </c>
      <c r="AC527" s="27" t="n">
        <f>21884</f>
        <v>21884.0</v>
      </c>
      <c r="AD527" s="5" t="s">
        <v>213</v>
      </c>
      <c r="AE527" s="28" t="n">
        <f>3916</f>
        <v>3916.0</v>
      </c>
    </row>
    <row r="528">
      <c r="A528" s="20" t="s">
        <v>1201</v>
      </c>
      <c r="B528" s="21" t="s">
        <v>1202</v>
      </c>
      <c r="C528" s="22" t="s">
        <v>1124</v>
      </c>
      <c r="D528" s="23" t="s">
        <v>1125</v>
      </c>
      <c r="E528" s="24" t="s">
        <v>255</v>
      </c>
      <c r="F528" s="25" t="n">
        <f>245</f>
        <v>245.0</v>
      </c>
      <c r="G528" s="26" t="n">
        <f>28008</f>
        <v>28008.0</v>
      </c>
      <c r="H528" s="26"/>
      <c r="I528" s="26" t="n">
        <f>28008</f>
        <v>28008.0</v>
      </c>
      <c r="J528" s="26" t="n">
        <f>114</f>
        <v>114.0</v>
      </c>
      <c r="K528" s="26" t="n">
        <f>114</f>
        <v>114.0</v>
      </c>
      <c r="L528" s="4" t="s">
        <v>673</v>
      </c>
      <c r="M528" s="27" t="n">
        <f>4705</f>
        <v>4705.0</v>
      </c>
      <c r="N528" s="5" t="s">
        <v>213</v>
      </c>
      <c r="O528" s="28" t="str">
        <f>"－"</f>
        <v>－</v>
      </c>
      <c r="P528" s="3" t="s">
        <v>1289</v>
      </c>
      <c r="Q528" s="26"/>
      <c r="R528" s="3" t="s">
        <v>1289</v>
      </c>
      <c r="S528" s="26" t="n">
        <f>32187849</f>
        <v>3.2187849E7</v>
      </c>
      <c r="T528" s="26" t="n">
        <f>32187849</f>
        <v>3.2187849E7</v>
      </c>
      <c r="U528" s="5" t="s">
        <v>274</v>
      </c>
      <c r="V528" s="28" t="n">
        <f>1854079000</f>
        <v>1.854079E9</v>
      </c>
      <c r="W528" s="5" t="s">
        <v>213</v>
      </c>
      <c r="X528" s="28" t="str">
        <f>"－"</f>
        <v>－</v>
      </c>
      <c r="Y528" s="28" t="n">
        <f>1486</f>
        <v>1486.0</v>
      </c>
      <c r="Z528" s="26" t="n">
        <f>6134</f>
        <v>6134.0</v>
      </c>
      <c r="AA528" s="26" t="n">
        <f>1934</f>
        <v>1934.0</v>
      </c>
      <c r="AB528" s="4" t="s">
        <v>673</v>
      </c>
      <c r="AC528" s="27" t="n">
        <f>5751</f>
        <v>5751.0</v>
      </c>
      <c r="AD528" s="5" t="s">
        <v>614</v>
      </c>
      <c r="AE528" s="28" t="n">
        <f>805</f>
        <v>805.0</v>
      </c>
    </row>
    <row r="529">
      <c r="A529" s="20" t="s">
        <v>1201</v>
      </c>
      <c r="B529" s="21" t="s">
        <v>1202</v>
      </c>
      <c r="C529" s="22" t="s">
        <v>1128</v>
      </c>
      <c r="D529" s="23" t="s">
        <v>1129</v>
      </c>
      <c r="E529" s="24" t="s">
        <v>255</v>
      </c>
      <c r="F529" s="25" t="n">
        <f>245</f>
        <v>245.0</v>
      </c>
      <c r="G529" s="26" t="n">
        <f>73112</f>
        <v>73112.0</v>
      </c>
      <c r="H529" s="26"/>
      <c r="I529" s="26" t="n">
        <f>73111</f>
        <v>73111.0</v>
      </c>
      <c r="J529" s="26" t="n">
        <f>298</f>
        <v>298.0</v>
      </c>
      <c r="K529" s="26" t="n">
        <f>298</f>
        <v>298.0</v>
      </c>
      <c r="L529" s="4" t="s">
        <v>389</v>
      </c>
      <c r="M529" s="27" t="n">
        <f>9108</f>
        <v>9108.0</v>
      </c>
      <c r="N529" s="5" t="s">
        <v>222</v>
      </c>
      <c r="O529" s="28" t="str">
        <f>"－"</f>
        <v>－</v>
      </c>
      <c r="P529" s="3" t="s">
        <v>1290</v>
      </c>
      <c r="Q529" s="26"/>
      <c r="R529" s="3" t="s">
        <v>1291</v>
      </c>
      <c r="S529" s="26" t="n">
        <f>46025184</f>
        <v>4.6025184E7</v>
      </c>
      <c r="T529" s="26" t="n">
        <f>46022531</f>
        <v>4.6022531E7</v>
      </c>
      <c r="U529" s="5" t="s">
        <v>389</v>
      </c>
      <c r="V529" s="28" t="n">
        <f>1913848000</f>
        <v>1.913848E9</v>
      </c>
      <c r="W529" s="5" t="s">
        <v>222</v>
      </c>
      <c r="X529" s="28" t="str">
        <f>"－"</f>
        <v>－</v>
      </c>
      <c r="Y529" s="28" t="n">
        <f>4087</f>
        <v>4087.0</v>
      </c>
      <c r="Z529" s="26" t="n">
        <f>22242</f>
        <v>22242.0</v>
      </c>
      <c r="AA529" s="26" t="n">
        <f>975</f>
        <v>975.0</v>
      </c>
      <c r="AB529" s="4" t="s">
        <v>309</v>
      </c>
      <c r="AC529" s="27" t="n">
        <f>24171</f>
        <v>24171.0</v>
      </c>
      <c r="AD529" s="5" t="s">
        <v>55</v>
      </c>
      <c r="AE529" s="28" t="n">
        <f>975</f>
        <v>975.0</v>
      </c>
    </row>
    <row r="530">
      <c r="A530" s="20" t="s">
        <v>1201</v>
      </c>
      <c r="B530" s="21" t="s">
        <v>1202</v>
      </c>
      <c r="C530" s="22" t="s">
        <v>1132</v>
      </c>
      <c r="D530" s="23" t="s">
        <v>1133</v>
      </c>
      <c r="E530" s="24" t="s">
        <v>255</v>
      </c>
      <c r="F530" s="25" t="n">
        <f>245</f>
        <v>245.0</v>
      </c>
      <c r="G530" s="26" t="n">
        <f>101120</f>
        <v>101120.0</v>
      </c>
      <c r="H530" s="26"/>
      <c r="I530" s="26" t="n">
        <f>101119</f>
        <v>101119.0</v>
      </c>
      <c r="J530" s="26" t="n">
        <f>413</f>
        <v>413.0</v>
      </c>
      <c r="K530" s="26" t="n">
        <f>413</f>
        <v>413.0</v>
      </c>
      <c r="L530" s="4" t="s">
        <v>389</v>
      </c>
      <c r="M530" s="27" t="n">
        <f>9828</f>
        <v>9828.0</v>
      </c>
      <c r="N530" s="5" t="s">
        <v>222</v>
      </c>
      <c r="O530" s="28" t="str">
        <f>"－"</f>
        <v>－</v>
      </c>
      <c r="P530" s="3" t="s">
        <v>1292</v>
      </c>
      <c r="Q530" s="26"/>
      <c r="R530" s="3" t="s">
        <v>1293</v>
      </c>
      <c r="S530" s="26" t="n">
        <f>78213033</f>
        <v>7.8213033E7</v>
      </c>
      <c r="T530" s="26" t="n">
        <f>78210380</f>
        <v>7.821038E7</v>
      </c>
      <c r="U530" s="5" t="s">
        <v>389</v>
      </c>
      <c r="V530" s="28" t="n">
        <f>2033368000</f>
        <v>2.033368E9</v>
      </c>
      <c r="W530" s="5" t="s">
        <v>222</v>
      </c>
      <c r="X530" s="28" t="str">
        <f>"－"</f>
        <v>－</v>
      </c>
      <c r="Y530" s="28" t="n">
        <f>5573</f>
        <v>5573.0</v>
      </c>
      <c r="Z530" s="26" t="n">
        <f>28376</f>
        <v>28376.0</v>
      </c>
      <c r="AA530" s="26" t="n">
        <f>2909</f>
        <v>2909.0</v>
      </c>
      <c r="AB530" s="4" t="s">
        <v>309</v>
      </c>
      <c r="AC530" s="27" t="n">
        <f>26896</f>
        <v>26896.0</v>
      </c>
      <c r="AD530" s="5" t="s">
        <v>69</v>
      </c>
      <c r="AE530" s="28" t="n">
        <f>2340</f>
        <v>2340.0</v>
      </c>
    </row>
    <row r="531">
      <c r="A531" s="20" t="s">
        <v>1201</v>
      </c>
      <c r="B531" s="21" t="s">
        <v>1202</v>
      </c>
      <c r="C531" s="22" t="s">
        <v>1124</v>
      </c>
      <c r="D531" s="23" t="s">
        <v>1125</v>
      </c>
      <c r="E531" s="24" t="s">
        <v>258</v>
      </c>
      <c r="F531" s="25" t="n">
        <f>246</f>
        <v>246.0</v>
      </c>
      <c r="G531" s="26" t="n">
        <f>5165</f>
        <v>5165.0</v>
      </c>
      <c r="H531" s="26"/>
      <c r="I531" s="26" t="n">
        <f>5165</f>
        <v>5165.0</v>
      </c>
      <c r="J531" s="26" t="n">
        <f>21</f>
        <v>21.0</v>
      </c>
      <c r="K531" s="26" t="n">
        <f>21</f>
        <v>21.0</v>
      </c>
      <c r="L531" s="4" t="s">
        <v>286</v>
      </c>
      <c r="M531" s="27" t="n">
        <f>780</f>
        <v>780.0</v>
      </c>
      <c r="N531" s="5" t="s">
        <v>213</v>
      </c>
      <c r="O531" s="28" t="str">
        <f>"－"</f>
        <v>－</v>
      </c>
      <c r="P531" s="3" t="s">
        <v>1294</v>
      </c>
      <c r="Q531" s="26"/>
      <c r="R531" s="3" t="s">
        <v>1294</v>
      </c>
      <c r="S531" s="26" t="n">
        <f>7316455</f>
        <v>7316455.0</v>
      </c>
      <c r="T531" s="26" t="n">
        <f>7316455</f>
        <v>7316455.0</v>
      </c>
      <c r="U531" s="5" t="s">
        <v>286</v>
      </c>
      <c r="V531" s="28" t="n">
        <f>693090000</f>
        <v>6.9309E8</v>
      </c>
      <c r="W531" s="5" t="s">
        <v>213</v>
      </c>
      <c r="X531" s="28" t="str">
        <f>"－"</f>
        <v>－</v>
      </c>
      <c r="Y531" s="28" t="n">
        <f>1685</f>
        <v>1685.0</v>
      </c>
      <c r="Z531" s="26" t="n">
        <f>1481</f>
        <v>1481.0</v>
      </c>
      <c r="AA531" s="26" t="n">
        <f>539</f>
        <v>539.0</v>
      </c>
      <c r="AB531" s="4" t="s">
        <v>213</v>
      </c>
      <c r="AC531" s="27" t="n">
        <f>1934</f>
        <v>1934.0</v>
      </c>
      <c r="AD531" s="5" t="s">
        <v>560</v>
      </c>
      <c r="AE531" s="28" t="n">
        <f>195</f>
        <v>195.0</v>
      </c>
    </row>
    <row r="532">
      <c r="A532" s="20" t="s">
        <v>1201</v>
      </c>
      <c r="B532" s="21" t="s">
        <v>1202</v>
      </c>
      <c r="C532" s="22" t="s">
        <v>1128</v>
      </c>
      <c r="D532" s="23" t="s">
        <v>1129</v>
      </c>
      <c r="E532" s="24" t="s">
        <v>258</v>
      </c>
      <c r="F532" s="25" t="n">
        <f>246</f>
        <v>246.0</v>
      </c>
      <c r="G532" s="26" t="n">
        <f>7950</f>
        <v>7950.0</v>
      </c>
      <c r="H532" s="26"/>
      <c r="I532" s="26" t="n">
        <f>7918</f>
        <v>7918.0</v>
      </c>
      <c r="J532" s="26" t="n">
        <f>32</f>
        <v>32.0</v>
      </c>
      <c r="K532" s="26" t="n">
        <f>32</f>
        <v>32.0</v>
      </c>
      <c r="L532" s="4" t="s">
        <v>552</v>
      </c>
      <c r="M532" s="27" t="n">
        <f>970</f>
        <v>970.0</v>
      </c>
      <c r="N532" s="5" t="s">
        <v>213</v>
      </c>
      <c r="O532" s="28" t="str">
        <f>"－"</f>
        <v>－</v>
      </c>
      <c r="P532" s="3" t="s">
        <v>1295</v>
      </c>
      <c r="Q532" s="26"/>
      <c r="R532" s="3" t="s">
        <v>1296</v>
      </c>
      <c r="S532" s="26" t="n">
        <f>10198654</f>
        <v>1.0198654E7</v>
      </c>
      <c r="T532" s="26" t="n">
        <f>10188049</f>
        <v>1.0188049E7</v>
      </c>
      <c r="U532" s="5" t="s">
        <v>1224</v>
      </c>
      <c r="V532" s="28" t="n">
        <f>603930000</f>
        <v>6.0393E8</v>
      </c>
      <c r="W532" s="5" t="s">
        <v>213</v>
      </c>
      <c r="X532" s="28" t="str">
        <f>"－"</f>
        <v>－</v>
      </c>
      <c r="Y532" s="28" t="n">
        <f>568</f>
        <v>568.0</v>
      </c>
      <c r="Z532" s="26" t="n">
        <f>2697</f>
        <v>2697.0</v>
      </c>
      <c r="AA532" s="26" t="n">
        <f>3565</f>
        <v>3565.0</v>
      </c>
      <c r="AB532" s="4" t="s">
        <v>926</v>
      </c>
      <c r="AC532" s="27" t="n">
        <f>3594</f>
        <v>3594.0</v>
      </c>
      <c r="AD532" s="5" t="s">
        <v>560</v>
      </c>
      <c r="AE532" s="28" t="n">
        <f>635</f>
        <v>635.0</v>
      </c>
    </row>
    <row r="533">
      <c r="A533" s="20" t="s">
        <v>1201</v>
      </c>
      <c r="B533" s="21" t="s">
        <v>1202</v>
      </c>
      <c r="C533" s="22" t="s">
        <v>1132</v>
      </c>
      <c r="D533" s="23" t="s">
        <v>1133</v>
      </c>
      <c r="E533" s="24" t="s">
        <v>258</v>
      </c>
      <c r="F533" s="25" t="n">
        <f>246</f>
        <v>246.0</v>
      </c>
      <c r="G533" s="26" t="n">
        <f>13115</f>
        <v>13115.0</v>
      </c>
      <c r="H533" s="26"/>
      <c r="I533" s="26" t="n">
        <f>13083</f>
        <v>13083.0</v>
      </c>
      <c r="J533" s="26" t="n">
        <f>53</f>
        <v>53.0</v>
      </c>
      <c r="K533" s="26" t="n">
        <f>53</f>
        <v>53.0</v>
      </c>
      <c r="L533" s="4" t="s">
        <v>286</v>
      </c>
      <c r="M533" s="27" t="n">
        <f>1560</f>
        <v>1560.0</v>
      </c>
      <c r="N533" s="5" t="s">
        <v>213</v>
      </c>
      <c r="O533" s="28" t="str">
        <f>"－"</f>
        <v>－</v>
      </c>
      <c r="P533" s="3" t="s">
        <v>1297</v>
      </c>
      <c r="Q533" s="26"/>
      <c r="R533" s="3" t="s">
        <v>1298</v>
      </c>
      <c r="S533" s="26" t="n">
        <f>17515110</f>
        <v>1.751511E7</v>
      </c>
      <c r="T533" s="26" t="n">
        <f>17504504</f>
        <v>1.7504504E7</v>
      </c>
      <c r="U533" s="5" t="s">
        <v>286</v>
      </c>
      <c r="V533" s="28" t="n">
        <f>748200000</f>
        <v>7.482E8</v>
      </c>
      <c r="W533" s="5" t="s">
        <v>213</v>
      </c>
      <c r="X533" s="28" t="str">
        <f>"－"</f>
        <v>－</v>
      </c>
      <c r="Y533" s="28" t="n">
        <f>2253</f>
        <v>2253.0</v>
      </c>
      <c r="Z533" s="26" t="n">
        <f>4178</f>
        <v>4178.0</v>
      </c>
      <c r="AA533" s="26" t="n">
        <f>4104</f>
        <v>4104.0</v>
      </c>
      <c r="AB533" s="4" t="s">
        <v>926</v>
      </c>
      <c r="AC533" s="27" t="n">
        <f>4133</f>
        <v>4133.0</v>
      </c>
      <c r="AD533" s="5" t="s">
        <v>560</v>
      </c>
      <c r="AE533" s="28" t="n">
        <f>830</f>
        <v>830.0</v>
      </c>
    </row>
    <row r="534">
      <c r="A534" s="20" t="s">
        <v>1201</v>
      </c>
      <c r="B534" s="21" t="s">
        <v>1202</v>
      </c>
      <c r="C534" s="22" t="s">
        <v>1124</v>
      </c>
      <c r="D534" s="23" t="s">
        <v>1125</v>
      </c>
      <c r="E534" s="24" t="s">
        <v>261</v>
      </c>
      <c r="F534" s="25" t="n">
        <f>245</f>
        <v>245.0</v>
      </c>
      <c r="G534" s="26" t="n">
        <f>12705</f>
        <v>12705.0</v>
      </c>
      <c r="H534" s="26"/>
      <c r="I534" s="26" t="n">
        <f>12705</f>
        <v>12705.0</v>
      </c>
      <c r="J534" s="26" t="n">
        <f>52</f>
        <v>52.0</v>
      </c>
      <c r="K534" s="26" t="n">
        <f>52</f>
        <v>52.0</v>
      </c>
      <c r="L534" s="4" t="s">
        <v>164</v>
      </c>
      <c r="M534" s="27" t="n">
        <f>2560</f>
        <v>2560.0</v>
      </c>
      <c r="N534" s="5" t="s">
        <v>389</v>
      </c>
      <c r="O534" s="28" t="str">
        <f>"－"</f>
        <v>－</v>
      </c>
      <c r="P534" s="3" t="s">
        <v>1299</v>
      </c>
      <c r="Q534" s="26"/>
      <c r="R534" s="3" t="s">
        <v>1299</v>
      </c>
      <c r="S534" s="26" t="n">
        <f>8811563</f>
        <v>8811563.0</v>
      </c>
      <c r="T534" s="26" t="n">
        <f>8811563</f>
        <v>8811563.0</v>
      </c>
      <c r="U534" s="5" t="s">
        <v>306</v>
      </c>
      <c r="V534" s="28" t="n">
        <f>435000000</f>
        <v>4.35E8</v>
      </c>
      <c r="W534" s="5" t="s">
        <v>389</v>
      </c>
      <c r="X534" s="28" t="str">
        <f>"－"</f>
        <v>－</v>
      </c>
      <c r="Y534" s="28" t="n">
        <f>250</f>
        <v>250.0</v>
      </c>
      <c r="Z534" s="26" t="n">
        <f>3437</f>
        <v>3437.0</v>
      </c>
      <c r="AA534" s="26" t="n">
        <f>6422</f>
        <v>6422.0</v>
      </c>
      <c r="AB534" s="4" t="s">
        <v>350</v>
      </c>
      <c r="AC534" s="27" t="n">
        <f>6422</f>
        <v>6422.0</v>
      </c>
      <c r="AD534" s="5" t="s">
        <v>127</v>
      </c>
      <c r="AE534" s="28" t="n">
        <f>439</f>
        <v>439.0</v>
      </c>
    </row>
    <row r="535">
      <c r="A535" s="20" t="s">
        <v>1201</v>
      </c>
      <c r="B535" s="21" t="s">
        <v>1202</v>
      </c>
      <c r="C535" s="22" t="s">
        <v>1128</v>
      </c>
      <c r="D535" s="23" t="s">
        <v>1129</v>
      </c>
      <c r="E535" s="24" t="s">
        <v>261</v>
      </c>
      <c r="F535" s="25" t="n">
        <f>245</f>
        <v>245.0</v>
      </c>
      <c r="G535" s="26" t="n">
        <f>83095</f>
        <v>83095.0</v>
      </c>
      <c r="H535" s="26"/>
      <c r="I535" s="26" t="n">
        <f>83095</f>
        <v>83095.0</v>
      </c>
      <c r="J535" s="26" t="n">
        <f>339</f>
        <v>339.0</v>
      </c>
      <c r="K535" s="26" t="n">
        <f>339</f>
        <v>339.0</v>
      </c>
      <c r="L535" s="4" t="s">
        <v>104</v>
      </c>
      <c r="M535" s="27" t="n">
        <f>17488</f>
        <v>17488.0</v>
      </c>
      <c r="N535" s="5" t="s">
        <v>389</v>
      </c>
      <c r="O535" s="28" t="str">
        <f>"－"</f>
        <v>－</v>
      </c>
      <c r="P535" s="3" t="s">
        <v>1300</v>
      </c>
      <c r="Q535" s="26"/>
      <c r="R535" s="3" t="s">
        <v>1300</v>
      </c>
      <c r="S535" s="26" t="n">
        <f>125682016</f>
        <v>1.25682016E8</v>
      </c>
      <c r="T535" s="26" t="n">
        <f>125682016</f>
        <v>1.25682016E8</v>
      </c>
      <c r="U535" s="5" t="s">
        <v>104</v>
      </c>
      <c r="V535" s="28" t="n">
        <f>8923308000</f>
        <v>8.923308E9</v>
      </c>
      <c r="W535" s="5" t="s">
        <v>389</v>
      </c>
      <c r="X535" s="28" t="str">
        <f>"－"</f>
        <v>－</v>
      </c>
      <c r="Y535" s="28" t="n">
        <f>505</f>
        <v>505.0</v>
      </c>
      <c r="Z535" s="26" t="n">
        <f>59739</f>
        <v>59739.0</v>
      </c>
      <c r="AA535" s="26" t="n">
        <f>43760</f>
        <v>43760.0</v>
      </c>
      <c r="AB535" s="4" t="s">
        <v>350</v>
      </c>
      <c r="AC535" s="27" t="n">
        <f>43760</f>
        <v>43760.0</v>
      </c>
      <c r="AD535" s="5" t="s">
        <v>771</v>
      </c>
      <c r="AE535" s="28" t="n">
        <f>410</f>
        <v>410.0</v>
      </c>
    </row>
    <row r="536">
      <c r="A536" s="20" t="s">
        <v>1201</v>
      </c>
      <c r="B536" s="21" t="s">
        <v>1202</v>
      </c>
      <c r="C536" s="22" t="s">
        <v>1132</v>
      </c>
      <c r="D536" s="23" t="s">
        <v>1133</v>
      </c>
      <c r="E536" s="24" t="s">
        <v>261</v>
      </c>
      <c r="F536" s="25" t="n">
        <f>245</f>
        <v>245.0</v>
      </c>
      <c r="G536" s="26" t="n">
        <f>95800</f>
        <v>95800.0</v>
      </c>
      <c r="H536" s="26"/>
      <c r="I536" s="26" t="n">
        <f>95800</f>
        <v>95800.0</v>
      </c>
      <c r="J536" s="26" t="n">
        <f>391</f>
        <v>391.0</v>
      </c>
      <c r="K536" s="26" t="n">
        <f>391</f>
        <v>391.0</v>
      </c>
      <c r="L536" s="4" t="s">
        <v>104</v>
      </c>
      <c r="M536" s="27" t="n">
        <f>17568</f>
        <v>17568.0</v>
      </c>
      <c r="N536" s="5" t="s">
        <v>389</v>
      </c>
      <c r="O536" s="28" t="str">
        <f>"－"</f>
        <v>－</v>
      </c>
      <c r="P536" s="3" t="s">
        <v>1301</v>
      </c>
      <c r="Q536" s="26"/>
      <c r="R536" s="3" t="s">
        <v>1301</v>
      </c>
      <c r="S536" s="26" t="n">
        <f>134493580</f>
        <v>1.3449358E8</v>
      </c>
      <c r="T536" s="26" t="n">
        <f>134493580</f>
        <v>1.3449358E8</v>
      </c>
      <c r="U536" s="5" t="s">
        <v>104</v>
      </c>
      <c r="V536" s="28" t="n">
        <f>8923388000</f>
        <v>8.923388E9</v>
      </c>
      <c r="W536" s="5" t="s">
        <v>389</v>
      </c>
      <c r="X536" s="28" t="str">
        <f>"－"</f>
        <v>－</v>
      </c>
      <c r="Y536" s="28" t="n">
        <f>755</f>
        <v>755.0</v>
      </c>
      <c r="Z536" s="26" t="n">
        <f>63176</f>
        <v>63176.0</v>
      </c>
      <c r="AA536" s="26" t="n">
        <f>50182</f>
        <v>50182.0</v>
      </c>
      <c r="AB536" s="4" t="s">
        <v>350</v>
      </c>
      <c r="AC536" s="27" t="n">
        <f>50182</f>
        <v>50182.0</v>
      </c>
      <c r="AD536" s="5" t="s">
        <v>771</v>
      </c>
      <c r="AE536" s="28" t="n">
        <f>1370</f>
        <v>1370.0</v>
      </c>
    </row>
    <row r="537">
      <c r="A537" s="20" t="s">
        <v>1201</v>
      </c>
      <c r="B537" s="21" t="s">
        <v>1202</v>
      </c>
      <c r="C537" s="22" t="s">
        <v>1124</v>
      </c>
      <c r="D537" s="23" t="s">
        <v>1125</v>
      </c>
      <c r="E537" s="24" t="s">
        <v>265</v>
      </c>
      <c r="F537" s="25" t="n">
        <f>245</f>
        <v>245.0</v>
      </c>
      <c r="G537" s="26" t="n">
        <f>83982</f>
        <v>83982.0</v>
      </c>
      <c r="H537" s="26"/>
      <c r="I537" s="26" t="n">
        <f>83982</f>
        <v>83982.0</v>
      </c>
      <c r="J537" s="26" t="n">
        <f>343</f>
        <v>343.0</v>
      </c>
      <c r="K537" s="26" t="n">
        <f>343</f>
        <v>343.0</v>
      </c>
      <c r="L537" s="4" t="s">
        <v>162</v>
      </c>
      <c r="M537" s="27" t="n">
        <f>4300</f>
        <v>4300.0</v>
      </c>
      <c r="N537" s="5" t="s">
        <v>213</v>
      </c>
      <c r="O537" s="28" t="str">
        <f>"－"</f>
        <v>－</v>
      </c>
      <c r="P537" s="3" t="s">
        <v>1302</v>
      </c>
      <c r="Q537" s="26"/>
      <c r="R537" s="3" t="s">
        <v>1302</v>
      </c>
      <c r="S537" s="26" t="n">
        <f>99368918</f>
        <v>9.9368918E7</v>
      </c>
      <c r="T537" s="26" t="n">
        <f>99368918</f>
        <v>9.9368918E7</v>
      </c>
      <c r="U537" s="5" t="s">
        <v>566</v>
      </c>
      <c r="V537" s="28" t="n">
        <f>1074000000</f>
        <v>1.074E9</v>
      </c>
      <c r="W537" s="5" t="s">
        <v>213</v>
      </c>
      <c r="X537" s="28" t="str">
        <f>"－"</f>
        <v>－</v>
      </c>
      <c r="Y537" s="28" t="n">
        <f>29026</f>
        <v>29026.0</v>
      </c>
      <c r="Z537" s="26" t="n">
        <f>18080</f>
        <v>18080.0</v>
      </c>
      <c r="AA537" s="26" t="n">
        <f>20866</f>
        <v>20866.0</v>
      </c>
      <c r="AB537" s="4" t="s">
        <v>54</v>
      </c>
      <c r="AC537" s="27" t="n">
        <f>27302</f>
        <v>27302.0</v>
      </c>
      <c r="AD537" s="5" t="s">
        <v>1058</v>
      </c>
      <c r="AE537" s="28" t="n">
        <f>2747</f>
        <v>2747.0</v>
      </c>
    </row>
    <row r="538">
      <c r="A538" s="20" t="s">
        <v>1201</v>
      </c>
      <c r="B538" s="21" t="s">
        <v>1202</v>
      </c>
      <c r="C538" s="22" t="s">
        <v>1128</v>
      </c>
      <c r="D538" s="23" t="s">
        <v>1129</v>
      </c>
      <c r="E538" s="24" t="s">
        <v>265</v>
      </c>
      <c r="F538" s="25" t="n">
        <f>245</f>
        <v>245.0</v>
      </c>
      <c r="G538" s="26" t="n">
        <f>284836</f>
        <v>284836.0</v>
      </c>
      <c r="H538" s="26"/>
      <c r="I538" s="26" t="n">
        <f>284836</f>
        <v>284836.0</v>
      </c>
      <c r="J538" s="26" t="n">
        <f>1163</f>
        <v>1163.0</v>
      </c>
      <c r="K538" s="26" t="n">
        <f>1163</f>
        <v>1163.0</v>
      </c>
      <c r="L538" s="4" t="s">
        <v>994</v>
      </c>
      <c r="M538" s="27" t="n">
        <f>24888</f>
        <v>24888.0</v>
      </c>
      <c r="N538" s="5" t="s">
        <v>213</v>
      </c>
      <c r="O538" s="28" t="str">
        <f>"－"</f>
        <v>－</v>
      </c>
      <c r="P538" s="3" t="s">
        <v>1303</v>
      </c>
      <c r="Q538" s="26"/>
      <c r="R538" s="3" t="s">
        <v>1303</v>
      </c>
      <c r="S538" s="26" t="n">
        <f>326708131</f>
        <v>3.26708131E8</v>
      </c>
      <c r="T538" s="26" t="n">
        <f>326708131</f>
        <v>3.26708131E8</v>
      </c>
      <c r="U538" s="5" t="s">
        <v>994</v>
      </c>
      <c r="V538" s="28" t="n">
        <f>14225819000</f>
        <v>1.4225819E10</v>
      </c>
      <c r="W538" s="5" t="s">
        <v>213</v>
      </c>
      <c r="X538" s="28" t="str">
        <f>"－"</f>
        <v>－</v>
      </c>
      <c r="Y538" s="28" t="n">
        <f>52666</f>
        <v>52666.0</v>
      </c>
      <c r="Z538" s="26" t="n">
        <f>78710</f>
        <v>78710.0</v>
      </c>
      <c r="AA538" s="26" t="n">
        <f>19120</f>
        <v>19120.0</v>
      </c>
      <c r="AB538" s="4" t="s">
        <v>678</v>
      </c>
      <c r="AC538" s="27" t="n">
        <f>72524</f>
        <v>72524.0</v>
      </c>
      <c r="AD538" s="5" t="s">
        <v>198</v>
      </c>
      <c r="AE538" s="28" t="n">
        <f>18332</f>
        <v>18332.0</v>
      </c>
    </row>
    <row r="539">
      <c r="A539" s="20" t="s">
        <v>1201</v>
      </c>
      <c r="B539" s="21" t="s">
        <v>1202</v>
      </c>
      <c r="C539" s="22" t="s">
        <v>1132</v>
      </c>
      <c r="D539" s="23" t="s">
        <v>1133</v>
      </c>
      <c r="E539" s="24" t="s">
        <v>265</v>
      </c>
      <c r="F539" s="25" t="n">
        <f>245</f>
        <v>245.0</v>
      </c>
      <c r="G539" s="26" t="n">
        <f>368818</f>
        <v>368818.0</v>
      </c>
      <c r="H539" s="26"/>
      <c r="I539" s="26" t="n">
        <f>368818</f>
        <v>368818.0</v>
      </c>
      <c r="J539" s="26" t="n">
        <f>1505</f>
        <v>1505.0</v>
      </c>
      <c r="K539" s="26" t="n">
        <f>1505</f>
        <v>1505.0</v>
      </c>
      <c r="L539" s="4" t="s">
        <v>994</v>
      </c>
      <c r="M539" s="27" t="n">
        <f>24893</f>
        <v>24893.0</v>
      </c>
      <c r="N539" s="5" t="s">
        <v>213</v>
      </c>
      <c r="O539" s="28" t="str">
        <f>"－"</f>
        <v>－</v>
      </c>
      <c r="P539" s="3" t="s">
        <v>1304</v>
      </c>
      <c r="Q539" s="26"/>
      <c r="R539" s="3" t="s">
        <v>1304</v>
      </c>
      <c r="S539" s="26" t="n">
        <f>426077049</f>
        <v>4.26077049E8</v>
      </c>
      <c r="T539" s="26" t="n">
        <f>426077049</f>
        <v>4.26077049E8</v>
      </c>
      <c r="U539" s="5" t="s">
        <v>994</v>
      </c>
      <c r="V539" s="28" t="n">
        <f>14225824000</f>
        <v>1.4225824E10</v>
      </c>
      <c r="W539" s="5" t="s">
        <v>213</v>
      </c>
      <c r="X539" s="28" t="str">
        <f>"－"</f>
        <v>－</v>
      </c>
      <c r="Y539" s="28" t="n">
        <f>81692</f>
        <v>81692.0</v>
      </c>
      <c r="Z539" s="26" t="n">
        <f>96790</f>
        <v>96790.0</v>
      </c>
      <c r="AA539" s="26" t="n">
        <f>39986</f>
        <v>39986.0</v>
      </c>
      <c r="AB539" s="4" t="s">
        <v>678</v>
      </c>
      <c r="AC539" s="27" t="n">
        <f>85326</f>
        <v>85326.0</v>
      </c>
      <c r="AD539" s="5" t="s">
        <v>737</v>
      </c>
      <c r="AE539" s="28" t="n">
        <f>27838</f>
        <v>27838.0</v>
      </c>
    </row>
    <row r="540">
      <c r="A540" s="20" t="s">
        <v>1201</v>
      </c>
      <c r="B540" s="21" t="s">
        <v>1202</v>
      </c>
      <c r="C540" s="22" t="s">
        <v>1124</v>
      </c>
      <c r="D540" s="23" t="s">
        <v>1125</v>
      </c>
      <c r="E540" s="24" t="s">
        <v>48</v>
      </c>
      <c r="F540" s="25" t="n">
        <f>246</f>
        <v>246.0</v>
      </c>
      <c r="G540" s="26" t="n">
        <f>144090</f>
        <v>144090.0</v>
      </c>
      <c r="H540" s="26"/>
      <c r="I540" s="26" t="n">
        <f>143870</f>
        <v>143870.0</v>
      </c>
      <c r="J540" s="26" t="n">
        <f>586</f>
        <v>586.0</v>
      </c>
      <c r="K540" s="26" t="n">
        <f>585</f>
        <v>585.0</v>
      </c>
      <c r="L540" s="4" t="s">
        <v>960</v>
      </c>
      <c r="M540" s="27" t="n">
        <f>10892</f>
        <v>10892.0</v>
      </c>
      <c r="N540" s="5" t="s">
        <v>309</v>
      </c>
      <c r="O540" s="28" t="str">
        <f>"－"</f>
        <v>－</v>
      </c>
      <c r="P540" s="3" t="s">
        <v>1305</v>
      </c>
      <c r="Q540" s="26"/>
      <c r="R540" s="3" t="s">
        <v>1306</v>
      </c>
      <c r="S540" s="26" t="n">
        <f>114191683</f>
        <v>1.14191683E8</v>
      </c>
      <c r="T540" s="26" t="n">
        <f>114136813</f>
        <v>1.14136813E8</v>
      </c>
      <c r="U540" s="5" t="s">
        <v>75</v>
      </c>
      <c r="V540" s="28" t="n">
        <f>2048512000</f>
        <v>2.048512E9</v>
      </c>
      <c r="W540" s="5" t="s">
        <v>309</v>
      </c>
      <c r="X540" s="28" t="str">
        <f>"－"</f>
        <v>－</v>
      </c>
      <c r="Y540" s="28" t="n">
        <f>31723</f>
        <v>31723.0</v>
      </c>
      <c r="Z540" s="26" t="n">
        <f>15864</f>
        <v>15864.0</v>
      </c>
      <c r="AA540" s="26" t="n">
        <f>17281</f>
        <v>17281.0</v>
      </c>
      <c r="AB540" s="4" t="s">
        <v>1307</v>
      </c>
      <c r="AC540" s="27" t="n">
        <f>41179</f>
        <v>41179.0</v>
      </c>
      <c r="AD540" s="5" t="s">
        <v>119</v>
      </c>
      <c r="AE540" s="28" t="n">
        <f>9758</f>
        <v>9758.0</v>
      </c>
    </row>
    <row r="541">
      <c r="A541" s="20" t="s">
        <v>1201</v>
      </c>
      <c r="B541" s="21" t="s">
        <v>1202</v>
      </c>
      <c r="C541" s="22" t="s">
        <v>1128</v>
      </c>
      <c r="D541" s="23" t="s">
        <v>1129</v>
      </c>
      <c r="E541" s="24" t="s">
        <v>48</v>
      </c>
      <c r="F541" s="25" t="n">
        <f>246</f>
        <v>246.0</v>
      </c>
      <c r="G541" s="26" t="n">
        <f>247002</f>
        <v>247002.0</v>
      </c>
      <c r="H541" s="26"/>
      <c r="I541" s="26" t="n">
        <f>246961</f>
        <v>246961.0</v>
      </c>
      <c r="J541" s="26" t="n">
        <f>1004</f>
        <v>1004.0</v>
      </c>
      <c r="K541" s="26" t="n">
        <f>1004</f>
        <v>1004.0</v>
      </c>
      <c r="L541" s="4" t="s">
        <v>960</v>
      </c>
      <c r="M541" s="27" t="n">
        <f>10892</f>
        <v>10892.0</v>
      </c>
      <c r="N541" s="5" t="s">
        <v>309</v>
      </c>
      <c r="O541" s="28" t="str">
        <f>"－"</f>
        <v>－</v>
      </c>
      <c r="P541" s="3" t="s">
        <v>1308</v>
      </c>
      <c r="Q541" s="26"/>
      <c r="R541" s="3" t="s">
        <v>1309</v>
      </c>
      <c r="S541" s="26" t="n">
        <f>189593728</f>
        <v>1.89593728E8</v>
      </c>
      <c r="T541" s="26" t="n">
        <f>189574732</f>
        <v>1.89574732E8</v>
      </c>
      <c r="U541" s="5" t="s">
        <v>306</v>
      </c>
      <c r="V541" s="28" t="n">
        <f>3350184000</f>
        <v>3.350184E9</v>
      </c>
      <c r="W541" s="5" t="s">
        <v>309</v>
      </c>
      <c r="X541" s="28" t="str">
        <f>"－"</f>
        <v>－</v>
      </c>
      <c r="Y541" s="28" t="n">
        <f>67808</f>
        <v>67808.0</v>
      </c>
      <c r="Z541" s="26" t="n">
        <f>57356</f>
        <v>57356.0</v>
      </c>
      <c r="AA541" s="26" t="n">
        <f>32192</f>
        <v>32192.0</v>
      </c>
      <c r="AB541" s="4" t="s">
        <v>1307</v>
      </c>
      <c r="AC541" s="27" t="n">
        <f>56053</f>
        <v>56053.0</v>
      </c>
      <c r="AD541" s="5" t="s">
        <v>119</v>
      </c>
      <c r="AE541" s="28" t="n">
        <f>16089</f>
        <v>16089.0</v>
      </c>
    </row>
    <row r="542">
      <c r="A542" s="20" t="s">
        <v>1201</v>
      </c>
      <c r="B542" s="21" t="s">
        <v>1202</v>
      </c>
      <c r="C542" s="22" t="s">
        <v>1132</v>
      </c>
      <c r="D542" s="23" t="s">
        <v>1133</v>
      </c>
      <c r="E542" s="24" t="s">
        <v>48</v>
      </c>
      <c r="F542" s="25" t="n">
        <f>246</f>
        <v>246.0</v>
      </c>
      <c r="G542" s="26" t="n">
        <f>391092</f>
        <v>391092.0</v>
      </c>
      <c r="H542" s="26"/>
      <c r="I542" s="26" t="n">
        <f>390831</f>
        <v>390831.0</v>
      </c>
      <c r="J542" s="26" t="n">
        <f>1590</f>
        <v>1590.0</v>
      </c>
      <c r="K542" s="26" t="n">
        <f>1589</f>
        <v>1589.0</v>
      </c>
      <c r="L542" s="4" t="s">
        <v>960</v>
      </c>
      <c r="M542" s="27" t="n">
        <f>21784</f>
        <v>21784.0</v>
      </c>
      <c r="N542" s="5" t="s">
        <v>309</v>
      </c>
      <c r="O542" s="28" t="str">
        <f>"－"</f>
        <v>－</v>
      </c>
      <c r="P542" s="3" t="s">
        <v>1310</v>
      </c>
      <c r="Q542" s="26"/>
      <c r="R542" s="3" t="s">
        <v>1311</v>
      </c>
      <c r="S542" s="26" t="n">
        <f>303785411</f>
        <v>3.03785411E8</v>
      </c>
      <c r="T542" s="26" t="n">
        <f>303711545</f>
        <v>3.03711545E8</v>
      </c>
      <c r="U542" s="5" t="s">
        <v>75</v>
      </c>
      <c r="V542" s="28" t="n">
        <f>4200002000</f>
        <v>4.200002E9</v>
      </c>
      <c r="W542" s="5" t="s">
        <v>309</v>
      </c>
      <c r="X542" s="28" t="str">
        <f>"－"</f>
        <v>－</v>
      </c>
      <c r="Y542" s="28" t="n">
        <f>99531</f>
        <v>99531.0</v>
      </c>
      <c r="Z542" s="26" t="n">
        <f>73220</f>
        <v>73220.0</v>
      </c>
      <c r="AA542" s="26" t="n">
        <f>49473</f>
        <v>49473.0</v>
      </c>
      <c r="AB542" s="4" t="s">
        <v>1307</v>
      </c>
      <c r="AC542" s="27" t="n">
        <f>97232</f>
        <v>97232.0</v>
      </c>
      <c r="AD542" s="5" t="s">
        <v>119</v>
      </c>
      <c r="AE542" s="28" t="n">
        <f>25847</f>
        <v>25847.0</v>
      </c>
    </row>
    <row r="543">
      <c r="A543" s="20" t="s">
        <v>1201</v>
      </c>
      <c r="B543" s="21" t="s">
        <v>1202</v>
      </c>
      <c r="C543" s="22" t="s">
        <v>1124</v>
      </c>
      <c r="D543" s="23" t="s">
        <v>1125</v>
      </c>
      <c r="E543" s="24" t="s">
        <v>56</v>
      </c>
      <c r="F543" s="25" t="n">
        <f>245</f>
        <v>245.0</v>
      </c>
      <c r="G543" s="26" t="n">
        <f>83012</f>
        <v>83012.0</v>
      </c>
      <c r="H543" s="26"/>
      <c r="I543" s="26" t="n">
        <f>82854</f>
        <v>82854.0</v>
      </c>
      <c r="J543" s="26" t="n">
        <f>339</f>
        <v>339.0</v>
      </c>
      <c r="K543" s="26" t="n">
        <f>338</f>
        <v>338.0</v>
      </c>
      <c r="L543" s="4" t="s">
        <v>994</v>
      </c>
      <c r="M543" s="27" t="n">
        <f>6660</f>
        <v>6660.0</v>
      </c>
      <c r="N543" s="5" t="s">
        <v>389</v>
      </c>
      <c r="O543" s="28" t="str">
        <f>"－"</f>
        <v>－</v>
      </c>
      <c r="P543" s="3" t="s">
        <v>1312</v>
      </c>
      <c r="Q543" s="26"/>
      <c r="R543" s="3" t="s">
        <v>1313</v>
      </c>
      <c r="S543" s="26" t="n">
        <f>81109355</f>
        <v>8.1109355E7</v>
      </c>
      <c r="T543" s="26" t="n">
        <f>80331633</f>
        <v>8.0331633E7</v>
      </c>
      <c r="U543" s="5" t="s">
        <v>704</v>
      </c>
      <c r="V543" s="28" t="n">
        <f>1564114000</f>
        <v>1.564114E9</v>
      </c>
      <c r="W543" s="5" t="s">
        <v>389</v>
      </c>
      <c r="X543" s="28" t="str">
        <f>"－"</f>
        <v>－</v>
      </c>
      <c r="Y543" s="28" t="n">
        <f>23666</f>
        <v>23666.0</v>
      </c>
      <c r="Z543" s="26" t="n">
        <f>14967</f>
        <v>14967.0</v>
      </c>
      <c r="AA543" s="26" t="n">
        <f>11471</f>
        <v>11471.0</v>
      </c>
      <c r="AB543" s="4" t="s">
        <v>994</v>
      </c>
      <c r="AC543" s="27" t="n">
        <f>32563</f>
        <v>32563.0</v>
      </c>
      <c r="AD543" s="5" t="s">
        <v>1314</v>
      </c>
      <c r="AE543" s="28" t="n">
        <f>10492</f>
        <v>10492.0</v>
      </c>
    </row>
    <row r="544">
      <c r="A544" s="20" t="s">
        <v>1201</v>
      </c>
      <c r="B544" s="21" t="s">
        <v>1202</v>
      </c>
      <c r="C544" s="22" t="s">
        <v>1128</v>
      </c>
      <c r="D544" s="23" t="s">
        <v>1129</v>
      </c>
      <c r="E544" s="24" t="s">
        <v>56</v>
      </c>
      <c r="F544" s="25" t="n">
        <f>245</f>
        <v>245.0</v>
      </c>
      <c r="G544" s="26" t="n">
        <f>130442</f>
        <v>130442.0</v>
      </c>
      <c r="H544" s="26"/>
      <c r="I544" s="26" t="n">
        <f>130291</f>
        <v>130291.0</v>
      </c>
      <c r="J544" s="26" t="n">
        <f>532</f>
        <v>532.0</v>
      </c>
      <c r="K544" s="26" t="n">
        <f>532</f>
        <v>532.0</v>
      </c>
      <c r="L544" s="4" t="s">
        <v>152</v>
      </c>
      <c r="M544" s="27" t="n">
        <f>8480</f>
        <v>8480.0</v>
      </c>
      <c r="N544" s="5" t="s">
        <v>598</v>
      </c>
      <c r="O544" s="28" t="str">
        <f>"－"</f>
        <v>－</v>
      </c>
      <c r="P544" s="3" t="s">
        <v>1315</v>
      </c>
      <c r="Q544" s="26"/>
      <c r="R544" s="3" t="s">
        <v>1316</v>
      </c>
      <c r="S544" s="26" t="n">
        <f>140714759</f>
        <v>1.40714759E8</v>
      </c>
      <c r="T544" s="26" t="n">
        <f>140532024</f>
        <v>1.40532024E8</v>
      </c>
      <c r="U544" s="5" t="s">
        <v>268</v>
      </c>
      <c r="V544" s="28" t="n">
        <f>3359330000</f>
        <v>3.35933E9</v>
      </c>
      <c r="W544" s="5" t="s">
        <v>598</v>
      </c>
      <c r="X544" s="28" t="str">
        <f>"－"</f>
        <v>－</v>
      </c>
      <c r="Y544" s="28" t="n">
        <f>38787</f>
        <v>38787.0</v>
      </c>
      <c r="Z544" s="26" t="n">
        <f>41455</f>
        <v>41455.0</v>
      </c>
      <c r="AA544" s="26" t="n">
        <f>6428</f>
        <v>6428.0</v>
      </c>
      <c r="AB544" s="4" t="s">
        <v>994</v>
      </c>
      <c r="AC544" s="27" t="n">
        <f>48540</f>
        <v>48540.0</v>
      </c>
      <c r="AD544" s="5" t="s">
        <v>149</v>
      </c>
      <c r="AE544" s="28" t="n">
        <f>5283</f>
        <v>5283.0</v>
      </c>
    </row>
    <row r="545">
      <c r="A545" s="20" t="s">
        <v>1201</v>
      </c>
      <c r="B545" s="21" t="s">
        <v>1202</v>
      </c>
      <c r="C545" s="22" t="s">
        <v>1132</v>
      </c>
      <c r="D545" s="23" t="s">
        <v>1133</v>
      </c>
      <c r="E545" s="24" t="s">
        <v>56</v>
      </c>
      <c r="F545" s="25" t="n">
        <f>245</f>
        <v>245.0</v>
      </c>
      <c r="G545" s="26" t="n">
        <f>213454</f>
        <v>213454.0</v>
      </c>
      <c r="H545" s="26"/>
      <c r="I545" s="26" t="n">
        <f>213145</f>
        <v>213145.0</v>
      </c>
      <c r="J545" s="26" t="n">
        <f>871</f>
        <v>871.0</v>
      </c>
      <c r="K545" s="26" t="n">
        <f>870</f>
        <v>870.0</v>
      </c>
      <c r="L545" s="4" t="s">
        <v>994</v>
      </c>
      <c r="M545" s="27" t="n">
        <f>14320</f>
        <v>14320.0</v>
      </c>
      <c r="N545" s="5" t="s">
        <v>1214</v>
      </c>
      <c r="O545" s="28" t="str">
        <f>"－"</f>
        <v>－</v>
      </c>
      <c r="P545" s="3" t="s">
        <v>1317</v>
      </c>
      <c r="Q545" s="26"/>
      <c r="R545" s="3" t="s">
        <v>1318</v>
      </c>
      <c r="S545" s="26" t="n">
        <f>221824114</f>
        <v>2.21824114E8</v>
      </c>
      <c r="T545" s="26" t="n">
        <f>220863657</f>
        <v>2.20863657E8</v>
      </c>
      <c r="U545" s="5" t="s">
        <v>268</v>
      </c>
      <c r="V545" s="28" t="n">
        <f>3359330000</f>
        <v>3.35933E9</v>
      </c>
      <c r="W545" s="5" t="s">
        <v>1214</v>
      </c>
      <c r="X545" s="28" t="str">
        <f>"－"</f>
        <v>－</v>
      </c>
      <c r="Y545" s="28" t="n">
        <f>62453</f>
        <v>62453.0</v>
      </c>
      <c r="Z545" s="26" t="n">
        <f>56422</f>
        <v>56422.0</v>
      </c>
      <c r="AA545" s="26" t="n">
        <f>17899</f>
        <v>17899.0</v>
      </c>
      <c r="AB545" s="4" t="s">
        <v>994</v>
      </c>
      <c r="AC545" s="27" t="n">
        <f>81103</f>
        <v>81103.0</v>
      </c>
      <c r="AD545" s="5" t="s">
        <v>149</v>
      </c>
      <c r="AE545" s="28" t="n">
        <f>16495</f>
        <v>16495.0</v>
      </c>
    </row>
    <row r="546">
      <c r="A546" s="20" t="s">
        <v>1201</v>
      </c>
      <c r="B546" s="21" t="s">
        <v>1202</v>
      </c>
      <c r="C546" s="22" t="s">
        <v>1124</v>
      </c>
      <c r="D546" s="23" t="s">
        <v>1125</v>
      </c>
      <c r="E546" s="24" t="s">
        <v>63</v>
      </c>
      <c r="F546" s="25" t="n">
        <f>245</f>
        <v>245.0</v>
      </c>
      <c r="G546" s="26" t="n">
        <f>115721</f>
        <v>115721.0</v>
      </c>
      <c r="H546" s="26"/>
      <c r="I546" s="26" t="n">
        <f>115587</f>
        <v>115587.0</v>
      </c>
      <c r="J546" s="26" t="n">
        <f>472</f>
        <v>472.0</v>
      </c>
      <c r="K546" s="26" t="n">
        <f>472</f>
        <v>472.0</v>
      </c>
      <c r="L546" s="4" t="s">
        <v>61</v>
      </c>
      <c r="M546" s="27" t="n">
        <f>19371</f>
        <v>19371.0</v>
      </c>
      <c r="N546" s="5" t="s">
        <v>213</v>
      </c>
      <c r="O546" s="28" t="str">
        <f>"－"</f>
        <v>－</v>
      </c>
      <c r="P546" s="3" t="s">
        <v>1319</v>
      </c>
      <c r="Q546" s="26"/>
      <c r="R546" s="3" t="s">
        <v>1320</v>
      </c>
      <c r="S546" s="26" t="n">
        <f>108353574</f>
        <v>1.08353574E8</v>
      </c>
      <c r="T546" s="26" t="n">
        <f>108176933</f>
        <v>1.08176933E8</v>
      </c>
      <c r="U546" s="5" t="s">
        <v>61</v>
      </c>
      <c r="V546" s="28" t="n">
        <f>3125355300</f>
        <v>3.1253553E9</v>
      </c>
      <c r="W546" s="5" t="s">
        <v>213</v>
      </c>
      <c r="X546" s="28" t="str">
        <f>"－"</f>
        <v>－</v>
      </c>
      <c r="Y546" s="28" t="n">
        <f>6634</f>
        <v>6634.0</v>
      </c>
      <c r="Z546" s="26" t="n">
        <f>61779</f>
        <v>61779.0</v>
      </c>
      <c r="AA546" s="26" t="n">
        <f>47577</f>
        <v>47577.0</v>
      </c>
      <c r="AB546" s="4" t="s">
        <v>61</v>
      </c>
      <c r="AC546" s="27" t="n">
        <f>53472</f>
        <v>53472.0</v>
      </c>
      <c r="AD546" s="5" t="s">
        <v>68</v>
      </c>
      <c r="AE546" s="28" t="n">
        <f>9571</f>
        <v>9571.0</v>
      </c>
    </row>
    <row r="547">
      <c r="A547" s="20" t="s">
        <v>1201</v>
      </c>
      <c r="B547" s="21" t="s">
        <v>1202</v>
      </c>
      <c r="C547" s="22" t="s">
        <v>1128</v>
      </c>
      <c r="D547" s="23" t="s">
        <v>1129</v>
      </c>
      <c r="E547" s="24" t="s">
        <v>63</v>
      </c>
      <c r="F547" s="25" t="n">
        <f>245</f>
        <v>245.0</v>
      </c>
      <c r="G547" s="26" t="n">
        <f>98064</f>
        <v>98064.0</v>
      </c>
      <c r="H547" s="26"/>
      <c r="I547" s="26" t="n">
        <f>97748</f>
        <v>97748.0</v>
      </c>
      <c r="J547" s="26" t="n">
        <f>400</f>
        <v>400.0</v>
      </c>
      <c r="K547" s="26" t="n">
        <f>399</f>
        <v>399.0</v>
      </c>
      <c r="L547" s="4" t="s">
        <v>602</v>
      </c>
      <c r="M547" s="27" t="n">
        <f>9844</f>
        <v>9844.0</v>
      </c>
      <c r="N547" s="5" t="s">
        <v>213</v>
      </c>
      <c r="O547" s="28" t="str">
        <f>"－"</f>
        <v>－</v>
      </c>
      <c r="P547" s="3" t="s">
        <v>1321</v>
      </c>
      <c r="Q547" s="26"/>
      <c r="R547" s="3" t="s">
        <v>1322</v>
      </c>
      <c r="S547" s="26" t="n">
        <f>75859958</f>
        <v>7.5859958E7</v>
      </c>
      <c r="T547" s="26" t="n">
        <f>75238603</f>
        <v>7.5238603E7</v>
      </c>
      <c r="U547" s="5" t="s">
        <v>294</v>
      </c>
      <c r="V547" s="28" t="n">
        <f>1349621825</f>
        <v>1.349621825E9</v>
      </c>
      <c r="W547" s="5" t="s">
        <v>213</v>
      </c>
      <c r="X547" s="28" t="str">
        <f>"－"</f>
        <v>－</v>
      </c>
      <c r="Y547" s="28" t="n">
        <f>16877</f>
        <v>16877.0</v>
      </c>
      <c r="Z547" s="26" t="n">
        <f>36726</f>
        <v>36726.0</v>
      </c>
      <c r="AA547" s="26" t="n">
        <f>16602</f>
        <v>16602.0</v>
      </c>
      <c r="AB547" s="4" t="s">
        <v>74</v>
      </c>
      <c r="AC547" s="27" t="n">
        <f>20584</f>
        <v>20584.0</v>
      </c>
      <c r="AD547" s="5" t="s">
        <v>68</v>
      </c>
      <c r="AE547" s="28" t="n">
        <f>3917</f>
        <v>3917.0</v>
      </c>
    </row>
    <row r="548">
      <c r="A548" s="20" t="s">
        <v>1201</v>
      </c>
      <c r="B548" s="21" t="s">
        <v>1202</v>
      </c>
      <c r="C548" s="22" t="s">
        <v>1132</v>
      </c>
      <c r="D548" s="23" t="s">
        <v>1133</v>
      </c>
      <c r="E548" s="24" t="s">
        <v>63</v>
      </c>
      <c r="F548" s="25" t="n">
        <f>245</f>
        <v>245.0</v>
      </c>
      <c r="G548" s="26" t="n">
        <f>213785</f>
        <v>213785.0</v>
      </c>
      <c r="H548" s="26"/>
      <c r="I548" s="26" t="n">
        <f>213335</f>
        <v>213335.0</v>
      </c>
      <c r="J548" s="26" t="n">
        <f>873</f>
        <v>873.0</v>
      </c>
      <c r="K548" s="26" t="n">
        <f>871</f>
        <v>871.0</v>
      </c>
      <c r="L548" s="4" t="s">
        <v>61</v>
      </c>
      <c r="M548" s="27" t="n">
        <f>21831</f>
        <v>21831.0</v>
      </c>
      <c r="N548" s="5" t="s">
        <v>213</v>
      </c>
      <c r="O548" s="28" t="str">
        <f>"－"</f>
        <v>－</v>
      </c>
      <c r="P548" s="3" t="s">
        <v>1323</v>
      </c>
      <c r="Q548" s="26"/>
      <c r="R548" s="3" t="s">
        <v>1324</v>
      </c>
      <c r="S548" s="26" t="n">
        <f>184213532</f>
        <v>1.84213532E8</v>
      </c>
      <c r="T548" s="26" t="n">
        <f>183415536</f>
        <v>1.83415536E8</v>
      </c>
      <c r="U548" s="5" t="s">
        <v>61</v>
      </c>
      <c r="V548" s="28" t="n">
        <f>3648105300</f>
        <v>3.6481053E9</v>
      </c>
      <c r="W548" s="5" t="s">
        <v>213</v>
      </c>
      <c r="X548" s="28" t="str">
        <f>"－"</f>
        <v>－</v>
      </c>
      <c r="Y548" s="28" t="n">
        <f>23511</f>
        <v>23511.0</v>
      </c>
      <c r="Z548" s="26" t="n">
        <f>98505</f>
        <v>98505.0</v>
      </c>
      <c r="AA548" s="26" t="n">
        <f>64179</f>
        <v>64179.0</v>
      </c>
      <c r="AB548" s="4" t="s">
        <v>61</v>
      </c>
      <c r="AC548" s="27" t="n">
        <f>74056</f>
        <v>74056.0</v>
      </c>
      <c r="AD548" s="5" t="s">
        <v>68</v>
      </c>
      <c r="AE548" s="28" t="n">
        <f>13488</f>
        <v>13488.0</v>
      </c>
    </row>
    <row r="549">
      <c r="A549" s="20" t="s">
        <v>1201</v>
      </c>
      <c r="B549" s="21" t="s">
        <v>1202</v>
      </c>
      <c r="C549" s="22" t="s">
        <v>1124</v>
      </c>
      <c r="D549" s="23" t="s">
        <v>1125</v>
      </c>
      <c r="E549" s="24" t="s">
        <v>70</v>
      </c>
      <c r="F549" s="25" t="n">
        <f>245</f>
        <v>245.0</v>
      </c>
      <c r="G549" s="26" t="n">
        <f>134093</f>
        <v>134093.0</v>
      </c>
      <c r="H549" s="26"/>
      <c r="I549" s="26" t="n">
        <f>133660</f>
        <v>133660.0</v>
      </c>
      <c r="J549" s="26" t="n">
        <f>547</f>
        <v>547.0</v>
      </c>
      <c r="K549" s="26" t="n">
        <f>546</f>
        <v>546.0</v>
      </c>
      <c r="L549" s="4" t="s">
        <v>99</v>
      </c>
      <c r="M549" s="27" t="n">
        <f>17212</f>
        <v>17212.0</v>
      </c>
      <c r="N549" s="5" t="s">
        <v>399</v>
      </c>
      <c r="O549" s="28" t="str">
        <f>"－"</f>
        <v>－</v>
      </c>
      <c r="P549" s="3" t="s">
        <v>1325</v>
      </c>
      <c r="Q549" s="26"/>
      <c r="R549" s="3" t="s">
        <v>1326</v>
      </c>
      <c r="S549" s="26" t="n">
        <f>189905805</f>
        <v>1.89905805E8</v>
      </c>
      <c r="T549" s="26" t="n">
        <f>189432883</f>
        <v>1.89432883E8</v>
      </c>
      <c r="U549" s="5" t="s">
        <v>286</v>
      </c>
      <c r="V549" s="28" t="n">
        <f>4135141000</f>
        <v>4.135141E9</v>
      </c>
      <c r="W549" s="5" t="s">
        <v>399</v>
      </c>
      <c r="X549" s="28" t="str">
        <f>"－"</f>
        <v>－</v>
      </c>
      <c r="Y549" s="28" t="n">
        <f>33482</f>
        <v>33482.0</v>
      </c>
      <c r="Z549" s="26" t="n">
        <f>54765</f>
        <v>54765.0</v>
      </c>
      <c r="AA549" s="26" t="n">
        <f>58050</f>
        <v>58050.0</v>
      </c>
      <c r="AB549" s="4" t="s">
        <v>735</v>
      </c>
      <c r="AC549" s="27" t="n">
        <f>58841</f>
        <v>58841.0</v>
      </c>
      <c r="AD549" s="5" t="s">
        <v>231</v>
      </c>
      <c r="AE549" s="28" t="n">
        <f>37116</f>
        <v>37116.0</v>
      </c>
    </row>
    <row r="550">
      <c r="A550" s="20" t="s">
        <v>1201</v>
      </c>
      <c r="B550" s="21" t="s">
        <v>1202</v>
      </c>
      <c r="C550" s="22" t="s">
        <v>1128</v>
      </c>
      <c r="D550" s="23" t="s">
        <v>1129</v>
      </c>
      <c r="E550" s="24" t="s">
        <v>70</v>
      </c>
      <c r="F550" s="25" t="n">
        <f>245</f>
        <v>245.0</v>
      </c>
      <c r="G550" s="26" t="n">
        <f>113514</f>
        <v>113514.0</v>
      </c>
      <c r="H550" s="26"/>
      <c r="I550" s="26" t="n">
        <f>113514</f>
        <v>113514.0</v>
      </c>
      <c r="J550" s="26" t="n">
        <f>463</f>
        <v>463.0</v>
      </c>
      <c r="K550" s="26" t="n">
        <f>463</f>
        <v>463.0</v>
      </c>
      <c r="L550" s="4" t="s">
        <v>135</v>
      </c>
      <c r="M550" s="27" t="n">
        <f>6500</f>
        <v>6500.0</v>
      </c>
      <c r="N550" s="5" t="s">
        <v>399</v>
      </c>
      <c r="O550" s="28" t="str">
        <f>"－"</f>
        <v>－</v>
      </c>
      <c r="P550" s="3" t="s">
        <v>1327</v>
      </c>
      <c r="Q550" s="26"/>
      <c r="R550" s="3" t="s">
        <v>1327</v>
      </c>
      <c r="S550" s="26" t="n">
        <f>150529070</f>
        <v>1.5052907E8</v>
      </c>
      <c r="T550" s="26" t="n">
        <f>150529070</f>
        <v>1.5052907E8</v>
      </c>
      <c r="U550" s="5" t="s">
        <v>99</v>
      </c>
      <c r="V550" s="28" t="n">
        <f>3430621000</f>
        <v>3.430621E9</v>
      </c>
      <c r="W550" s="5" t="s">
        <v>399</v>
      </c>
      <c r="X550" s="28" t="str">
        <f>"－"</f>
        <v>－</v>
      </c>
      <c r="Y550" s="28" t="n">
        <f>21631</f>
        <v>21631.0</v>
      </c>
      <c r="Z550" s="26" t="n">
        <f>41211</f>
        <v>41211.0</v>
      </c>
      <c r="AA550" s="26" t="n">
        <f>21962</f>
        <v>21962.0</v>
      </c>
      <c r="AB550" s="4" t="s">
        <v>1328</v>
      </c>
      <c r="AC550" s="27" t="n">
        <f>33772</f>
        <v>33772.0</v>
      </c>
      <c r="AD550" s="5" t="s">
        <v>234</v>
      </c>
      <c r="AE550" s="28" t="n">
        <f>6139</f>
        <v>6139.0</v>
      </c>
    </row>
    <row r="551">
      <c r="A551" s="20" t="s">
        <v>1201</v>
      </c>
      <c r="B551" s="21" t="s">
        <v>1202</v>
      </c>
      <c r="C551" s="22" t="s">
        <v>1132</v>
      </c>
      <c r="D551" s="23" t="s">
        <v>1133</v>
      </c>
      <c r="E551" s="24" t="s">
        <v>70</v>
      </c>
      <c r="F551" s="25" t="n">
        <f>245</f>
        <v>245.0</v>
      </c>
      <c r="G551" s="26" t="n">
        <f>247607</f>
        <v>247607.0</v>
      </c>
      <c r="H551" s="26"/>
      <c r="I551" s="26" t="n">
        <f>247174</f>
        <v>247174.0</v>
      </c>
      <c r="J551" s="26" t="n">
        <f>1011</f>
        <v>1011.0</v>
      </c>
      <c r="K551" s="26" t="n">
        <f>1009</f>
        <v>1009.0</v>
      </c>
      <c r="L551" s="4" t="s">
        <v>99</v>
      </c>
      <c r="M551" s="27" t="n">
        <f>19305</f>
        <v>19305.0</v>
      </c>
      <c r="N551" s="5" t="s">
        <v>399</v>
      </c>
      <c r="O551" s="28" t="str">
        <f>"－"</f>
        <v>－</v>
      </c>
      <c r="P551" s="3" t="s">
        <v>1329</v>
      </c>
      <c r="Q551" s="26"/>
      <c r="R551" s="3" t="s">
        <v>1330</v>
      </c>
      <c r="S551" s="26" t="n">
        <f>340434876</f>
        <v>3.40434876E8</v>
      </c>
      <c r="T551" s="26" t="n">
        <f>339961953</f>
        <v>3.39961953E8</v>
      </c>
      <c r="U551" s="5" t="s">
        <v>99</v>
      </c>
      <c r="V551" s="28" t="n">
        <f>7059875100</f>
        <v>7.0598751E9</v>
      </c>
      <c r="W551" s="5" t="s">
        <v>399</v>
      </c>
      <c r="X551" s="28" t="str">
        <f>"－"</f>
        <v>－</v>
      </c>
      <c r="Y551" s="28" t="n">
        <f>55113</f>
        <v>55113.0</v>
      </c>
      <c r="Z551" s="26" t="n">
        <f>95976</f>
        <v>95976.0</v>
      </c>
      <c r="AA551" s="26" t="n">
        <f>80012</f>
        <v>80012.0</v>
      </c>
      <c r="AB551" s="4" t="s">
        <v>1328</v>
      </c>
      <c r="AC551" s="27" t="n">
        <f>92037</f>
        <v>92037.0</v>
      </c>
      <c r="AD551" s="5" t="s">
        <v>388</v>
      </c>
      <c r="AE551" s="28" t="n">
        <f>47179</f>
        <v>47179.0</v>
      </c>
    </row>
    <row r="552">
      <c r="A552" s="20" t="s">
        <v>1201</v>
      </c>
      <c r="B552" s="21" t="s">
        <v>1202</v>
      </c>
      <c r="C552" s="22" t="s">
        <v>1124</v>
      </c>
      <c r="D552" s="23" t="s">
        <v>1125</v>
      </c>
      <c r="E552" s="24" t="s">
        <v>76</v>
      </c>
      <c r="F552" s="25" t="n">
        <f>244</f>
        <v>244.0</v>
      </c>
      <c r="G552" s="26" t="n">
        <f>91049</f>
        <v>91049.0</v>
      </c>
      <c r="H552" s="26"/>
      <c r="I552" s="26" t="n">
        <f>91049</f>
        <v>91049.0</v>
      </c>
      <c r="J552" s="26" t="n">
        <f>373</f>
        <v>373.0</v>
      </c>
      <c r="K552" s="26" t="n">
        <f>373</f>
        <v>373.0</v>
      </c>
      <c r="L552" s="4" t="s">
        <v>74</v>
      </c>
      <c r="M552" s="27" t="n">
        <f>20163</f>
        <v>20163.0</v>
      </c>
      <c r="N552" s="5" t="s">
        <v>403</v>
      </c>
      <c r="O552" s="28" t="str">
        <f>"－"</f>
        <v>－</v>
      </c>
      <c r="P552" s="3" t="s">
        <v>1331</v>
      </c>
      <c r="Q552" s="26"/>
      <c r="R552" s="3" t="s">
        <v>1331</v>
      </c>
      <c r="S552" s="26" t="n">
        <f>154498695</f>
        <v>1.54498695E8</v>
      </c>
      <c r="T552" s="26" t="n">
        <f>154498695</f>
        <v>1.54498695E8</v>
      </c>
      <c r="U552" s="5" t="s">
        <v>74</v>
      </c>
      <c r="V552" s="28" t="n">
        <f>7329519037</f>
        <v>7.329519037E9</v>
      </c>
      <c r="W552" s="5" t="s">
        <v>403</v>
      </c>
      <c r="X552" s="28" t="str">
        <f>"－"</f>
        <v>－</v>
      </c>
      <c r="Y552" s="28" t="n">
        <f>6077</f>
        <v>6077.0</v>
      </c>
      <c r="Z552" s="26" t="n">
        <f>61288</f>
        <v>61288.0</v>
      </c>
      <c r="AA552" s="26" t="n">
        <f>72097</f>
        <v>72097.0</v>
      </c>
      <c r="AB552" s="4" t="s">
        <v>926</v>
      </c>
      <c r="AC552" s="27" t="n">
        <f>72097</f>
        <v>72097.0</v>
      </c>
      <c r="AD552" s="5" t="s">
        <v>136</v>
      </c>
      <c r="AE552" s="28" t="n">
        <f>48362</f>
        <v>48362.0</v>
      </c>
    </row>
    <row r="553">
      <c r="A553" s="20" t="s">
        <v>1201</v>
      </c>
      <c r="B553" s="21" t="s">
        <v>1202</v>
      </c>
      <c r="C553" s="22" t="s">
        <v>1128</v>
      </c>
      <c r="D553" s="23" t="s">
        <v>1129</v>
      </c>
      <c r="E553" s="24" t="s">
        <v>76</v>
      </c>
      <c r="F553" s="25" t="n">
        <f>244</f>
        <v>244.0</v>
      </c>
      <c r="G553" s="26" t="n">
        <f>65601</f>
        <v>65601.0</v>
      </c>
      <c r="H553" s="26"/>
      <c r="I553" s="26" t="n">
        <f>65601</f>
        <v>65601.0</v>
      </c>
      <c r="J553" s="26" t="n">
        <f>269</f>
        <v>269.0</v>
      </c>
      <c r="K553" s="26" t="n">
        <f>269</f>
        <v>269.0</v>
      </c>
      <c r="L553" s="4" t="s">
        <v>710</v>
      </c>
      <c r="M553" s="27" t="n">
        <f>4236</f>
        <v>4236.0</v>
      </c>
      <c r="N553" s="5" t="s">
        <v>399</v>
      </c>
      <c r="O553" s="28" t="str">
        <f>"－"</f>
        <v>－</v>
      </c>
      <c r="P553" s="3" t="s">
        <v>1332</v>
      </c>
      <c r="Q553" s="26"/>
      <c r="R553" s="3" t="s">
        <v>1332</v>
      </c>
      <c r="S553" s="26" t="n">
        <f>88933087</f>
        <v>8.8933087E7</v>
      </c>
      <c r="T553" s="26" t="n">
        <f>88933087</f>
        <v>8.8933087E7</v>
      </c>
      <c r="U553" s="5" t="s">
        <v>75</v>
      </c>
      <c r="V553" s="28" t="n">
        <f>1973952000</f>
        <v>1.973952E9</v>
      </c>
      <c r="W553" s="5" t="s">
        <v>399</v>
      </c>
      <c r="X553" s="28" t="str">
        <f>"－"</f>
        <v>－</v>
      </c>
      <c r="Y553" s="28" t="n">
        <f>9732</f>
        <v>9732.0</v>
      </c>
      <c r="Z553" s="26" t="n">
        <f>34062</f>
        <v>34062.0</v>
      </c>
      <c r="AA553" s="26" t="n">
        <f>13630</f>
        <v>13630.0</v>
      </c>
      <c r="AB553" s="4" t="s">
        <v>474</v>
      </c>
      <c r="AC553" s="27" t="n">
        <f>23512</f>
        <v>23512.0</v>
      </c>
      <c r="AD553" s="5" t="s">
        <v>286</v>
      </c>
      <c r="AE553" s="28" t="n">
        <f>7868</f>
        <v>7868.0</v>
      </c>
    </row>
    <row r="554">
      <c r="A554" s="20" t="s">
        <v>1201</v>
      </c>
      <c r="B554" s="21" t="s">
        <v>1202</v>
      </c>
      <c r="C554" s="22" t="s">
        <v>1132</v>
      </c>
      <c r="D554" s="23" t="s">
        <v>1133</v>
      </c>
      <c r="E554" s="24" t="s">
        <v>76</v>
      </c>
      <c r="F554" s="25" t="n">
        <f>244</f>
        <v>244.0</v>
      </c>
      <c r="G554" s="26" t="n">
        <f>156650</f>
        <v>156650.0</v>
      </c>
      <c r="H554" s="26"/>
      <c r="I554" s="26" t="n">
        <f>156650</f>
        <v>156650.0</v>
      </c>
      <c r="J554" s="26" t="n">
        <f>642</f>
        <v>642.0</v>
      </c>
      <c r="K554" s="26" t="n">
        <f>642</f>
        <v>642.0</v>
      </c>
      <c r="L554" s="4" t="s">
        <v>74</v>
      </c>
      <c r="M554" s="27" t="n">
        <f>20163</f>
        <v>20163.0</v>
      </c>
      <c r="N554" s="5" t="s">
        <v>403</v>
      </c>
      <c r="O554" s="28" t="str">
        <f>"－"</f>
        <v>－</v>
      </c>
      <c r="P554" s="3" t="s">
        <v>1333</v>
      </c>
      <c r="Q554" s="26"/>
      <c r="R554" s="3" t="s">
        <v>1333</v>
      </c>
      <c r="S554" s="26" t="n">
        <f>243431781</f>
        <v>2.43431781E8</v>
      </c>
      <c r="T554" s="26" t="n">
        <f>243431781</f>
        <v>2.43431781E8</v>
      </c>
      <c r="U554" s="5" t="s">
        <v>74</v>
      </c>
      <c r="V554" s="28" t="n">
        <f>7329519037</f>
        <v>7.329519037E9</v>
      </c>
      <c r="W554" s="5" t="s">
        <v>403</v>
      </c>
      <c r="X554" s="28" t="str">
        <f>"－"</f>
        <v>－</v>
      </c>
      <c r="Y554" s="28" t="n">
        <f>15809</f>
        <v>15809.0</v>
      </c>
      <c r="Z554" s="26" t="n">
        <f>95350</f>
        <v>95350.0</v>
      </c>
      <c r="AA554" s="26" t="n">
        <f>85727</f>
        <v>85727.0</v>
      </c>
      <c r="AB554" s="4" t="s">
        <v>521</v>
      </c>
      <c r="AC554" s="27" t="n">
        <f>87189</f>
        <v>87189.0</v>
      </c>
      <c r="AD554" s="5" t="s">
        <v>136</v>
      </c>
      <c r="AE554" s="28" t="n">
        <f>58079</f>
        <v>58079.0</v>
      </c>
    </row>
    <row r="555">
      <c r="A555" s="20" t="s">
        <v>1201</v>
      </c>
      <c r="B555" s="21" t="s">
        <v>1202</v>
      </c>
      <c r="C555" s="22" t="s">
        <v>1124</v>
      </c>
      <c r="D555" s="23" t="s">
        <v>1125</v>
      </c>
      <c r="E555" s="24" t="s">
        <v>81</v>
      </c>
      <c r="F555" s="25" t="n">
        <f>241</f>
        <v>241.0</v>
      </c>
      <c r="G555" s="26" t="n">
        <f>250738</f>
        <v>250738.0</v>
      </c>
      <c r="H555" s="26"/>
      <c r="I555" s="26" t="n">
        <f>250537</f>
        <v>250537.0</v>
      </c>
      <c r="J555" s="26" t="n">
        <f>1040</f>
        <v>1040.0</v>
      </c>
      <c r="K555" s="26" t="n">
        <f>1040</f>
        <v>1040.0</v>
      </c>
      <c r="L555" s="4" t="s">
        <v>128</v>
      </c>
      <c r="M555" s="27" t="n">
        <f>41916</f>
        <v>41916.0</v>
      </c>
      <c r="N555" s="5" t="s">
        <v>389</v>
      </c>
      <c r="O555" s="28" t="str">
        <f>"－"</f>
        <v>－</v>
      </c>
      <c r="P555" s="3" t="s">
        <v>1334</v>
      </c>
      <c r="Q555" s="26"/>
      <c r="R555" s="3" t="s">
        <v>1335</v>
      </c>
      <c r="S555" s="26" t="n">
        <f>338287700</f>
        <v>3.382877E8</v>
      </c>
      <c r="T555" s="26" t="n">
        <f>338183613</f>
        <v>3.38183613E8</v>
      </c>
      <c r="U555" s="5" t="s">
        <v>128</v>
      </c>
      <c r="V555" s="28" t="n">
        <f>17145539132</f>
        <v>1.7145539132E10</v>
      </c>
      <c r="W555" s="5" t="s">
        <v>389</v>
      </c>
      <c r="X555" s="28" t="str">
        <f>"－"</f>
        <v>－</v>
      </c>
      <c r="Y555" s="28" t="n">
        <f>9038</f>
        <v>9038.0</v>
      </c>
      <c r="Z555" s="26" t="n">
        <f>155781</f>
        <v>155781.0</v>
      </c>
      <c r="AA555" s="26" t="n">
        <f>118270</f>
        <v>118270.0</v>
      </c>
      <c r="AB555" s="4" t="s">
        <v>104</v>
      </c>
      <c r="AC555" s="27" t="n">
        <f>135363</f>
        <v>135363.0</v>
      </c>
      <c r="AD555" s="5" t="s">
        <v>213</v>
      </c>
      <c r="AE555" s="28" t="n">
        <f>72105</f>
        <v>72105.0</v>
      </c>
    </row>
    <row r="556">
      <c r="A556" s="20" t="s">
        <v>1201</v>
      </c>
      <c r="B556" s="21" t="s">
        <v>1202</v>
      </c>
      <c r="C556" s="22" t="s">
        <v>1128</v>
      </c>
      <c r="D556" s="23" t="s">
        <v>1129</v>
      </c>
      <c r="E556" s="24" t="s">
        <v>81</v>
      </c>
      <c r="F556" s="25" t="n">
        <f>241</f>
        <v>241.0</v>
      </c>
      <c r="G556" s="26" t="n">
        <f>75109</f>
        <v>75109.0</v>
      </c>
      <c r="H556" s="26"/>
      <c r="I556" s="26" t="n">
        <f>75109</f>
        <v>75109.0</v>
      </c>
      <c r="J556" s="26" t="n">
        <f>312</f>
        <v>312.0</v>
      </c>
      <c r="K556" s="26" t="n">
        <f>312</f>
        <v>312.0</v>
      </c>
      <c r="L556" s="4" t="s">
        <v>75</v>
      </c>
      <c r="M556" s="27" t="n">
        <f>4091</f>
        <v>4091.0</v>
      </c>
      <c r="N556" s="5" t="s">
        <v>213</v>
      </c>
      <c r="O556" s="28" t="str">
        <f>"－"</f>
        <v>－</v>
      </c>
      <c r="P556" s="3" t="s">
        <v>1336</v>
      </c>
      <c r="Q556" s="26"/>
      <c r="R556" s="3" t="s">
        <v>1336</v>
      </c>
      <c r="S556" s="26" t="n">
        <f>110789815</f>
        <v>1.10789815E8</v>
      </c>
      <c r="T556" s="26" t="n">
        <f>110789815</f>
        <v>1.10789815E8</v>
      </c>
      <c r="U556" s="5" t="s">
        <v>49</v>
      </c>
      <c r="V556" s="28" t="n">
        <f>3157514900</f>
        <v>3.1575149E9</v>
      </c>
      <c r="W556" s="5" t="s">
        <v>213</v>
      </c>
      <c r="X556" s="28" t="str">
        <f>"－"</f>
        <v>－</v>
      </c>
      <c r="Y556" s="28" t="n">
        <f>16751</f>
        <v>16751.0</v>
      </c>
      <c r="Z556" s="26" t="n">
        <f>34160</f>
        <v>34160.0</v>
      </c>
      <c r="AA556" s="26" t="n">
        <f>18354</f>
        <v>18354.0</v>
      </c>
      <c r="AB556" s="4" t="s">
        <v>54</v>
      </c>
      <c r="AC556" s="27" t="n">
        <f>25280</f>
        <v>25280.0</v>
      </c>
      <c r="AD556" s="5" t="s">
        <v>775</v>
      </c>
      <c r="AE556" s="28" t="n">
        <f>13039</f>
        <v>13039.0</v>
      </c>
    </row>
    <row r="557">
      <c r="A557" s="20" t="s">
        <v>1201</v>
      </c>
      <c r="B557" s="21" t="s">
        <v>1202</v>
      </c>
      <c r="C557" s="22" t="s">
        <v>1132</v>
      </c>
      <c r="D557" s="23" t="s">
        <v>1133</v>
      </c>
      <c r="E557" s="24" t="s">
        <v>81</v>
      </c>
      <c r="F557" s="25" t="n">
        <f>241</f>
        <v>241.0</v>
      </c>
      <c r="G557" s="26" t="n">
        <f>325847</f>
        <v>325847.0</v>
      </c>
      <c r="H557" s="26"/>
      <c r="I557" s="26" t="n">
        <f>325646</f>
        <v>325646.0</v>
      </c>
      <c r="J557" s="26" t="n">
        <f>1352</f>
        <v>1352.0</v>
      </c>
      <c r="K557" s="26" t="n">
        <f>1351</f>
        <v>1351.0</v>
      </c>
      <c r="L557" s="4" t="s">
        <v>128</v>
      </c>
      <c r="M557" s="27" t="n">
        <f>41916</f>
        <v>41916.0</v>
      </c>
      <c r="N557" s="5" t="s">
        <v>389</v>
      </c>
      <c r="O557" s="28" t="str">
        <f>"－"</f>
        <v>－</v>
      </c>
      <c r="P557" s="3" t="s">
        <v>1337</v>
      </c>
      <c r="Q557" s="26"/>
      <c r="R557" s="3" t="s">
        <v>1338</v>
      </c>
      <c r="S557" s="26" t="n">
        <f>449077515</f>
        <v>4.49077515E8</v>
      </c>
      <c r="T557" s="26" t="n">
        <f>448973428</f>
        <v>4.48973428E8</v>
      </c>
      <c r="U557" s="5" t="s">
        <v>128</v>
      </c>
      <c r="V557" s="28" t="n">
        <f>17145539132</f>
        <v>1.7145539132E10</v>
      </c>
      <c r="W557" s="5" t="s">
        <v>389</v>
      </c>
      <c r="X557" s="28" t="str">
        <f>"－"</f>
        <v>－</v>
      </c>
      <c r="Y557" s="28" t="n">
        <f>25789</f>
        <v>25789.0</v>
      </c>
      <c r="Z557" s="26" t="n">
        <f>189941</f>
        <v>189941.0</v>
      </c>
      <c r="AA557" s="26" t="n">
        <f>136624</f>
        <v>136624.0</v>
      </c>
      <c r="AB557" s="4" t="s">
        <v>53</v>
      </c>
      <c r="AC557" s="27" t="n">
        <f>157632</f>
        <v>157632.0</v>
      </c>
      <c r="AD557" s="5" t="s">
        <v>213</v>
      </c>
      <c r="AE557" s="28" t="n">
        <f>85735</f>
        <v>85735.0</v>
      </c>
    </row>
    <row r="558">
      <c r="A558" s="20" t="s">
        <v>1201</v>
      </c>
      <c r="B558" s="21" t="s">
        <v>1202</v>
      </c>
      <c r="C558" s="22" t="s">
        <v>1124</v>
      </c>
      <c r="D558" s="23" t="s">
        <v>1125</v>
      </c>
      <c r="E558" s="24" t="s">
        <v>87</v>
      </c>
      <c r="F558" s="25" t="n">
        <f>245</f>
        <v>245.0</v>
      </c>
      <c r="G558" s="26" t="n">
        <f>195432</f>
        <v>195432.0</v>
      </c>
      <c r="H558" s="26"/>
      <c r="I558" s="26" t="n">
        <f>195432</f>
        <v>195432.0</v>
      </c>
      <c r="J558" s="26" t="n">
        <f>798</f>
        <v>798.0</v>
      </c>
      <c r="K558" s="26" t="n">
        <f>798</f>
        <v>798.0</v>
      </c>
      <c r="L558" s="4" t="s">
        <v>1339</v>
      </c>
      <c r="M558" s="27" t="n">
        <f>10400</f>
        <v>10400.0</v>
      </c>
      <c r="N558" s="5" t="s">
        <v>213</v>
      </c>
      <c r="O558" s="28" t="str">
        <f>"－"</f>
        <v>－</v>
      </c>
      <c r="P558" s="3" t="s">
        <v>1340</v>
      </c>
      <c r="Q558" s="26"/>
      <c r="R558" s="3" t="s">
        <v>1340</v>
      </c>
      <c r="S558" s="26" t="n">
        <f>270187652</f>
        <v>2.70187652E8</v>
      </c>
      <c r="T558" s="26" t="n">
        <f>270187652</f>
        <v>2.70187652E8</v>
      </c>
      <c r="U558" s="5" t="s">
        <v>1339</v>
      </c>
      <c r="V558" s="28" t="n">
        <f>4173490497</f>
        <v>4.173490497E9</v>
      </c>
      <c r="W558" s="5" t="s">
        <v>213</v>
      </c>
      <c r="X558" s="28" t="str">
        <f>"－"</f>
        <v>－</v>
      </c>
      <c r="Y558" s="28" t="n">
        <f>4303</f>
        <v>4303.0</v>
      </c>
      <c r="Z558" s="26" t="n">
        <f>108038</f>
        <v>108038.0</v>
      </c>
      <c r="AA558" s="26" t="n">
        <f>73857</f>
        <v>73857.0</v>
      </c>
      <c r="AB558" s="4" t="s">
        <v>127</v>
      </c>
      <c r="AC558" s="27" t="n">
        <f>124496</f>
        <v>124496.0</v>
      </c>
      <c r="AD558" s="5" t="s">
        <v>243</v>
      </c>
      <c r="AE558" s="28" t="n">
        <f>61927</f>
        <v>61927.0</v>
      </c>
    </row>
    <row r="559">
      <c r="A559" s="20" t="s">
        <v>1201</v>
      </c>
      <c r="B559" s="21" t="s">
        <v>1202</v>
      </c>
      <c r="C559" s="22" t="s">
        <v>1128</v>
      </c>
      <c r="D559" s="23" t="s">
        <v>1129</v>
      </c>
      <c r="E559" s="24" t="s">
        <v>87</v>
      </c>
      <c r="F559" s="25" t="n">
        <f>245</f>
        <v>245.0</v>
      </c>
      <c r="G559" s="26" t="n">
        <f>65180</f>
        <v>65180.0</v>
      </c>
      <c r="H559" s="26"/>
      <c r="I559" s="26" t="n">
        <f>65180</f>
        <v>65180.0</v>
      </c>
      <c r="J559" s="26" t="n">
        <f>266</f>
        <v>266.0</v>
      </c>
      <c r="K559" s="26" t="n">
        <f>266</f>
        <v>266.0</v>
      </c>
      <c r="L559" s="4" t="s">
        <v>204</v>
      </c>
      <c r="M559" s="27" t="n">
        <f>2678</f>
        <v>2678.0</v>
      </c>
      <c r="N559" s="5" t="s">
        <v>213</v>
      </c>
      <c r="O559" s="28" t="str">
        <f>"－"</f>
        <v>－</v>
      </c>
      <c r="P559" s="3" t="s">
        <v>1341</v>
      </c>
      <c r="Q559" s="26"/>
      <c r="R559" s="3" t="s">
        <v>1341</v>
      </c>
      <c r="S559" s="26" t="n">
        <f>159115585</f>
        <v>1.59115585E8</v>
      </c>
      <c r="T559" s="26" t="n">
        <f>159115585</f>
        <v>1.59115585E8</v>
      </c>
      <c r="U559" s="5" t="s">
        <v>828</v>
      </c>
      <c r="V559" s="28" t="n">
        <f>3651369000</f>
        <v>3.651369E9</v>
      </c>
      <c r="W559" s="5" t="s">
        <v>213</v>
      </c>
      <c r="X559" s="28" t="str">
        <f>"－"</f>
        <v>－</v>
      </c>
      <c r="Y559" s="28" t="n">
        <f>22377</f>
        <v>22377.0</v>
      </c>
      <c r="Z559" s="26" t="n">
        <f>37313</f>
        <v>37313.0</v>
      </c>
      <c r="AA559" s="26" t="n">
        <f>19898</f>
        <v>19898.0</v>
      </c>
      <c r="AB559" s="4" t="s">
        <v>234</v>
      </c>
      <c r="AC559" s="27" t="n">
        <f>22147</f>
        <v>22147.0</v>
      </c>
      <c r="AD559" s="5" t="s">
        <v>182</v>
      </c>
      <c r="AE559" s="28" t="n">
        <f>13045</f>
        <v>13045.0</v>
      </c>
    </row>
    <row r="560">
      <c r="A560" s="20" t="s">
        <v>1201</v>
      </c>
      <c r="B560" s="21" t="s">
        <v>1202</v>
      </c>
      <c r="C560" s="22" t="s">
        <v>1132</v>
      </c>
      <c r="D560" s="23" t="s">
        <v>1133</v>
      </c>
      <c r="E560" s="24" t="s">
        <v>87</v>
      </c>
      <c r="F560" s="25" t="n">
        <f>245</f>
        <v>245.0</v>
      </c>
      <c r="G560" s="26" t="n">
        <f>260612</f>
        <v>260612.0</v>
      </c>
      <c r="H560" s="26"/>
      <c r="I560" s="26" t="n">
        <f>260612</f>
        <v>260612.0</v>
      </c>
      <c r="J560" s="26" t="n">
        <f>1064</f>
        <v>1064.0</v>
      </c>
      <c r="K560" s="26" t="n">
        <f>1064</f>
        <v>1064.0</v>
      </c>
      <c r="L560" s="4" t="s">
        <v>1339</v>
      </c>
      <c r="M560" s="27" t="n">
        <f>10400</f>
        <v>10400.0</v>
      </c>
      <c r="N560" s="5" t="s">
        <v>213</v>
      </c>
      <c r="O560" s="28" t="str">
        <f>"－"</f>
        <v>－</v>
      </c>
      <c r="P560" s="3" t="s">
        <v>1342</v>
      </c>
      <c r="Q560" s="26"/>
      <c r="R560" s="3" t="s">
        <v>1342</v>
      </c>
      <c r="S560" s="26" t="n">
        <f>429303237</f>
        <v>4.29303237E8</v>
      </c>
      <c r="T560" s="26" t="n">
        <f>429303237</f>
        <v>4.29303237E8</v>
      </c>
      <c r="U560" s="5" t="s">
        <v>231</v>
      </c>
      <c r="V560" s="28" t="n">
        <f>5927194400</f>
        <v>5.9271944E9</v>
      </c>
      <c r="W560" s="5" t="s">
        <v>213</v>
      </c>
      <c r="X560" s="28" t="str">
        <f>"－"</f>
        <v>－</v>
      </c>
      <c r="Y560" s="28" t="n">
        <f>26680</f>
        <v>26680.0</v>
      </c>
      <c r="Z560" s="26" t="n">
        <f>145351</f>
        <v>145351.0</v>
      </c>
      <c r="AA560" s="26" t="n">
        <f>93755</f>
        <v>93755.0</v>
      </c>
      <c r="AB560" s="4" t="s">
        <v>127</v>
      </c>
      <c r="AC560" s="27" t="n">
        <f>146643</f>
        <v>146643.0</v>
      </c>
      <c r="AD560" s="5" t="s">
        <v>243</v>
      </c>
      <c r="AE560" s="28" t="n">
        <f>76265</f>
        <v>76265.0</v>
      </c>
    </row>
    <row r="561">
      <c r="A561" s="20" t="s">
        <v>1201</v>
      </c>
      <c r="B561" s="21" t="s">
        <v>1202</v>
      </c>
      <c r="C561" s="22" t="s">
        <v>1124</v>
      </c>
      <c r="D561" s="23" t="s">
        <v>1125</v>
      </c>
      <c r="E561" s="24" t="s">
        <v>92</v>
      </c>
      <c r="F561" s="25" t="n">
        <f>244</f>
        <v>244.0</v>
      </c>
      <c r="G561" s="26" t="n">
        <f>370182</f>
        <v>370182.0</v>
      </c>
      <c r="H561" s="26"/>
      <c r="I561" s="26" t="n">
        <f>370147</f>
        <v>370147.0</v>
      </c>
      <c r="J561" s="26" t="n">
        <f>1517</f>
        <v>1517.0</v>
      </c>
      <c r="K561" s="26" t="n">
        <f>1517</f>
        <v>1517.0</v>
      </c>
      <c r="L561" s="4" t="s">
        <v>926</v>
      </c>
      <c r="M561" s="27" t="n">
        <f>15437</f>
        <v>15437.0</v>
      </c>
      <c r="N561" s="5" t="s">
        <v>213</v>
      </c>
      <c r="O561" s="28" t="str">
        <f>"－"</f>
        <v>－</v>
      </c>
      <c r="P561" s="3" t="s">
        <v>1343</v>
      </c>
      <c r="Q561" s="26"/>
      <c r="R561" s="3" t="s">
        <v>1344</v>
      </c>
      <c r="S561" s="26" t="n">
        <f>438107210</f>
        <v>4.3810721E8</v>
      </c>
      <c r="T561" s="26" t="n">
        <f>438065120</f>
        <v>4.3806512E8</v>
      </c>
      <c r="U561" s="5" t="s">
        <v>61</v>
      </c>
      <c r="V561" s="28" t="n">
        <f>5900423100</f>
        <v>5.9004231E9</v>
      </c>
      <c r="W561" s="5" t="s">
        <v>213</v>
      </c>
      <c r="X561" s="28" t="str">
        <f>"－"</f>
        <v>－</v>
      </c>
      <c r="Y561" s="28" t="n">
        <f>12279</f>
        <v>12279.0</v>
      </c>
      <c r="Z561" s="26" t="n">
        <f>294478</f>
        <v>294478.0</v>
      </c>
      <c r="AA561" s="26" t="n">
        <f>84902</f>
        <v>84902.0</v>
      </c>
      <c r="AB561" s="4" t="s">
        <v>238</v>
      </c>
      <c r="AC561" s="27" t="n">
        <f>102717</f>
        <v>102717.0</v>
      </c>
      <c r="AD561" s="5" t="s">
        <v>49</v>
      </c>
      <c r="AE561" s="28" t="n">
        <f>63272</f>
        <v>63272.0</v>
      </c>
    </row>
    <row r="562">
      <c r="A562" s="20" t="s">
        <v>1201</v>
      </c>
      <c r="B562" s="21" t="s">
        <v>1202</v>
      </c>
      <c r="C562" s="22" t="s">
        <v>1128</v>
      </c>
      <c r="D562" s="23" t="s">
        <v>1129</v>
      </c>
      <c r="E562" s="24" t="s">
        <v>92</v>
      </c>
      <c r="F562" s="25" t="n">
        <f>244</f>
        <v>244.0</v>
      </c>
      <c r="G562" s="26" t="n">
        <f>140731</f>
        <v>140731.0</v>
      </c>
      <c r="H562" s="26"/>
      <c r="I562" s="26" t="n">
        <f>140681</f>
        <v>140681.0</v>
      </c>
      <c r="J562" s="26" t="n">
        <f>577</f>
        <v>577.0</v>
      </c>
      <c r="K562" s="26" t="n">
        <f>577</f>
        <v>577.0</v>
      </c>
      <c r="L562" s="4" t="s">
        <v>957</v>
      </c>
      <c r="M562" s="27" t="n">
        <f>4302</f>
        <v>4302.0</v>
      </c>
      <c r="N562" s="5" t="s">
        <v>389</v>
      </c>
      <c r="O562" s="28" t="str">
        <f>"－"</f>
        <v>－</v>
      </c>
      <c r="P562" s="3" t="s">
        <v>1345</v>
      </c>
      <c r="Q562" s="26"/>
      <c r="R562" s="3" t="s">
        <v>1346</v>
      </c>
      <c r="S562" s="26" t="n">
        <f>189376768</f>
        <v>1.89376768E8</v>
      </c>
      <c r="T562" s="26" t="n">
        <f>189339944</f>
        <v>1.89339944E8</v>
      </c>
      <c r="U562" s="5" t="s">
        <v>217</v>
      </c>
      <c r="V562" s="28" t="n">
        <f>5925517600</f>
        <v>5.9255176E9</v>
      </c>
      <c r="W562" s="5" t="s">
        <v>389</v>
      </c>
      <c r="X562" s="28" t="str">
        <f>"－"</f>
        <v>－</v>
      </c>
      <c r="Y562" s="28" t="n">
        <f>18800</f>
        <v>18800.0</v>
      </c>
      <c r="Z562" s="26" t="n">
        <f>108151</f>
        <v>108151.0</v>
      </c>
      <c r="AA562" s="26" t="n">
        <f>16094</f>
        <v>16094.0</v>
      </c>
      <c r="AB562" s="4" t="s">
        <v>441</v>
      </c>
      <c r="AC562" s="27" t="n">
        <f>34753</f>
        <v>34753.0</v>
      </c>
      <c r="AD562" s="5" t="s">
        <v>49</v>
      </c>
      <c r="AE562" s="28" t="n">
        <f>9805</f>
        <v>9805.0</v>
      </c>
    </row>
    <row r="563">
      <c r="A563" s="20" t="s">
        <v>1201</v>
      </c>
      <c r="B563" s="21" t="s">
        <v>1202</v>
      </c>
      <c r="C563" s="22" t="s">
        <v>1132</v>
      </c>
      <c r="D563" s="23" t="s">
        <v>1133</v>
      </c>
      <c r="E563" s="24" t="s">
        <v>92</v>
      </c>
      <c r="F563" s="25" t="n">
        <f>244</f>
        <v>244.0</v>
      </c>
      <c r="G563" s="26" t="n">
        <f>510913</f>
        <v>510913.0</v>
      </c>
      <c r="H563" s="26"/>
      <c r="I563" s="26" t="n">
        <f>510828</f>
        <v>510828.0</v>
      </c>
      <c r="J563" s="26" t="n">
        <f>2094</f>
        <v>2094.0</v>
      </c>
      <c r="K563" s="26" t="n">
        <f>2094</f>
        <v>2094.0</v>
      </c>
      <c r="L563" s="4" t="s">
        <v>926</v>
      </c>
      <c r="M563" s="27" t="n">
        <f>15437</f>
        <v>15437.0</v>
      </c>
      <c r="N563" s="5" t="s">
        <v>389</v>
      </c>
      <c r="O563" s="28" t="str">
        <f>"－"</f>
        <v>－</v>
      </c>
      <c r="P563" s="3" t="s">
        <v>1347</v>
      </c>
      <c r="Q563" s="26"/>
      <c r="R563" s="3" t="s">
        <v>1348</v>
      </c>
      <c r="S563" s="26" t="n">
        <f>627483978</f>
        <v>6.27483978E8</v>
      </c>
      <c r="T563" s="26" t="n">
        <f>627405064</f>
        <v>6.27405064E8</v>
      </c>
      <c r="U563" s="5" t="s">
        <v>217</v>
      </c>
      <c r="V563" s="28" t="n">
        <f>8997408700</f>
        <v>8.9974087E9</v>
      </c>
      <c r="W563" s="5" t="s">
        <v>389</v>
      </c>
      <c r="X563" s="28" t="str">
        <f>"－"</f>
        <v>－</v>
      </c>
      <c r="Y563" s="28" t="n">
        <f>31079</f>
        <v>31079.0</v>
      </c>
      <c r="Z563" s="26" t="n">
        <f>402629</f>
        <v>402629.0</v>
      </c>
      <c r="AA563" s="26" t="n">
        <f>100996</f>
        <v>100996.0</v>
      </c>
      <c r="AB563" s="4" t="s">
        <v>441</v>
      </c>
      <c r="AC563" s="27" t="n">
        <f>136647</f>
        <v>136647.0</v>
      </c>
      <c r="AD563" s="5" t="s">
        <v>49</v>
      </c>
      <c r="AE563" s="28" t="n">
        <f>73077</f>
        <v>73077.0</v>
      </c>
    </row>
    <row r="564">
      <c r="A564" s="20" t="s">
        <v>1201</v>
      </c>
      <c r="B564" s="21" t="s">
        <v>1202</v>
      </c>
      <c r="C564" s="22" t="s">
        <v>1124</v>
      </c>
      <c r="D564" s="23" t="s">
        <v>1125</v>
      </c>
      <c r="E564" s="24" t="s">
        <v>98</v>
      </c>
      <c r="F564" s="25" t="n">
        <f>245</f>
        <v>245.0</v>
      </c>
      <c r="G564" s="26" t="n">
        <f>469424</f>
        <v>469424.0</v>
      </c>
      <c r="H564" s="26"/>
      <c r="I564" s="26" t="n">
        <f>468558</f>
        <v>468558.0</v>
      </c>
      <c r="J564" s="26" t="n">
        <f>1916</f>
        <v>1916.0</v>
      </c>
      <c r="K564" s="26" t="n">
        <f>1912</f>
        <v>1912.0</v>
      </c>
      <c r="L564" s="4" t="s">
        <v>659</v>
      </c>
      <c r="M564" s="27" t="n">
        <f>16068</f>
        <v>16068.0</v>
      </c>
      <c r="N564" s="5" t="s">
        <v>619</v>
      </c>
      <c r="O564" s="28" t="str">
        <f>"－"</f>
        <v>－</v>
      </c>
      <c r="P564" s="3" t="s">
        <v>1349</v>
      </c>
      <c r="Q564" s="26"/>
      <c r="R564" s="3" t="s">
        <v>1350</v>
      </c>
      <c r="S564" s="26" t="n">
        <f>610525105</f>
        <v>6.10525105E8</v>
      </c>
      <c r="T564" s="26" t="n">
        <f>610141709</f>
        <v>6.10141709E8</v>
      </c>
      <c r="U564" s="5" t="s">
        <v>549</v>
      </c>
      <c r="V564" s="28" t="n">
        <f>5265296028</f>
        <v>5.265296028E9</v>
      </c>
      <c r="W564" s="5" t="s">
        <v>619</v>
      </c>
      <c r="X564" s="28" t="str">
        <f>"－"</f>
        <v>－</v>
      </c>
      <c r="Y564" s="28" t="n">
        <f>7859</f>
        <v>7859.0</v>
      </c>
      <c r="Z564" s="26" t="n">
        <f>297789</f>
        <v>297789.0</v>
      </c>
      <c r="AA564" s="26" t="n">
        <f>95447</f>
        <v>95447.0</v>
      </c>
      <c r="AB564" s="4" t="s">
        <v>61</v>
      </c>
      <c r="AC564" s="27" t="n">
        <f>106560</f>
        <v>106560.0</v>
      </c>
      <c r="AD564" s="5" t="s">
        <v>1351</v>
      </c>
      <c r="AE564" s="28" t="n">
        <f>67473</f>
        <v>67473.0</v>
      </c>
    </row>
    <row r="565">
      <c r="A565" s="20" t="s">
        <v>1201</v>
      </c>
      <c r="B565" s="21" t="s">
        <v>1202</v>
      </c>
      <c r="C565" s="22" t="s">
        <v>1128</v>
      </c>
      <c r="D565" s="23" t="s">
        <v>1129</v>
      </c>
      <c r="E565" s="24" t="s">
        <v>98</v>
      </c>
      <c r="F565" s="25" t="n">
        <f>245</f>
        <v>245.0</v>
      </c>
      <c r="G565" s="26" t="n">
        <f>84077</f>
        <v>84077.0</v>
      </c>
      <c r="H565" s="26"/>
      <c r="I565" s="26" t="n">
        <f>83787</f>
        <v>83787.0</v>
      </c>
      <c r="J565" s="26" t="n">
        <f>343</f>
        <v>343.0</v>
      </c>
      <c r="K565" s="26" t="n">
        <f>342</f>
        <v>342.0</v>
      </c>
      <c r="L565" s="4" t="s">
        <v>71</v>
      </c>
      <c r="M565" s="27" t="n">
        <f>6250</f>
        <v>6250.0</v>
      </c>
      <c r="N565" s="5" t="s">
        <v>403</v>
      </c>
      <c r="O565" s="28" t="str">
        <f>"－"</f>
        <v>－</v>
      </c>
      <c r="P565" s="3" t="s">
        <v>1352</v>
      </c>
      <c r="Q565" s="26"/>
      <c r="R565" s="3" t="s">
        <v>1353</v>
      </c>
      <c r="S565" s="26" t="n">
        <f>159962867</f>
        <v>1.59962867E8</v>
      </c>
      <c r="T565" s="26" t="n">
        <f>159847356</f>
        <v>1.59847356E8</v>
      </c>
      <c r="U565" s="5" t="s">
        <v>549</v>
      </c>
      <c r="V565" s="28" t="n">
        <f>3674811940</f>
        <v>3.67481194E9</v>
      </c>
      <c r="W565" s="5" t="s">
        <v>403</v>
      </c>
      <c r="X565" s="28" t="str">
        <f>"－"</f>
        <v>－</v>
      </c>
      <c r="Y565" s="28" t="n">
        <f>12748</f>
        <v>12748.0</v>
      </c>
      <c r="Z565" s="26" t="n">
        <f>48885</f>
        <v>48885.0</v>
      </c>
      <c r="AA565" s="26" t="n">
        <f>35227</f>
        <v>35227.0</v>
      </c>
      <c r="AB565" s="4" t="s">
        <v>209</v>
      </c>
      <c r="AC565" s="27" t="n">
        <f>35227</f>
        <v>35227.0</v>
      </c>
      <c r="AD565" s="5" t="s">
        <v>541</v>
      </c>
      <c r="AE565" s="28" t="n">
        <f>7960</f>
        <v>7960.0</v>
      </c>
    </row>
    <row r="566">
      <c r="A566" s="20" t="s">
        <v>1201</v>
      </c>
      <c r="B566" s="21" t="s">
        <v>1202</v>
      </c>
      <c r="C566" s="22" t="s">
        <v>1132</v>
      </c>
      <c r="D566" s="23" t="s">
        <v>1133</v>
      </c>
      <c r="E566" s="24" t="s">
        <v>98</v>
      </c>
      <c r="F566" s="25" t="n">
        <f>245</f>
        <v>245.0</v>
      </c>
      <c r="G566" s="26" t="n">
        <f>553501</f>
        <v>553501.0</v>
      </c>
      <c r="H566" s="26"/>
      <c r="I566" s="26" t="n">
        <f>552345</f>
        <v>552345.0</v>
      </c>
      <c r="J566" s="26" t="n">
        <f>2259</f>
        <v>2259.0</v>
      </c>
      <c r="K566" s="26" t="n">
        <f>2254</f>
        <v>2254.0</v>
      </c>
      <c r="L566" s="4" t="s">
        <v>659</v>
      </c>
      <c r="M566" s="27" t="n">
        <f>16351</f>
        <v>16351.0</v>
      </c>
      <c r="N566" s="5" t="s">
        <v>107</v>
      </c>
      <c r="O566" s="28" t="str">
        <f>"－"</f>
        <v>－</v>
      </c>
      <c r="P566" s="3" t="s">
        <v>1354</v>
      </c>
      <c r="Q566" s="26"/>
      <c r="R566" s="3" t="s">
        <v>1355</v>
      </c>
      <c r="S566" s="26" t="n">
        <f>770487972</f>
        <v>7.70487972E8</v>
      </c>
      <c r="T566" s="26" t="n">
        <f>769989066</f>
        <v>7.69989066E8</v>
      </c>
      <c r="U566" s="5" t="s">
        <v>549</v>
      </c>
      <c r="V566" s="28" t="n">
        <f>8940107968</f>
        <v>8.940107968E9</v>
      </c>
      <c r="W566" s="5" t="s">
        <v>107</v>
      </c>
      <c r="X566" s="28" t="str">
        <f>"－"</f>
        <v>－</v>
      </c>
      <c r="Y566" s="28" t="n">
        <f>20607</f>
        <v>20607.0</v>
      </c>
      <c r="Z566" s="26" t="n">
        <f>346674</f>
        <v>346674.0</v>
      </c>
      <c r="AA566" s="26" t="n">
        <f>130674</f>
        <v>130674.0</v>
      </c>
      <c r="AB566" s="4" t="s">
        <v>61</v>
      </c>
      <c r="AC566" s="27" t="n">
        <f>136630</f>
        <v>136630.0</v>
      </c>
      <c r="AD566" s="5" t="s">
        <v>1351</v>
      </c>
      <c r="AE566" s="28" t="n">
        <f>78561</f>
        <v>78561.0</v>
      </c>
    </row>
    <row r="567">
      <c r="A567" s="20" t="s">
        <v>1201</v>
      </c>
      <c r="B567" s="21" t="s">
        <v>1202</v>
      </c>
      <c r="C567" s="22" t="s">
        <v>1124</v>
      </c>
      <c r="D567" s="23" t="s">
        <v>1125</v>
      </c>
      <c r="E567" s="24" t="s">
        <v>103</v>
      </c>
      <c r="F567" s="25" t="n">
        <f>244</f>
        <v>244.0</v>
      </c>
      <c r="G567" s="26" t="n">
        <f>465881</f>
        <v>465881.0</v>
      </c>
      <c r="H567" s="26"/>
      <c r="I567" s="26" t="n">
        <f>457394</f>
        <v>457394.0</v>
      </c>
      <c r="J567" s="26" t="n">
        <f>1909</f>
        <v>1909.0</v>
      </c>
      <c r="K567" s="26" t="n">
        <f>1875</f>
        <v>1875.0</v>
      </c>
      <c r="L567" s="4" t="s">
        <v>1356</v>
      </c>
      <c r="M567" s="27" t="n">
        <f>26489</f>
        <v>26489.0</v>
      </c>
      <c r="N567" s="5" t="s">
        <v>399</v>
      </c>
      <c r="O567" s="28" t="str">
        <f>"－"</f>
        <v>－</v>
      </c>
      <c r="P567" s="3" t="s">
        <v>1357</v>
      </c>
      <c r="Q567" s="26"/>
      <c r="R567" s="3" t="s">
        <v>1358</v>
      </c>
      <c r="S567" s="26" t="n">
        <f>775819729</f>
        <v>7.75819729E8</v>
      </c>
      <c r="T567" s="26" t="n">
        <f>774367479</f>
        <v>7.74367479E8</v>
      </c>
      <c r="U567" s="5" t="s">
        <v>1356</v>
      </c>
      <c r="V567" s="28" t="n">
        <f>11444613355</f>
        <v>1.1444613355E10</v>
      </c>
      <c r="W567" s="5" t="s">
        <v>399</v>
      </c>
      <c r="X567" s="28" t="str">
        <f>"－"</f>
        <v>－</v>
      </c>
      <c r="Y567" s="28" t="n">
        <f>13443</f>
        <v>13443.0</v>
      </c>
      <c r="Z567" s="26" t="n">
        <f>263583</f>
        <v>263583.0</v>
      </c>
      <c r="AA567" s="26" t="n">
        <f>112591</f>
        <v>112591.0</v>
      </c>
      <c r="AB567" s="4" t="s">
        <v>164</v>
      </c>
      <c r="AC567" s="27" t="n">
        <f>127747</f>
        <v>127747.0</v>
      </c>
      <c r="AD567" s="5" t="s">
        <v>231</v>
      </c>
      <c r="AE567" s="28" t="n">
        <f>72904</f>
        <v>72904.0</v>
      </c>
    </row>
    <row r="568">
      <c r="A568" s="20" t="s">
        <v>1201</v>
      </c>
      <c r="B568" s="21" t="s">
        <v>1202</v>
      </c>
      <c r="C568" s="22" t="s">
        <v>1128</v>
      </c>
      <c r="D568" s="23" t="s">
        <v>1129</v>
      </c>
      <c r="E568" s="24" t="s">
        <v>103</v>
      </c>
      <c r="F568" s="25" t="n">
        <f>244</f>
        <v>244.0</v>
      </c>
      <c r="G568" s="26" t="n">
        <f>255239</f>
        <v>255239.0</v>
      </c>
      <c r="H568" s="26"/>
      <c r="I568" s="26" t="n">
        <f>247725</f>
        <v>247725.0</v>
      </c>
      <c r="J568" s="26" t="n">
        <f>1046</f>
        <v>1046.0</v>
      </c>
      <c r="K568" s="26" t="n">
        <f>1015</f>
        <v>1015.0</v>
      </c>
      <c r="L568" s="4" t="s">
        <v>110</v>
      </c>
      <c r="M568" s="27" t="n">
        <f>8363</f>
        <v>8363.0</v>
      </c>
      <c r="N568" s="5" t="s">
        <v>399</v>
      </c>
      <c r="O568" s="28" t="str">
        <f>"－"</f>
        <v>－</v>
      </c>
      <c r="P568" s="3" t="s">
        <v>1359</v>
      </c>
      <c r="Q568" s="26"/>
      <c r="R568" s="3" t="s">
        <v>1360</v>
      </c>
      <c r="S568" s="26" t="n">
        <f>630205460</f>
        <v>6.3020546E8</v>
      </c>
      <c r="T568" s="26" t="n">
        <f>624869997</f>
        <v>6.24869997E8</v>
      </c>
      <c r="U568" s="5" t="s">
        <v>110</v>
      </c>
      <c r="V568" s="28" t="n">
        <f>10112730602</f>
        <v>1.0112730602E10</v>
      </c>
      <c r="W568" s="5" t="s">
        <v>399</v>
      </c>
      <c r="X568" s="28" t="str">
        <f>"－"</f>
        <v>－</v>
      </c>
      <c r="Y568" s="28" t="n">
        <f>57066</f>
        <v>57066.0</v>
      </c>
      <c r="Z568" s="26" t="n">
        <f>103274</f>
        <v>103274.0</v>
      </c>
      <c r="AA568" s="26" t="n">
        <f>79612</f>
        <v>79612.0</v>
      </c>
      <c r="AB568" s="4" t="s">
        <v>926</v>
      </c>
      <c r="AC568" s="27" t="n">
        <f>79612</f>
        <v>79612.0</v>
      </c>
      <c r="AD568" s="5" t="s">
        <v>680</v>
      </c>
      <c r="AE568" s="28" t="n">
        <f>27620</f>
        <v>27620.0</v>
      </c>
    </row>
    <row r="569">
      <c r="A569" s="20" t="s">
        <v>1201</v>
      </c>
      <c r="B569" s="21" t="s">
        <v>1202</v>
      </c>
      <c r="C569" s="22" t="s">
        <v>1132</v>
      </c>
      <c r="D569" s="23" t="s">
        <v>1133</v>
      </c>
      <c r="E569" s="24" t="s">
        <v>103</v>
      </c>
      <c r="F569" s="25" t="n">
        <f>244</f>
        <v>244.0</v>
      </c>
      <c r="G569" s="26" t="n">
        <f>721120</f>
        <v>721120.0</v>
      </c>
      <c r="H569" s="26"/>
      <c r="I569" s="26" t="n">
        <f>705119</f>
        <v>705119.0</v>
      </c>
      <c r="J569" s="26" t="n">
        <f>2955</f>
        <v>2955.0</v>
      </c>
      <c r="K569" s="26" t="n">
        <f>2890</f>
        <v>2890.0</v>
      </c>
      <c r="L569" s="4" t="s">
        <v>1356</v>
      </c>
      <c r="M569" s="27" t="n">
        <f>31934</f>
        <v>31934.0</v>
      </c>
      <c r="N569" s="5" t="s">
        <v>399</v>
      </c>
      <c r="O569" s="28" t="str">
        <f>"－"</f>
        <v>－</v>
      </c>
      <c r="P569" s="3" t="s">
        <v>1361</v>
      </c>
      <c r="Q569" s="26"/>
      <c r="R569" s="3" t="s">
        <v>1362</v>
      </c>
      <c r="S569" s="26" t="n">
        <f>1406025189</f>
        <v>1.406025189E9</v>
      </c>
      <c r="T569" s="26" t="n">
        <f>1399237476</f>
        <v>1.399237476E9</v>
      </c>
      <c r="U569" s="5" t="s">
        <v>110</v>
      </c>
      <c r="V569" s="28" t="n">
        <f>19397431602</f>
        <v>1.9397431602E10</v>
      </c>
      <c r="W569" s="5" t="s">
        <v>399</v>
      </c>
      <c r="X569" s="28" t="str">
        <f>"－"</f>
        <v>－</v>
      </c>
      <c r="Y569" s="28" t="n">
        <f>70509</f>
        <v>70509.0</v>
      </c>
      <c r="Z569" s="26" t="n">
        <f>366857</f>
        <v>366857.0</v>
      </c>
      <c r="AA569" s="26" t="n">
        <f>192203</f>
        <v>192203.0</v>
      </c>
      <c r="AB569" s="4" t="s">
        <v>164</v>
      </c>
      <c r="AC569" s="27" t="n">
        <f>207016</f>
        <v>207016.0</v>
      </c>
      <c r="AD569" s="5" t="s">
        <v>680</v>
      </c>
      <c r="AE569" s="28" t="n">
        <f>104998</f>
        <v>104998.0</v>
      </c>
    </row>
    <row r="570">
      <c r="A570" s="20" t="s">
        <v>1363</v>
      </c>
      <c r="B570" s="21" t="s">
        <v>1364</v>
      </c>
      <c r="C570" s="22" t="s">
        <v>1124</v>
      </c>
      <c r="D570" s="23" t="s">
        <v>1125</v>
      </c>
      <c r="E570" s="24" t="s">
        <v>63</v>
      </c>
      <c r="F570" s="25" t="n">
        <f>173</f>
        <v>173.0</v>
      </c>
      <c r="G570" s="26" t="n">
        <f>240</f>
        <v>240.0</v>
      </c>
      <c r="H570" s="26"/>
      <c r="I570" s="26" t="str">
        <f>"－"</f>
        <v>－</v>
      </c>
      <c r="J570" s="26" t="n">
        <f>1</f>
        <v>1.0</v>
      </c>
      <c r="K570" s="26" t="str">
        <f>"－"</f>
        <v>－</v>
      </c>
      <c r="L570" s="4" t="s">
        <v>588</v>
      </c>
      <c r="M570" s="27" t="n">
        <f>50</f>
        <v>50.0</v>
      </c>
      <c r="N570" s="5" t="s">
        <v>140</v>
      </c>
      <c r="O570" s="28" t="str">
        <f>"－"</f>
        <v>－</v>
      </c>
      <c r="P570" s="3" t="s">
        <v>1365</v>
      </c>
      <c r="Q570" s="26"/>
      <c r="R570" s="3" t="s">
        <v>160</v>
      </c>
      <c r="S570" s="26" t="n">
        <f>257861</f>
        <v>257861.0</v>
      </c>
      <c r="T570" s="26" t="str">
        <f>"－"</f>
        <v>－</v>
      </c>
      <c r="U570" s="5" t="s">
        <v>588</v>
      </c>
      <c r="V570" s="28" t="n">
        <f>13250000</f>
        <v>1.325E7</v>
      </c>
      <c r="W570" s="5" t="s">
        <v>140</v>
      </c>
      <c r="X570" s="28" t="str">
        <f>"－"</f>
        <v>－</v>
      </c>
      <c r="Y570" s="28" t="str">
        <f>"－"</f>
        <v>－</v>
      </c>
      <c r="Z570" s="26" t="str">
        <f>"－"</f>
        <v>－</v>
      </c>
      <c r="AA570" s="26" t="str">
        <f>"－"</f>
        <v>－</v>
      </c>
      <c r="AB570" s="4" t="s">
        <v>588</v>
      </c>
      <c r="AC570" s="27" t="n">
        <f>50</f>
        <v>50.0</v>
      </c>
      <c r="AD570" s="5" t="s">
        <v>140</v>
      </c>
      <c r="AE570" s="28" t="str">
        <f>"－"</f>
        <v>－</v>
      </c>
    </row>
    <row r="571">
      <c r="A571" s="20" t="s">
        <v>1363</v>
      </c>
      <c r="B571" s="21" t="s">
        <v>1364</v>
      </c>
      <c r="C571" s="22" t="s">
        <v>1128</v>
      </c>
      <c r="D571" s="23" t="s">
        <v>1129</v>
      </c>
      <c r="E571" s="24" t="s">
        <v>63</v>
      </c>
      <c r="F571" s="25" t="n">
        <f>173</f>
        <v>173.0</v>
      </c>
      <c r="G571" s="26" t="n">
        <f>240</f>
        <v>240.0</v>
      </c>
      <c r="H571" s="26"/>
      <c r="I571" s="26" t="n">
        <f>20</f>
        <v>20.0</v>
      </c>
      <c r="J571" s="26" t="n">
        <f>1</f>
        <v>1.0</v>
      </c>
      <c r="K571" s="26" t="n">
        <f>0</f>
        <v>0.0</v>
      </c>
      <c r="L571" s="4" t="s">
        <v>588</v>
      </c>
      <c r="M571" s="27" t="n">
        <f>50</f>
        <v>50.0</v>
      </c>
      <c r="N571" s="5" t="s">
        <v>140</v>
      </c>
      <c r="O571" s="28" t="str">
        <f>"－"</f>
        <v>－</v>
      </c>
      <c r="P571" s="3" t="s">
        <v>1366</v>
      </c>
      <c r="Q571" s="26"/>
      <c r="R571" s="3" t="s">
        <v>1367</v>
      </c>
      <c r="S571" s="26" t="n">
        <f>254393</f>
        <v>254393.0</v>
      </c>
      <c r="T571" s="26" t="n">
        <f>2659</f>
        <v>2659.0</v>
      </c>
      <c r="U571" s="5" t="s">
        <v>678</v>
      </c>
      <c r="V571" s="28" t="n">
        <f>13500000</f>
        <v>1.35E7</v>
      </c>
      <c r="W571" s="5" t="s">
        <v>140</v>
      </c>
      <c r="X571" s="28" t="str">
        <f>"－"</f>
        <v>－</v>
      </c>
      <c r="Y571" s="28" t="str">
        <f>"－"</f>
        <v>－</v>
      </c>
      <c r="Z571" s="26" t="str">
        <f>"－"</f>
        <v>－</v>
      </c>
      <c r="AA571" s="26" t="str">
        <f>"－"</f>
        <v>－</v>
      </c>
      <c r="AB571" s="4" t="s">
        <v>588</v>
      </c>
      <c r="AC571" s="27" t="n">
        <f>50</f>
        <v>50.0</v>
      </c>
      <c r="AD571" s="5" t="s">
        <v>140</v>
      </c>
      <c r="AE571" s="28" t="str">
        <f>"－"</f>
        <v>－</v>
      </c>
    </row>
    <row r="572">
      <c r="A572" s="20" t="s">
        <v>1363</v>
      </c>
      <c r="B572" s="21" t="s">
        <v>1364</v>
      </c>
      <c r="C572" s="22" t="s">
        <v>1132</v>
      </c>
      <c r="D572" s="23" t="s">
        <v>1133</v>
      </c>
      <c r="E572" s="24" t="s">
        <v>63</v>
      </c>
      <c r="F572" s="25" t="n">
        <f>173</f>
        <v>173.0</v>
      </c>
      <c r="G572" s="26" t="n">
        <f>480</f>
        <v>480.0</v>
      </c>
      <c r="H572" s="26"/>
      <c r="I572" s="26" t="n">
        <f>20</f>
        <v>20.0</v>
      </c>
      <c r="J572" s="26" t="n">
        <f>3</f>
        <v>3.0</v>
      </c>
      <c r="K572" s="26" t="n">
        <f>0</f>
        <v>0.0</v>
      </c>
      <c r="L572" s="4" t="s">
        <v>588</v>
      </c>
      <c r="M572" s="27" t="n">
        <f>100</f>
        <v>100.0</v>
      </c>
      <c r="N572" s="5" t="s">
        <v>140</v>
      </c>
      <c r="O572" s="28" t="str">
        <f>"－"</f>
        <v>－</v>
      </c>
      <c r="P572" s="3" t="s">
        <v>1368</v>
      </c>
      <c r="Q572" s="26"/>
      <c r="R572" s="3" t="s">
        <v>1367</v>
      </c>
      <c r="S572" s="26" t="n">
        <f>512254</f>
        <v>512254.0</v>
      </c>
      <c r="T572" s="26" t="n">
        <f>2659</f>
        <v>2659.0</v>
      </c>
      <c r="U572" s="5" t="s">
        <v>588</v>
      </c>
      <c r="V572" s="28" t="n">
        <f>22250000</f>
        <v>2.225E7</v>
      </c>
      <c r="W572" s="5" t="s">
        <v>140</v>
      </c>
      <c r="X572" s="28" t="str">
        <f>"－"</f>
        <v>－</v>
      </c>
      <c r="Y572" s="28" t="str">
        <f>"－"</f>
        <v>－</v>
      </c>
      <c r="Z572" s="26" t="str">
        <f>"－"</f>
        <v>－</v>
      </c>
      <c r="AA572" s="26" t="str">
        <f>"－"</f>
        <v>－</v>
      </c>
      <c r="AB572" s="4" t="s">
        <v>588</v>
      </c>
      <c r="AC572" s="27" t="n">
        <f>100</f>
        <v>100.0</v>
      </c>
      <c r="AD572" s="5" t="s">
        <v>140</v>
      </c>
      <c r="AE572" s="28" t="str">
        <f>"－"</f>
        <v>－</v>
      </c>
    </row>
    <row r="573">
      <c r="A573" s="20" t="s">
        <v>1363</v>
      </c>
      <c r="B573" s="21" t="s">
        <v>1364</v>
      </c>
      <c r="C573" s="22" t="s">
        <v>1124</v>
      </c>
      <c r="D573" s="23" t="s">
        <v>1125</v>
      </c>
      <c r="E573" s="24" t="s">
        <v>70</v>
      </c>
      <c r="F573" s="25" t="n">
        <f>245</f>
        <v>245.0</v>
      </c>
      <c r="G573" s="26" t="str">
        <f>"－"</f>
        <v>－</v>
      </c>
      <c r="H573" s="26"/>
      <c r="I573" s="26" t="str">
        <f>"－"</f>
        <v>－</v>
      </c>
      <c r="J573" s="26" t="str">
        <f>"－"</f>
        <v>－</v>
      </c>
      <c r="K573" s="26" t="str">
        <f>"－"</f>
        <v>－</v>
      </c>
      <c r="L573" s="4" t="s">
        <v>399</v>
      </c>
      <c r="M573" s="27" t="str">
        <f>"－"</f>
        <v>－</v>
      </c>
      <c r="N573" s="5" t="s">
        <v>399</v>
      </c>
      <c r="O573" s="28" t="str">
        <f>"－"</f>
        <v>－</v>
      </c>
      <c r="P573" s="3" t="s">
        <v>160</v>
      </c>
      <c r="Q573" s="26"/>
      <c r="R573" s="3" t="s">
        <v>160</v>
      </c>
      <c r="S573" s="26" t="str">
        <f>"－"</f>
        <v>－</v>
      </c>
      <c r="T573" s="26" t="str">
        <f>"－"</f>
        <v>－</v>
      </c>
      <c r="U573" s="5" t="s">
        <v>399</v>
      </c>
      <c r="V573" s="28" t="str">
        <f>"－"</f>
        <v>－</v>
      </c>
      <c r="W573" s="5" t="s">
        <v>399</v>
      </c>
      <c r="X573" s="28" t="str">
        <f>"－"</f>
        <v>－</v>
      </c>
      <c r="Y573" s="28" t="str">
        <f>"－"</f>
        <v>－</v>
      </c>
      <c r="Z573" s="26" t="str">
        <f>"－"</f>
        <v>－</v>
      </c>
      <c r="AA573" s="26" t="str">
        <f>"－"</f>
        <v>－</v>
      </c>
      <c r="AB573" s="4" t="s">
        <v>399</v>
      </c>
      <c r="AC573" s="27" t="str">
        <f>"－"</f>
        <v>－</v>
      </c>
      <c r="AD573" s="5" t="s">
        <v>399</v>
      </c>
      <c r="AE573" s="28" t="str">
        <f>"－"</f>
        <v>－</v>
      </c>
    </row>
    <row r="574">
      <c r="A574" s="20" t="s">
        <v>1363</v>
      </c>
      <c r="B574" s="21" t="s">
        <v>1364</v>
      </c>
      <c r="C574" s="22" t="s">
        <v>1128</v>
      </c>
      <c r="D574" s="23" t="s">
        <v>1129</v>
      </c>
      <c r="E574" s="24" t="s">
        <v>70</v>
      </c>
      <c r="F574" s="25" t="n">
        <f>245</f>
        <v>245.0</v>
      </c>
      <c r="G574" s="26" t="str">
        <f>"－"</f>
        <v>－</v>
      </c>
      <c r="H574" s="26"/>
      <c r="I574" s="26" t="str">
        <f>"－"</f>
        <v>－</v>
      </c>
      <c r="J574" s="26" t="str">
        <f>"－"</f>
        <v>－</v>
      </c>
      <c r="K574" s="26" t="str">
        <f>"－"</f>
        <v>－</v>
      </c>
      <c r="L574" s="4" t="s">
        <v>399</v>
      </c>
      <c r="M574" s="27" t="str">
        <f>"－"</f>
        <v>－</v>
      </c>
      <c r="N574" s="5" t="s">
        <v>399</v>
      </c>
      <c r="O574" s="28" t="str">
        <f>"－"</f>
        <v>－</v>
      </c>
      <c r="P574" s="3" t="s">
        <v>160</v>
      </c>
      <c r="Q574" s="26"/>
      <c r="R574" s="3" t="s">
        <v>160</v>
      </c>
      <c r="S574" s="26" t="str">
        <f>"－"</f>
        <v>－</v>
      </c>
      <c r="T574" s="26" t="str">
        <f>"－"</f>
        <v>－</v>
      </c>
      <c r="U574" s="5" t="s">
        <v>399</v>
      </c>
      <c r="V574" s="28" t="str">
        <f>"－"</f>
        <v>－</v>
      </c>
      <c r="W574" s="5" t="s">
        <v>399</v>
      </c>
      <c r="X574" s="28" t="str">
        <f>"－"</f>
        <v>－</v>
      </c>
      <c r="Y574" s="28" t="str">
        <f>"－"</f>
        <v>－</v>
      </c>
      <c r="Z574" s="26" t="str">
        <f>"－"</f>
        <v>－</v>
      </c>
      <c r="AA574" s="26" t="str">
        <f>"－"</f>
        <v>－</v>
      </c>
      <c r="AB574" s="4" t="s">
        <v>399</v>
      </c>
      <c r="AC574" s="27" t="str">
        <f>"－"</f>
        <v>－</v>
      </c>
      <c r="AD574" s="5" t="s">
        <v>399</v>
      </c>
      <c r="AE574" s="28" t="str">
        <f>"－"</f>
        <v>－</v>
      </c>
    </row>
    <row r="575">
      <c r="A575" s="20" t="s">
        <v>1363</v>
      </c>
      <c r="B575" s="21" t="s">
        <v>1364</v>
      </c>
      <c r="C575" s="22" t="s">
        <v>1132</v>
      </c>
      <c r="D575" s="23" t="s">
        <v>1133</v>
      </c>
      <c r="E575" s="24" t="s">
        <v>70</v>
      </c>
      <c r="F575" s="25" t="n">
        <f>245</f>
        <v>245.0</v>
      </c>
      <c r="G575" s="26" t="str">
        <f>"－"</f>
        <v>－</v>
      </c>
      <c r="H575" s="26"/>
      <c r="I575" s="26" t="str">
        <f>"－"</f>
        <v>－</v>
      </c>
      <c r="J575" s="26" t="str">
        <f>"－"</f>
        <v>－</v>
      </c>
      <c r="K575" s="26" t="str">
        <f>"－"</f>
        <v>－</v>
      </c>
      <c r="L575" s="4" t="s">
        <v>399</v>
      </c>
      <c r="M575" s="27" t="str">
        <f>"－"</f>
        <v>－</v>
      </c>
      <c r="N575" s="5" t="s">
        <v>399</v>
      </c>
      <c r="O575" s="28" t="str">
        <f>"－"</f>
        <v>－</v>
      </c>
      <c r="P575" s="3" t="s">
        <v>160</v>
      </c>
      <c r="Q575" s="26"/>
      <c r="R575" s="3" t="s">
        <v>160</v>
      </c>
      <c r="S575" s="26" t="str">
        <f>"－"</f>
        <v>－</v>
      </c>
      <c r="T575" s="26" t="str">
        <f>"－"</f>
        <v>－</v>
      </c>
      <c r="U575" s="5" t="s">
        <v>399</v>
      </c>
      <c r="V575" s="28" t="str">
        <f>"－"</f>
        <v>－</v>
      </c>
      <c r="W575" s="5" t="s">
        <v>399</v>
      </c>
      <c r="X575" s="28" t="str">
        <f>"－"</f>
        <v>－</v>
      </c>
      <c r="Y575" s="28" t="str">
        <f>"－"</f>
        <v>－</v>
      </c>
      <c r="Z575" s="26" t="str">
        <f>"－"</f>
        <v>－</v>
      </c>
      <c r="AA575" s="26" t="str">
        <f>"－"</f>
        <v>－</v>
      </c>
      <c r="AB575" s="4" t="s">
        <v>399</v>
      </c>
      <c r="AC575" s="27" t="str">
        <f>"－"</f>
        <v>－</v>
      </c>
      <c r="AD575" s="5" t="s">
        <v>399</v>
      </c>
      <c r="AE575" s="28" t="str">
        <f>"－"</f>
        <v>－</v>
      </c>
    </row>
    <row r="576">
      <c r="A576" s="20" t="s">
        <v>1363</v>
      </c>
      <c r="B576" s="21" t="s">
        <v>1364</v>
      </c>
      <c r="C576" s="22" t="s">
        <v>1124</v>
      </c>
      <c r="D576" s="23" t="s">
        <v>1125</v>
      </c>
      <c r="E576" s="24" t="s">
        <v>76</v>
      </c>
      <c r="F576" s="25" t="n">
        <f>244</f>
        <v>244.0</v>
      </c>
      <c r="G576" s="26" t="str">
        <f>"－"</f>
        <v>－</v>
      </c>
      <c r="H576" s="26"/>
      <c r="I576" s="26" t="str">
        <f>"－"</f>
        <v>－</v>
      </c>
      <c r="J576" s="26" t="str">
        <f>"－"</f>
        <v>－</v>
      </c>
      <c r="K576" s="26" t="str">
        <f>"－"</f>
        <v>－</v>
      </c>
      <c r="L576" s="4" t="s">
        <v>389</v>
      </c>
      <c r="M576" s="27" t="str">
        <f>"－"</f>
        <v>－</v>
      </c>
      <c r="N576" s="5" t="s">
        <v>389</v>
      </c>
      <c r="O576" s="28" t="str">
        <f>"－"</f>
        <v>－</v>
      </c>
      <c r="P576" s="3" t="s">
        <v>160</v>
      </c>
      <c r="Q576" s="26"/>
      <c r="R576" s="3" t="s">
        <v>160</v>
      </c>
      <c r="S576" s="26" t="str">
        <f>"－"</f>
        <v>－</v>
      </c>
      <c r="T576" s="26" t="str">
        <f>"－"</f>
        <v>－</v>
      </c>
      <c r="U576" s="5" t="s">
        <v>389</v>
      </c>
      <c r="V576" s="28" t="str">
        <f>"－"</f>
        <v>－</v>
      </c>
      <c r="W576" s="5" t="s">
        <v>389</v>
      </c>
      <c r="X576" s="28" t="str">
        <f>"－"</f>
        <v>－</v>
      </c>
      <c r="Y576" s="28" t="str">
        <f>"－"</f>
        <v>－</v>
      </c>
      <c r="Z576" s="26" t="str">
        <f>"－"</f>
        <v>－</v>
      </c>
      <c r="AA576" s="26" t="str">
        <f>"－"</f>
        <v>－</v>
      </c>
      <c r="AB576" s="4" t="s">
        <v>389</v>
      </c>
      <c r="AC576" s="27" t="str">
        <f>"－"</f>
        <v>－</v>
      </c>
      <c r="AD576" s="5" t="s">
        <v>389</v>
      </c>
      <c r="AE576" s="28" t="str">
        <f>"－"</f>
        <v>－</v>
      </c>
    </row>
    <row r="577">
      <c r="A577" s="20" t="s">
        <v>1363</v>
      </c>
      <c r="B577" s="21" t="s">
        <v>1364</v>
      </c>
      <c r="C577" s="22" t="s">
        <v>1128</v>
      </c>
      <c r="D577" s="23" t="s">
        <v>1129</v>
      </c>
      <c r="E577" s="24" t="s">
        <v>76</v>
      </c>
      <c r="F577" s="25" t="n">
        <f>244</f>
        <v>244.0</v>
      </c>
      <c r="G577" s="26" t="str">
        <f>"－"</f>
        <v>－</v>
      </c>
      <c r="H577" s="26"/>
      <c r="I577" s="26" t="str">
        <f>"－"</f>
        <v>－</v>
      </c>
      <c r="J577" s="26" t="str">
        <f>"－"</f>
        <v>－</v>
      </c>
      <c r="K577" s="26" t="str">
        <f>"－"</f>
        <v>－</v>
      </c>
      <c r="L577" s="4" t="s">
        <v>389</v>
      </c>
      <c r="M577" s="27" t="str">
        <f>"－"</f>
        <v>－</v>
      </c>
      <c r="N577" s="5" t="s">
        <v>389</v>
      </c>
      <c r="O577" s="28" t="str">
        <f>"－"</f>
        <v>－</v>
      </c>
      <c r="P577" s="3" t="s">
        <v>160</v>
      </c>
      <c r="Q577" s="26"/>
      <c r="R577" s="3" t="s">
        <v>160</v>
      </c>
      <c r="S577" s="26" t="str">
        <f>"－"</f>
        <v>－</v>
      </c>
      <c r="T577" s="26" t="str">
        <f>"－"</f>
        <v>－</v>
      </c>
      <c r="U577" s="5" t="s">
        <v>389</v>
      </c>
      <c r="V577" s="28" t="str">
        <f>"－"</f>
        <v>－</v>
      </c>
      <c r="W577" s="5" t="s">
        <v>389</v>
      </c>
      <c r="X577" s="28" t="str">
        <f>"－"</f>
        <v>－</v>
      </c>
      <c r="Y577" s="28" t="str">
        <f>"－"</f>
        <v>－</v>
      </c>
      <c r="Z577" s="26" t="str">
        <f>"－"</f>
        <v>－</v>
      </c>
      <c r="AA577" s="26" t="str">
        <f>"－"</f>
        <v>－</v>
      </c>
      <c r="AB577" s="4" t="s">
        <v>389</v>
      </c>
      <c r="AC577" s="27" t="str">
        <f>"－"</f>
        <v>－</v>
      </c>
      <c r="AD577" s="5" t="s">
        <v>389</v>
      </c>
      <c r="AE577" s="28" t="str">
        <f>"－"</f>
        <v>－</v>
      </c>
    </row>
    <row r="578">
      <c r="A578" s="20" t="s">
        <v>1363</v>
      </c>
      <c r="B578" s="21" t="s">
        <v>1364</v>
      </c>
      <c r="C578" s="22" t="s">
        <v>1132</v>
      </c>
      <c r="D578" s="23" t="s">
        <v>1133</v>
      </c>
      <c r="E578" s="24" t="s">
        <v>76</v>
      </c>
      <c r="F578" s="25" t="n">
        <f>244</f>
        <v>244.0</v>
      </c>
      <c r="G578" s="26" t="str">
        <f>"－"</f>
        <v>－</v>
      </c>
      <c r="H578" s="26"/>
      <c r="I578" s="26" t="str">
        <f>"－"</f>
        <v>－</v>
      </c>
      <c r="J578" s="26" t="str">
        <f>"－"</f>
        <v>－</v>
      </c>
      <c r="K578" s="26" t="str">
        <f>"－"</f>
        <v>－</v>
      </c>
      <c r="L578" s="4" t="s">
        <v>389</v>
      </c>
      <c r="M578" s="27" t="str">
        <f>"－"</f>
        <v>－</v>
      </c>
      <c r="N578" s="5" t="s">
        <v>389</v>
      </c>
      <c r="O578" s="28" t="str">
        <f>"－"</f>
        <v>－</v>
      </c>
      <c r="P578" s="3" t="s">
        <v>160</v>
      </c>
      <c r="Q578" s="26"/>
      <c r="R578" s="3" t="s">
        <v>160</v>
      </c>
      <c r="S578" s="26" t="str">
        <f>"－"</f>
        <v>－</v>
      </c>
      <c r="T578" s="26" t="str">
        <f>"－"</f>
        <v>－</v>
      </c>
      <c r="U578" s="5" t="s">
        <v>389</v>
      </c>
      <c r="V578" s="28" t="str">
        <f>"－"</f>
        <v>－</v>
      </c>
      <c r="W578" s="5" t="s">
        <v>389</v>
      </c>
      <c r="X578" s="28" t="str">
        <f>"－"</f>
        <v>－</v>
      </c>
      <c r="Y578" s="28" t="str">
        <f>"－"</f>
        <v>－</v>
      </c>
      <c r="Z578" s="26" t="str">
        <f>"－"</f>
        <v>－</v>
      </c>
      <c r="AA578" s="26" t="str">
        <f>"－"</f>
        <v>－</v>
      </c>
      <c r="AB578" s="4" t="s">
        <v>389</v>
      </c>
      <c r="AC578" s="27" t="str">
        <f>"－"</f>
        <v>－</v>
      </c>
      <c r="AD578" s="5" t="s">
        <v>389</v>
      </c>
      <c r="AE578" s="28" t="str">
        <f>"－"</f>
        <v>－</v>
      </c>
    </row>
    <row r="579">
      <c r="A579" s="20" t="s">
        <v>1363</v>
      </c>
      <c r="B579" s="21" t="s">
        <v>1364</v>
      </c>
      <c r="C579" s="22" t="s">
        <v>1124</v>
      </c>
      <c r="D579" s="23" t="s">
        <v>1125</v>
      </c>
      <c r="E579" s="24" t="s">
        <v>81</v>
      </c>
      <c r="F579" s="25" t="n">
        <f>241</f>
        <v>241.0</v>
      </c>
      <c r="G579" s="26" t="str">
        <f>"－"</f>
        <v>－</v>
      </c>
      <c r="H579" s="26"/>
      <c r="I579" s="26" t="str">
        <f>"－"</f>
        <v>－</v>
      </c>
      <c r="J579" s="26" t="str">
        <f>"－"</f>
        <v>－</v>
      </c>
      <c r="K579" s="26" t="str">
        <f>"－"</f>
        <v>－</v>
      </c>
      <c r="L579" s="4" t="s">
        <v>213</v>
      </c>
      <c r="M579" s="27" t="str">
        <f>"－"</f>
        <v>－</v>
      </c>
      <c r="N579" s="5" t="s">
        <v>213</v>
      </c>
      <c r="O579" s="28" t="str">
        <f>"－"</f>
        <v>－</v>
      </c>
      <c r="P579" s="3" t="s">
        <v>160</v>
      </c>
      <c r="Q579" s="26"/>
      <c r="R579" s="3" t="s">
        <v>160</v>
      </c>
      <c r="S579" s="26" t="str">
        <f>"－"</f>
        <v>－</v>
      </c>
      <c r="T579" s="26" t="str">
        <f>"－"</f>
        <v>－</v>
      </c>
      <c r="U579" s="5" t="s">
        <v>213</v>
      </c>
      <c r="V579" s="28" t="str">
        <f>"－"</f>
        <v>－</v>
      </c>
      <c r="W579" s="5" t="s">
        <v>213</v>
      </c>
      <c r="X579" s="28" t="str">
        <f>"－"</f>
        <v>－</v>
      </c>
      <c r="Y579" s="28" t="str">
        <f>"－"</f>
        <v>－</v>
      </c>
      <c r="Z579" s="26" t="str">
        <f>"－"</f>
        <v>－</v>
      </c>
      <c r="AA579" s="26" t="str">
        <f>"－"</f>
        <v>－</v>
      </c>
      <c r="AB579" s="4" t="s">
        <v>213</v>
      </c>
      <c r="AC579" s="27" t="str">
        <f>"－"</f>
        <v>－</v>
      </c>
      <c r="AD579" s="5" t="s">
        <v>213</v>
      </c>
      <c r="AE579" s="28" t="str">
        <f>"－"</f>
        <v>－</v>
      </c>
    </row>
    <row r="580">
      <c r="A580" s="20" t="s">
        <v>1363</v>
      </c>
      <c r="B580" s="21" t="s">
        <v>1364</v>
      </c>
      <c r="C580" s="22" t="s">
        <v>1128</v>
      </c>
      <c r="D580" s="23" t="s">
        <v>1129</v>
      </c>
      <c r="E580" s="24" t="s">
        <v>81</v>
      </c>
      <c r="F580" s="25" t="n">
        <f>241</f>
        <v>241.0</v>
      </c>
      <c r="G580" s="26" t="str">
        <f>"－"</f>
        <v>－</v>
      </c>
      <c r="H580" s="26"/>
      <c r="I580" s="26" t="str">
        <f>"－"</f>
        <v>－</v>
      </c>
      <c r="J580" s="26" t="str">
        <f>"－"</f>
        <v>－</v>
      </c>
      <c r="K580" s="26" t="str">
        <f>"－"</f>
        <v>－</v>
      </c>
      <c r="L580" s="4" t="s">
        <v>213</v>
      </c>
      <c r="M580" s="27" t="str">
        <f>"－"</f>
        <v>－</v>
      </c>
      <c r="N580" s="5" t="s">
        <v>213</v>
      </c>
      <c r="O580" s="28" t="str">
        <f>"－"</f>
        <v>－</v>
      </c>
      <c r="P580" s="3" t="s">
        <v>160</v>
      </c>
      <c r="Q580" s="26"/>
      <c r="R580" s="3" t="s">
        <v>160</v>
      </c>
      <c r="S580" s="26" t="str">
        <f>"－"</f>
        <v>－</v>
      </c>
      <c r="T580" s="26" t="str">
        <f>"－"</f>
        <v>－</v>
      </c>
      <c r="U580" s="5" t="s">
        <v>213</v>
      </c>
      <c r="V580" s="28" t="str">
        <f>"－"</f>
        <v>－</v>
      </c>
      <c r="W580" s="5" t="s">
        <v>213</v>
      </c>
      <c r="X580" s="28" t="str">
        <f>"－"</f>
        <v>－</v>
      </c>
      <c r="Y580" s="28" t="str">
        <f>"－"</f>
        <v>－</v>
      </c>
      <c r="Z580" s="26" t="str">
        <f>"－"</f>
        <v>－</v>
      </c>
      <c r="AA580" s="26" t="str">
        <f>"－"</f>
        <v>－</v>
      </c>
      <c r="AB580" s="4" t="s">
        <v>213</v>
      </c>
      <c r="AC580" s="27" t="str">
        <f>"－"</f>
        <v>－</v>
      </c>
      <c r="AD580" s="5" t="s">
        <v>213</v>
      </c>
      <c r="AE580" s="28" t="str">
        <f>"－"</f>
        <v>－</v>
      </c>
    </row>
    <row r="581">
      <c r="A581" s="20" t="s">
        <v>1363</v>
      </c>
      <c r="B581" s="21" t="s">
        <v>1364</v>
      </c>
      <c r="C581" s="22" t="s">
        <v>1132</v>
      </c>
      <c r="D581" s="23" t="s">
        <v>1133</v>
      </c>
      <c r="E581" s="24" t="s">
        <v>81</v>
      </c>
      <c r="F581" s="25" t="n">
        <f>241</f>
        <v>241.0</v>
      </c>
      <c r="G581" s="26" t="str">
        <f>"－"</f>
        <v>－</v>
      </c>
      <c r="H581" s="26"/>
      <c r="I581" s="26" t="str">
        <f>"－"</f>
        <v>－</v>
      </c>
      <c r="J581" s="26" t="str">
        <f>"－"</f>
        <v>－</v>
      </c>
      <c r="K581" s="26" t="str">
        <f>"－"</f>
        <v>－</v>
      </c>
      <c r="L581" s="4" t="s">
        <v>213</v>
      </c>
      <c r="M581" s="27" t="str">
        <f>"－"</f>
        <v>－</v>
      </c>
      <c r="N581" s="5" t="s">
        <v>213</v>
      </c>
      <c r="O581" s="28" t="str">
        <f>"－"</f>
        <v>－</v>
      </c>
      <c r="P581" s="3" t="s">
        <v>160</v>
      </c>
      <c r="Q581" s="26"/>
      <c r="R581" s="3" t="s">
        <v>160</v>
      </c>
      <c r="S581" s="26" t="str">
        <f>"－"</f>
        <v>－</v>
      </c>
      <c r="T581" s="26" t="str">
        <f>"－"</f>
        <v>－</v>
      </c>
      <c r="U581" s="5" t="s">
        <v>213</v>
      </c>
      <c r="V581" s="28" t="str">
        <f>"－"</f>
        <v>－</v>
      </c>
      <c r="W581" s="5" t="s">
        <v>213</v>
      </c>
      <c r="X581" s="28" t="str">
        <f>"－"</f>
        <v>－</v>
      </c>
      <c r="Y581" s="28" t="str">
        <f>"－"</f>
        <v>－</v>
      </c>
      <c r="Z581" s="26" t="str">
        <f>"－"</f>
        <v>－</v>
      </c>
      <c r="AA581" s="26" t="str">
        <f>"－"</f>
        <v>－</v>
      </c>
      <c r="AB581" s="4" t="s">
        <v>213</v>
      </c>
      <c r="AC581" s="27" t="str">
        <f>"－"</f>
        <v>－</v>
      </c>
      <c r="AD581" s="5" t="s">
        <v>213</v>
      </c>
      <c r="AE581" s="28" t="str">
        <f>"－"</f>
        <v>－</v>
      </c>
    </row>
    <row r="582">
      <c r="A582" s="20" t="s">
        <v>1363</v>
      </c>
      <c r="B582" s="21" t="s">
        <v>1364</v>
      </c>
      <c r="C582" s="22" t="s">
        <v>1124</v>
      </c>
      <c r="D582" s="23" t="s">
        <v>1125</v>
      </c>
      <c r="E582" s="24" t="s">
        <v>87</v>
      </c>
      <c r="F582" s="25" t="n">
        <f>245</f>
        <v>245.0</v>
      </c>
      <c r="G582" s="26" t="str">
        <f>"－"</f>
        <v>－</v>
      </c>
      <c r="H582" s="26"/>
      <c r="I582" s="26" t="str">
        <f>"－"</f>
        <v>－</v>
      </c>
      <c r="J582" s="26" t="str">
        <f>"－"</f>
        <v>－</v>
      </c>
      <c r="K582" s="26" t="str">
        <f>"－"</f>
        <v>－</v>
      </c>
      <c r="L582" s="4" t="s">
        <v>213</v>
      </c>
      <c r="M582" s="27" t="str">
        <f>"－"</f>
        <v>－</v>
      </c>
      <c r="N582" s="5" t="s">
        <v>213</v>
      </c>
      <c r="O582" s="28" t="str">
        <f>"－"</f>
        <v>－</v>
      </c>
      <c r="P582" s="3" t="s">
        <v>160</v>
      </c>
      <c r="Q582" s="26"/>
      <c r="R582" s="3" t="s">
        <v>160</v>
      </c>
      <c r="S582" s="26" t="str">
        <f>"－"</f>
        <v>－</v>
      </c>
      <c r="T582" s="26" t="str">
        <f>"－"</f>
        <v>－</v>
      </c>
      <c r="U582" s="5" t="s">
        <v>213</v>
      </c>
      <c r="V582" s="28" t="str">
        <f>"－"</f>
        <v>－</v>
      </c>
      <c r="W582" s="5" t="s">
        <v>213</v>
      </c>
      <c r="X582" s="28" t="str">
        <f>"－"</f>
        <v>－</v>
      </c>
      <c r="Y582" s="28" t="str">
        <f>"－"</f>
        <v>－</v>
      </c>
      <c r="Z582" s="26" t="str">
        <f>"－"</f>
        <v>－</v>
      </c>
      <c r="AA582" s="26" t="str">
        <f>"－"</f>
        <v>－</v>
      </c>
      <c r="AB582" s="4" t="s">
        <v>213</v>
      </c>
      <c r="AC582" s="27" t="str">
        <f>"－"</f>
        <v>－</v>
      </c>
      <c r="AD582" s="5" t="s">
        <v>213</v>
      </c>
      <c r="AE582" s="28" t="str">
        <f>"－"</f>
        <v>－</v>
      </c>
    </row>
    <row r="583">
      <c r="A583" s="20" t="s">
        <v>1363</v>
      </c>
      <c r="B583" s="21" t="s">
        <v>1364</v>
      </c>
      <c r="C583" s="22" t="s">
        <v>1128</v>
      </c>
      <c r="D583" s="23" t="s">
        <v>1129</v>
      </c>
      <c r="E583" s="24" t="s">
        <v>87</v>
      </c>
      <c r="F583" s="25" t="n">
        <f>245</f>
        <v>245.0</v>
      </c>
      <c r="G583" s="26" t="str">
        <f>"－"</f>
        <v>－</v>
      </c>
      <c r="H583" s="26"/>
      <c r="I583" s="26" t="str">
        <f>"－"</f>
        <v>－</v>
      </c>
      <c r="J583" s="26" t="str">
        <f>"－"</f>
        <v>－</v>
      </c>
      <c r="K583" s="26" t="str">
        <f>"－"</f>
        <v>－</v>
      </c>
      <c r="L583" s="4" t="s">
        <v>213</v>
      </c>
      <c r="M583" s="27" t="str">
        <f>"－"</f>
        <v>－</v>
      </c>
      <c r="N583" s="5" t="s">
        <v>213</v>
      </c>
      <c r="O583" s="28" t="str">
        <f>"－"</f>
        <v>－</v>
      </c>
      <c r="P583" s="3" t="s">
        <v>160</v>
      </c>
      <c r="Q583" s="26"/>
      <c r="R583" s="3" t="s">
        <v>160</v>
      </c>
      <c r="S583" s="26" t="str">
        <f>"－"</f>
        <v>－</v>
      </c>
      <c r="T583" s="26" t="str">
        <f>"－"</f>
        <v>－</v>
      </c>
      <c r="U583" s="5" t="s">
        <v>213</v>
      </c>
      <c r="V583" s="28" t="str">
        <f>"－"</f>
        <v>－</v>
      </c>
      <c r="W583" s="5" t="s">
        <v>213</v>
      </c>
      <c r="X583" s="28" t="str">
        <f>"－"</f>
        <v>－</v>
      </c>
      <c r="Y583" s="28" t="str">
        <f>"－"</f>
        <v>－</v>
      </c>
      <c r="Z583" s="26" t="str">
        <f>"－"</f>
        <v>－</v>
      </c>
      <c r="AA583" s="26" t="str">
        <f>"－"</f>
        <v>－</v>
      </c>
      <c r="AB583" s="4" t="s">
        <v>213</v>
      </c>
      <c r="AC583" s="27" t="str">
        <f>"－"</f>
        <v>－</v>
      </c>
      <c r="AD583" s="5" t="s">
        <v>213</v>
      </c>
      <c r="AE583" s="28" t="str">
        <f>"－"</f>
        <v>－</v>
      </c>
    </row>
    <row r="584">
      <c r="A584" s="20" t="s">
        <v>1363</v>
      </c>
      <c r="B584" s="21" t="s">
        <v>1364</v>
      </c>
      <c r="C584" s="22" t="s">
        <v>1132</v>
      </c>
      <c r="D584" s="23" t="s">
        <v>1133</v>
      </c>
      <c r="E584" s="24" t="s">
        <v>87</v>
      </c>
      <c r="F584" s="25" t="n">
        <f>245</f>
        <v>245.0</v>
      </c>
      <c r="G584" s="26" t="str">
        <f>"－"</f>
        <v>－</v>
      </c>
      <c r="H584" s="26"/>
      <c r="I584" s="26" t="str">
        <f>"－"</f>
        <v>－</v>
      </c>
      <c r="J584" s="26" t="str">
        <f>"－"</f>
        <v>－</v>
      </c>
      <c r="K584" s="26" t="str">
        <f>"－"</f>
        <v>－</v>
      </c>
      <c r="L584" s="4" t="s">
        <v>213</v>
      </c>
      <c r="M584" s="27" t="str">
        <f>"－"</f>
        <v>－</v>
      </c>
      <c r="N584" s="5" t="s">
        <v>213</v>
      </c>
      <c r="O584" s="28" t="str">
        <f>"－"</f>
        <v>－</v>
      </c>
      <c r="P584" s="3" t="s">
        <v>160</v>
      </c>
      <c r="Q584" s="26"/>
      <c r="R584" s="3" t="s">
        <v>160</v>
      </c>
      <c r="S584" s="26" t="str">
        <f>"－"</f>
        <v>－</v>
      </c>
      <c r="T584" s="26" t="str">
        <f>"－"</f>
        <v>－</v>
      </c>
      <c r="U584" s="5" t="s">
        <v>213</v>
      </c>
      <c r="V584" s="28" t="str">
        <f>"－"</f>
        <v>－</v>
      </c>
      <c r="W584" s="5" t="s">
        <v>213</v>
      </c>
      <c r="X584" s="28" t="str">
        <f>"－"</f>
        <v>－</v>
      </c>
      <c r="Y584" s="28" t="str">
        <f>"－"</f>
        <v>－</v>
      </c>
      <c r="Z584" s="26" t="str">
        <f>"－"</f>
        <v>－</v>
      </c>
      <c r="AA584" s="26" t="str">
        <f>"－"</f>
        <v>－</v>
      </c>
      <c r="AB584" s="4" t="s">
        <v>213</v>
      </c>
      <c r="AC584" s="27" t="str">
        <f>"－"</f>
        <v>－</v>
      </c>
      <c r="AD584" s="5" t="s">
        <v>213</v>
      </c>
      <c r="AE584" s="28" t="str">
        <f>"－"</f>
        <v>－</v>
      </c>
    </row>
    <row r="585">
      <c r="A585" s="20" t="s">
        <v>1363</v>
      </c>
      <c r="B585" s="21" t="s">
        <v>1364</v>
      </c>
      <c r="C585" s="22" t="s">
        <v>1124</v>
      </c>
      <c r="D585" s="23" t="s">
        <v>1125</v>
      </c>
      <c r="E585" s="24" t="s">
        <v>92</v>
      </c>
      <c r="F585" s="25" t="n">
        <f>244</f>
        <v>244.0</v>
      </c>
      <c r="G585" s="26" t="str">
        <f>"－"</f>
        <v>－</v>
      </c>
      <c r="H585" s="26"/>
      <c r="I585" s="26" t="str">
        <f>"－"</f>
        <v>－</v>
      </c>
      <c r="J585" s="26" t="str">
        <f>"－"</f>
        <v>－</v>
      </c>
      <c r="K585" s="26" t="str">
        <f>"－"</f>
        <v>－</v>
      </c>
      <c r="L585" s="4" t="s">
        <v>213</v>
      </c>
      <c r="M585" s="27" t="str">
        <f>"－"</f>
        <v>－</v>
      </c>
      <c r="N585" s="5" t="s">
        <v>213</v>
      </c>
      <c r="O585" s="28" t="str">
        <f>"－"</f>
        <v>－</v>
      </c>
      <c r="P585" s="3" t="s">
        <v>160</v>
      </c>
      <c r="Q585" s="26"/>
      <c r="R585" s="3" t="s">
        <v>160</v>
      </c>
      <c r="S585" s="26" t="str">
        <f>"－"</f>
        <v>－</v>
      </c>
      <c r="T585" s="26" t="str">
        <f>"－"</f>
        <v>－</v>
      </c>
      <c r="U585" s="5" t="s">
        <v>213</v>
      </c>
      <c r="V585" s="28" t="str">
        <f>"－"</f>
        <v>－</v>
      </c>
      <c r="W585" s="5" t="s">
        <v>213</v>
      </c>
      <c r="X585" s="28" t="str">
        <f>"－"</f>
        <v>－</v>
      </c>
      <c r="Y585" s="28" t="str">
        <f>"－"</f>
        <v>－</v>
      </c>
      <c r="Z585" s="26" t="str">
        <f>"－"</f>
        <v>－</v>
      </c>
      <c r="AA585" s="26" t="str">
        <f>"－"</f>
        <v>－</v>
      </c>
      <c r="AB585" s="4" t="s">
        <v>213</v>
      </c>
      <c r="AC585" s="27" t="str">
        <f>"－"</f>
        <v>－</v>
      </c>
      <c r="AD585" s="5" t="s">
        <v>213</v>
      </c>
      <c r="AE585" s="28" t="str">
        <f>"－"</f>
        <v>－</v>
      </c>
    </row>
    <row r="586">
      <c r="A586" s="20" t="s">
        <v>1363</v>
      </c>
      <c r="B586" s="21" t="s">
        <v>1364</v>
      </c>
      <c r="C586" s="22" t="s">
        <v>1128</v>
      </c>
      <c r="D586" s="23" t="s">
        <v>1129</v>
      </c>
      <c r="E586" s="24" t="s">
        <v>92</v>
      </c>
      <c r="F586" s="25" t="n">
        <f>244</f>
        <v>244.0</v>
      </c>
      <c r="G586" s="26" t="str">
        <f>"－"</f>
        <v>－</v>
      </c>
      <c r="H586" s="26"/>
      <c r="I586" s="26" t="str">
        <f>"－"</f>
        <v>－</v>
      </c>
      <c r="J586" s="26" t="str">
        <f>"－"</f>
        <v>－</v>
      </c>
      <c r="K586" s="26" t="str">
        <f>"－"</f>
        <v>－</v>
      </c>
      <c r="L586" s="4" t="s">
        <v>213</v>
      </c>
      <c r="M586" s="27" t="str">
        <f>"－"</f>
        <v>－</v>
      </c>
      <c r="N586" s="5" t="s">
        <v>213</v>
      </c>
      <c r="O586" s="28" t="str">
        <f>"－"</f>
        <v>－</v>
      </c>
      <c r="P586" s="3" t="s">
        <v>160</v>
      </c>
      <c r="Q586" s="26"/>
      <c r="R586" s="3" t="s">
        <v>160</v>
      </c>
      <c r="S586" s="26" t="str">
        <f>"－"</f>
        <v>－</v>
      </c>
      <c r="T586" s="26" t="str">
        <f>"－"</f>
        <v>－</v>
      </c>
      <c r="U586" s="5" t="s">
        <v>213</v>
      </c>
      <c r="V586" s="28" t="str">
        <f>"－"</f>
        <v>－</v>
      </c>
      <c r="W586" s="5" t="s">
        <v>213</v>
      </c>
      <c r="X586" s="28" t="str">
        <f>"－"</f>
        <v>－</v>
      </c>
      <c r="Y586" s="28" t="str">
        <f>"－"</f>
        <v>－</v>
      </c>
      <c r="Z586" s="26" t="str">
        <f>"－"</f>
        <v>－</v>
      </c>
      <c r="AA586" s="26" t="str">
        <f>"－"</f>
        <v>－</v>
      </c>
      <c r="AB586" s="4" t="s">
        <v>213</v>
      </c>
      <c r="AC586" s="27" t="str">
        <f>"－"</f>
        <v>－</v>
      </c>
      <c r="AD586" s="5" t="s">
        <v>213</v>
      </c>
      <c r="AE586" s="28" t="str">
        <f>"－"</f>
        <v>－</v>
      </c>
    </row>
    <row r="587">
      <c r="A587" s="20" t="s">
        <v>1363</v>
      </c>
      <c r="B587" s="21" t="s">
        <v>1364</v>
      </c>
      <c r="C587" s="22" t="s">
        <v>1132</v>
      </c>
      <c r="D587" s="23" t="s">
        <v>1133</v>
      </c>
      <c r="E587" s="24" t="s">
        <v>92</v>
      </c>
      <c r="F587" s="25" t="n">
        <f>244</f>
        <v>244.0</v>
      </c>
      <c r="G587" s="26" t="str">
        <f>"－"</f>
        <v>－</v>
      </c>
      <c r="H587" s="26"/>
      <c r="I587" s="26" t="str">
        <f>"－"</f>
        <v>－</v>
      </c>
      <c r="J587" s="26" t="str">
        <f>"－"</f>
        <v>－</v>
      </c>
      <c r="K587" s="26" t="str">
        <f>"－"</f>
        <v>－</v>
      </c>
      <c r="L587" s="4" t="s">
        <v>213</v>
      </c>
      <c r="M587" s="27" t="str">
        <f>"－"</f>
        <v>－</v>
      </c>
      <c r="N587" s="5" t="s">
        <v>213</v>
      </c>
      <c r="O587" s="28" t="str">
        <f>"－"</f>
        <v>－</v>
      </c>
      <c r="P587" s="3" t="s">
        <v>160</v>
      </c>
      <c r="Q587" s="26"/>
      <c r="R587" s="3" t="s">
        <v>160</v>
      </c>
      <c r="S587" s="26" t="str">
        <f>"－"</f>
        <v>－</v>
      </c>
      <c r="T587" s="26" t="str">
        <f>"－"</f>
        <v>－</v>
      </c>
      <c r="U587" s="5" t="s">
        <v>213</v>
      </c>
      <c r="V587" s="28" t="str">
        <f>"－"</f>
        <v>－</v>
      </c>
      <c r="W587" s="5" t="s">
        <v>213</v>
      </c>
      <c r="X587" s="28" t="str">
        <f>"－"</f>
        <v>－</v>
      </c>
      <c r="Y587" s="28" t="str">
        <f>"－"</f>
        <v>－</v>
      </c>
      <c r="Z587" s="26" t="str">
        <f>"－"</f>
        <v>－</v>
      </c>
      <c r="AA587" s="26" t="str">
        <f>"－"</f>
        <v>－</v>
      </c>
      <c r="AB587" s="4" t="s">
        <v>213</v>
      </c>
      <c r="AC587" s="27" t="str">
        <f>"－"</f>
        <v>－</v>
      </c>
      <c r="AD587" s="5" t="s">
        <v>213</v>
      </c>
      <c r="AE587" s="28" t="str">
        <f>"－"</f>
        <v>－</v>
      </c>
    </row>
    <row r="588">
      <c r="A588" s="20" t="s">
        <v>1363</v>
      </c>
      <c r="B588" s="21" t="s">
        <v>1364</v>
      </c>
      <c r="C588" s="22" t="s">
        <v>1124</v>
      </c>
      <c r="D588" s="23" t="s">
        <v>1125</v>
      </c>
      <c r="E588" s="24" t="s">
        <v>98</v>
      </c>
      <c r="F588" s="25" t="n">
        <f>245</f>
        <v>245.0</v>
      </c>
      <c r="G588" s="26" t="str">
        <f>"－"</f>
        <v>－</v>
      </c>
      <c r="H588" s="26"/>
      <c r="I588" s="26" t="str">
        <f>"－"</f>
        <v>－</v>
      </c>
      <c r="J588" s="26" t="str">
        <f>"－"</f>
        <v>－</v>
      </c>
      <c r="K588" s="26" t="str">
        <f>"－"</f>
        <v>－</v>
      </c>
      <c r="L588" s="4" t="s">
        <v>213</v>
      </c>
      <c r="M588" s="27" t="str">
        <f>"－"</f>
        <v>－</v>
      </c>
      <c r="N588" s="5" t="s">
        <v>213</v>
      </c>
      <c r="O588" s="28" t="str">
        <f>"－"</f>
        <v>－</v>
      </c>
      <c r="P588" s="3" t="s">
        <v>160</v>
      </c>
      <c r="Q588" s="26"/>
      <c r="R588" s="3" t="s">
        <v>160</v>
      </c>
      <c r="S588" s="26" t="str">
        <f>"－"</f>
        <v>－</v>
      </c>
      <c r="T588" s="26" t="str">
        <f>"－"</f>
        <v>－</v>
      </c>
      <c r="U588" s="5" t="s">
        <v>213</v>
      </c>
      <c r="V588" s="28" t="str">
        <f>"－"</f>
        <v>－</v>
      </c>
      <c r="W588" s="5" t="s">
        <v>213</v>
      </c>
      <c r="X588" s="28" t="str">
        <f>"－"</f>
        <v>－</v>
      </c>
      <c r="Y588" s="28" t="str">
        <f>"－"</f>
        <v>－</v>
      </c>
      <c r="Z588" s="26" t="str">
        <f>"－"</f>
        <v>－</v>
      </c>
      <c r="AA588" s="26" t="str">
        <f>"－"</f>
        <v>－</v>
      </c>
      <c r="AB588" s="4" t="s">
        <v>213</v>
      </c>
      <c r="AC588" s="27" t="str">
        <f>"－"</f>
        <v>－</v>
      </c>
      <c r="AD588" s="5" t="s">
        <v>213</v>
      </c>
      <c r="AE588" s="28" t="str">
        <f>"－"</f>
        <v>－</v>
      </c>
    </row>
    <row r="589">
      <c r="A589" s="20" t="s">
        <v>1363</v>
      </c>
      <c r="B589" s="21" t="s">
        <v>1364</v>
      </c>
      <c r="C589" s="22" t="s">
        <v>1128</v>
      </c>
      <c r="D589" s="23" t="s">
        <v>1129</v>
      </c>
      <c r="E589" s="24" t="s">
        <v>98</v>
      </c>
      <c r="F589" s="25" t="n">
        <f>245</f>
        <v>245.0</v>
      </c>
      <c r="G589" s="26" t="str">
        <f>"－"</f>
        <v>－</v>
      </c>
      <c r="H589" s="26"/>
      <c r="I589" s="26" t="str">
        <f>"－"</f>
        <v>－</v>
      </c>
      <c r="J589" s="26" t="str">
        <f>"－"</f>
        <v>－</v>
      </c>
      <c r="K589" s="26" t="str">
        <f>"－"</f>
        <v>－</v>
      </c>
      <c r="L589" s="4" t="s">
        <v>213</v>
      </c>
      <c r="M589" s="27" t="str">
        <f>"－"</f>
        <v>－</v>
      </c>
      <c r="N589" s="5" t="s">
        <v>213</v>
      </c>
      <c r="O589" s="28" t="str">
        <f>"－"</f>
        <v>－</v>
      </c>
      <c r="P589" s="3" t="s">
        <v>160</v>
      </c>
      <c r="Q589" s="26"/>
      <c r="R589" s="3" t="s">
        <v>160</v>
      </c>
      <c r="S589" s="26" t="str">
        <f>"－"</f>
        <v>－</v>
      </c>
      <c r="T589" s="26" t="str">
        <f>"－"</f>
        <v>－</v>
      </c>
      <c r="U589" s="5" t="s">
        <v>213</v>
      </c>
      <c r="V589" s="28" t="str">
        <f>"－"</f>
        <v>－</v>
      </c>
      <c r="W589" s="5" t="s">
        <v>213</v>
      </c>
      <c r="X589" s="28" t="str">
        <f>"－"</f>
        <v>－</v>
      </c>
      <c r="Y589" s="28" t="str">
        <f>"－"</f>
        <v>－</v>
      </c>
      <c r="Z589" s="26" t="str">
        <f>"－"</f>
        <v>－</v>
      </c>
      <c r="AA589" s="26" t="str">
        <f>"－"</f>
        <v>－</v>
      </c>
      <c r="AB589" s="4" t="s">
        <v>213</v>
      </c>
      <c r="AC589" s="27" t="str">
        <f>"－"</f>
        <v>－</v>
      </c>
      <c r="AD589" s="5" t="s">
        <v>213</v>
      </c>
      <c r="AE589" s="28" t="str">
        <f>"－"</f>
        <v>－</v>
      </c>
    </row>
    <row r="590">
      <c r="A590" s="20" t="s">
        <v>1363</v>
      </c>
      <c r="B590" s="21" t="s">
        <v>1364</v>
      </c>
      <c r="C590" s="22" t="s">
        <v>1132</v>
      </c>
      <c r="D590" s="23" t="s">
        <v>1133</v>
      </c>
      <c r="E590" s="24" t="s">
        <v>98</v>
      </c>
      <c r="F590" s="25" t="n">
        <f>245</f>
        <v>245.0</v>
      </c>
      <c r="G590" s="26" t="str">
        <f>"－"</f>
        <v>－</v>
      </c>
      <c r="H590" s="26"/>
      <c r="I590" s="26" t="str">
        <f>"－"</f>
        <v>－</v>
      </c>
      <c r="J590" s="26" t="str">
        <f>"－"</f>
        <v>－</v>
      </c>
      <c r="K590" s="26" t="str">
        <f>"－"</f>
        <v>－</v>
      </c>
      <c r="L590" s="4" t="s">
        <v>213</v>
      </c>
      <c r="M590" s="27" t="str">
        <f>"－"</f>
        <v>－</v>
      </c>
      <c r="N590" s="5" t="s">
        <v>213</v>
      </c>
      <c r="O590" s="28" t="str">
        <f>"－"</f>
        <v>－</v>
      </c>
      <c r="P590" s="3" t="s">
        <v>160</v>
      </c>
      <c r="Q590" s="26"/>
      <c r="R590" s="3" t="s">
        <v>160</v>
      </c>
      <c r="S590" s="26" t="str">
        <f>"－"</f>
        <v>－</v>
      </c>
      <c r="T590" s="26" t="str">
        <f>"－"</f>
        <v>－</v>
      </c>
      <c r="U590" s="5" t="s">
        <v>213</v>
      </c>
      <c r="V590" s="28" t="str">
        <f>"－"</f>
        <v>－</v>
      </c>
      <c r="W590" s="5" t="s">
        <v>213</v>
      </c>
      <c r="X590" s="28" t="str">
        <f>"－"</f>
        <v>－</v>
      </c>
      <c r="Y590" s="28" t="str">
        <f>"－"</f>
        <v>－</v>
      </c>
      <c r="Z590" s="26" t="str">
        <f>"－"</f>
        <v>－</v>
      </c>
      <c r="AA590" s="26" t="str">
        <f>"－"</f>
        <v>－</v>
      </c>
      <c r="AB590" s="4" t="s">
        <v>213</v>
      </c>
      <c r="AC590" s="27" t="str">
        <f>"－"</f>
        <v>－</v>
      </c>
      <c r="AD590" s="5" t="s">
        <v>213</v>
      </c>
      <c r="AE590" s="28" t="str">
        <f>"－"</f>
        <v>－</v>
      </c>
    </row>
    <row r="591">
      <c r="A591" s="20" t="s">
        <v>1363</v>
      </c>
      <c r="B591" s="21" t="s">
        <v>1364</v>
      </c>
      <c r="C591" s="22" t="s">
        <v>1124</v>
      </c>
      <c r="D591" s="23" t="s">
        <v>1125</v>
      </c>
      <c r="E591" s="24" t="s">
        <v>103</v>
      </c>
      <c r="F591" s="25" t="n">
        <f>244</f>
        <v>244.0</v>
      </c>
      <c r="G591" s="26" t="str">
        <f>"－"</f>
        <v>－</v>
      </c>
      <c r="H591" s="26"/>
      <c r="I591" s="26" t="str">
        <f>"－"</f>
        <v>－</v>
      </c>
      <c r="J591" s="26" t="str">
        <f>"－"</f>
        <v>－</v>
      </c>
      <c r="K591" s="26" t="str">
        <f>"－"</f>
        <v>－</v>
      </c>
      <c r="L591" s="4" t="s">
        <v>399</v>
      </c>
      <c r="M591" s="27" t="str">
        <f>"－"</f>
        <v>－</v>
      </c>
      <c r="N591" s="5" t="s">
        <v>399</v>
      </c>
      <c r="O591" s="28" t="str">
        <f>"－"</f>
        <v>－</v>
      </c>
      <c r="P591" s="3" t="s">
        <v>160</v>
      </c>
      <c r="Q591" s="26"/>
      <c r="R591" s="3" t="s">
        <v>160</v>
      </c>
      <c r="S591" s="26" t="str">
        <f>"－"</f>
        <v>－</v>
      </c>
      <c r="T591" s="26" t="str">
        <f>"－"</f>
        <v>－</v>
      </c>
      <c r="U591" s="5" t="s">
        <v>399</v>
      </c>
      <c r="V591" s="28" t="str">
        <f>"－"</f>
        <v>－</v>
      </c>
      <c r="W591" s="5" t="s">
        <v>399</v>
      </c>
      <c r="X591" s="28" t="str">
        <f>"－"</f>
        <v>－</v>
      </c>
      <c r="Y591" s="28" t="str">
        <f>"－"</f>
        <v>－</v>
      </c>
      <c r="Z591" s="26" t="str">
        <f>"－"</f>
        <v>－</v>
      </c>
      <c r="AA591" s="26" t="str">
        <f>"－"</f>
        <v>－</v>
      </c>
      <c r="AB591" s="4" t="s">
        <v>399</v>
      </c>
      <c r="AC591" s="27" t="str">
        <f>"－"</f>
        <v>－</v>
      </c>
      <c r="AD591" s="5" t="s">
        <v>399</v>
      </c>
      <c r="AE591" s="28" t="str">
        <f>"－"</f>
        <v>－</v>
      </c>
    </row>
    <row r="592">
      <c r="A592" s="20" t="s">
        <v>1363</v>
      </c>
      <c r="B592" s="21" t="s">
        <v>1364</v>
      </c>
      <c r="C592" s="22" t="s">
        <v>1128</v>
      </c>
      <c r="D592" s="23" t="s">
        <v>1129</v>
      </c>
      <c r="E592" s="24" t="s">
        <v>103</v>
      </c>
      <c r="F592" s="25" t="n">
        <f>244</f>
        <v>244.0</v>
      </c>
      <c r="G592" s="26" t="str">
        <f>"－"</f>
        <v>－</v>
      </c>
      <c r="H592" s="26"/>
      <c r="I592" s="26" t="str">
        <f>"－"</f>
        <v>－</v>
      </c>
      <c r="J592" s="26" t="str">
        <f>"－"</f>
        <v>－</v>
      </c>
      <c r="K592" s="26" t="str">
        <f>"－"</f>
        <v>－</v>
      </c>
      <c r="L592" s="4" t="s">
        <v>399</v>
      </c>
      <c r="M592" s="27" t="str">
        <f>"－"</f>
        <v>－</v>
      </c>
      <c r="N592" s="5" t="s">
        <v>399</v>
      </c>
      <c r="O592" s="28" t="str">
        <f>"－"</f>
        <v>－</v>
      </c>
      <c r="P592" s="3" t="s">
        <v>160</v>
      </c>
      <c r="Q592" s="26"/>
      <c r="R592" s="3" t="s">
        <v>160</v>
      </c>
      <c r="S592" s="26" t="str">
        <f>"－"</f>
        <v>－</v>
      </c>
      <c r="T592" s="26" t="str">
        <f>"－"</f>
        <v>－</v>
      </c>
      <c r="U592" s="5" t="s">
        <v>399</v>
      </c>
      <c r="V592" s="28" t="str">
        <f>"－"</f>
        <v>－</v>
      </c>
      <c r="W592" s="5" t="s">
        <v>399</v>
      </c>
      <c r="X592" s="28" t="str">
        <f>"－"</f>
        <v>－</v>
      </c>
      <c r="Y592" s="28" t="str">
        <f>"－"</f>
        <v>－</v>
      </c>
      <c r="Z592" s="26" t="str">
        <f>"－"</f>
        <v>－</v>
      </c>
      <c r="AA592" s="26" t="str">
        <f>"－"</f>
        <v>－</v>
      </c>
      <c r="AB592" s="4" t="s">
        <v>399</v>
      </c>
      <c r="AC592" s="27" t="str">
        <f>"－"</f>
        <v>－</v>
      </c>
      <c r="AD592" s="5" t="s">
        <v>399</v>
      </c>
      <c r="AE592" s="28" t="str">
        <f>"－"</f>
        <v>－</v>
      </c>
    </row>
    <row r="593">
      <c r="A593" s="20" t="s">
        <v>1363</v>
      </c>
      <c r="B593" s="21" t="s">
        <v>1364</v>
      </c>
      <c r="C593" s="22" t="s">
        <v>1132</v>
      </c>
      <c r="D593" s="23" t="s">
        <v>1133</v>
      </c>
      <c r="E593" s="24" t="s">
        <v>103</v>
      </c>
      <c r="F593" s="25" t="n">
        <f>244</f>
        <v>244.0</v>
      </c>
      <c r="G593" s="26" t="str">
        <f>"－"</f>
        <v>－</v>
      </c>
      <c r="H593" s="26"/>
      <c r="I593" s="26" t="str">
        <f>"－"</f>
        <v>－</v>
      </c>
      <c r="J593" s="26" t="str">
        <f>"－"</f>
        <v>－</v>
      </c>
      <c r="K593" s="26" t="str">
        <f>"－"</f>
        <v>－</v>
      </c>
      <c r="L593" s="4" t="s">
        <v>399</v>
      </c>
      <c r="M593" s="27" t="str">
        <f>"－"</f>
        <v>－</v>
      </c>
      <c r="N593" s="5" t="s">
        <v>399</v>
      </c>
      <c r="O593" s="28" t="str">
        <f>"－"</f>
        <v>－</v>
      </c>
      <c r="P593" s="3" t="s">
        <v>160</v>
      </c>
      <c r="Q593" s="26"/>
      <c r="R593" s="3" t="s">
        <v>160</v>
      </c>
      <c r="S593" s="26" t="str">
        <f>"－"</f>
        <v>－</v>
      </c>
      <c r="T593" s="26" t="str">
        <f>"－"</f>
        <v>－</v>
      </c>
      <c r="U593" s="5" t="s">
        <v>399</v>
      </c>
      <c r="V593" s="28" t="str">
        <f>"－"</f>
        <v>－</v>
      </c>
      <c r="W593" s="5" t="s">
        <v>399</v>
      </c>
      <c r="X593" s="28" t="str">
        <f>"－"</f>
        <v>－</v>
      </c>
      <c r="Y593" s="28" t="str">
        <f>"－"</f>
        <v>－</v>
      </c>
      <c r="Z593" s="26" t="str">
        <f>"－"</f>
        <v>－</v>
      </c>
      <c r="AA593" s="26" t="str">
        <f>"－"</f>
        <v>－</v>
      </c>
      <c r="AB593" s="4" t="s">
        <v>399</v>
      </c>
      <c r="AC593" s="27" t="str">
        <f>"－"</f>
        <v>－</v>
      </c>
      <c r="AD593" s="5" t="s">
        <v>399</v>
      </c>
      <c r="AE593" s="28" t="str">
        <f>"－"</f>
        <v>－</v>
      </c>
    </row>
    <row r="594">
      <c r="A594" s="20" t="s">
        <v>1369</v>
      </c>
      <c r="B594" s="21" t="s">
        <v>1370</v>
      </c>
      <c r="C594" s="22"/>
      <c r="D594" s="23"/>
      <c r="E594" s="24"/>
      <c r="F594" s="25"/>
      <c r="G594" s="26"/>
      <c r="H594" s="26"/>
      <c r="I594" s="26"/>
      <c r="J594" s="26"/>
      <c r="K594" s="26"/>
      <c r="L594" s="4"/>
      <c r="M594" s="27"/>
      <c r="N594" s="5"/>
      <c r="O594" s="28"/>
      <c r="P594" s="3"/>
      <c r="Q594" s="26"/>
      <c r="R594" s="3"/>
      <c r="S594" s="26"/>
      <c r="T594" s="26"/>
      <c r="U594" s="5"/>
      <c r="V594" s="28"/>
      <c r="W594" s="5"/>
      <c r="X594" s="28"/>
      <c r="Y594" s="28"/>
      <c r="Z594" s="26"/>
      <c r="AA594" s="26"/>
      <c r="AB594" s="4"/>
      <c r="AC594" s="27"/>
      <c r="AD594" s="5"/>
      <c r="AE594" s="28"/>
    </row>
    <row r="595">
      <c r="A595" s="20" t="s">
        <v>1371</v>
      </c>
      <c r="B595" s="21" t="s">
        <v>1372</v>
      </c>
      <c r="C595" s="22"/>
      <c r="D595" s="23"/>
      <c r="E595" s="24"/>
      <c r="F595" s="25"/>
      <c r="G595" s="26"/>
      <c r="H595" s="26"/>
      <c r="I595" s="26"/>
      <c r="J595" s="26"/>
      <c r="K595" s="26"/>
      <c r="L595" s="4"/>
      <c r="M595" s="27"/>
      <c r="N595" s="5"/>
      <c r="O595" s="28"/>
      <c r="P595" s="3"/>
      <c r="Q595" s="26"/>
      <c r="R595" s="3"/>
      <c r="S595" s="26"/>
      <c r="T595" s="26"/>
      <c r="U595" s="5"/>
      <c r="V595" s="28"/>
      <c r="W595" s="5"/>
      <c r="X595" s="28"/>
      <c r="Y595" s="28"/>
      <c r="Z595" s="26"/>
      <c r="AA595" s="26"/>
      <c r="AB595" s="4"/>
      <c r="AC595" s="27"/>
      <c r="AD595" s="5"/>
      <c r="AE595" s="28"/>
    </row>
    <row r="596">
      <c r="A596" s="20" t="s">
        <v>1373</v>
      </c>
      <c r="B596" s="21" t="s">
        <v>1374</v>
      </c>
      <c r="C596" s="22" t="s">
        <v>1124</v>
      </c>
      <c r="D596" s="23" t="s">
        <v>1125</v>
      </c>
      <c r="E596" s="24" t="s">
        <v>168</v>
      </c>
      <c r="F596" s="25" t="n">
        <f>219</f>
        <v>219.0</v>
      </c>
      <c r="G596" s="26" t="n">
        <f>1362740</f>
        <v>1362740.0</v>
      </c>
      <c r="H596" s="26"/>
      <c r="I596" s="26" t="str">
        <f>"－"</f>
        <v>－</v>
      </c>
      <c r="J596" s="26" t="n">
        <f>6223</f>
        <v>6223.0</v>
      </c>
      <c r="K596" s="26" t="str">
        <f>"－"</f>
        <v>－</v>
      </c>
      <c r="L596" s="4" t="s">
        <v>826</v>
      </c>
      <c r="M596" s="27" t="n">
        <f>86965</f>
        <v>86965.0</v>
      </c>
      <c r="N596" s="5" t="s">
        <v>330</v>
      </c>
      <c r="O596" s="28" t="n">
        <f>2870</f>
        <v>2870.0</v>
      </c>
      <c r="P596" s="3" t="s">
        <v>1375</v>
      </c>
      <c r="Q596" s="26"/>
      <c r="R596" s="3" t="s">
        <v>160</v>
      </c>
      <c r="S596" s="26" t="n">
        <f>3390521233</f>
        <v>3.390521233E9</v>
      </c>
      <c r="T596" s="26" t="str">
        <f>"－"</f>
        <v>－</v>
      </c>
      <c r="U596" s="5" t="s">
        <v>826</v>
      </c>
      <c r="V596" s="28" t="n">
        <f>52577430000</f>
        <v>5.257743E10</v>
      </c>
      <c r="W596" s="5" t="s">
        <v>330</v>
      </c>
      <c r="X596" s="28" t="n">
        <f>306180000</f>
        <v>3.0618E8</v>
      </c>
      <c r="Y596" s="28" t="n">
        <f>16259</f>
        <v>16259.0</v>
      </c>
      <c r="Z596" s="26" t="str">
        <f>"－"</f>
        <v>－</v>
      </c>
      <c r="AA596" s="26" t="n">
        <f>25034</f>
        <v>25034.0</v>
      </c>
      <c r="AB596" s="4" t="s">
        <v>557</v>
      </c>
      <c r="AC596" s="27" t="n">
        <f>40860</f>
        <v>40860.0</v>
      </c>
      <c r="AD596" s="5" t="s">
        <v>200</v>
      </c>
      <c r="AE596" s="28" t="n">
        <f>9311</f>
        <v>9311.0</v>
      </c>
    </row>
    <row r="597">
      <c r="A597" s="20" t="s">
        <v>1373</v>
      </c>
      <c r="B597" s="21" t="s">
        <v>1374</v>
      </c>
      <c r="C597" s="22" t="s">
        <v>1128</v>
      </c>
      <c r="D597" s="23" t="s">
        <v>1129</v>
      </c>
      <c r="E597" s="24" t="s">
        <v>168</v>
      </c>
      <c r="F597" s="25" t="n">
        <f>219</f>
        <v>219.0</v>
      </c>
      <c r="G597" s="26" t="n">
        <f>1409494</f>
        <v>1409494.0</v>
      </c>
      <c r="H597" s="26"/>
      <c r="I597" s="26" t="str">
        <f>"－"</f>
        <v>－</v>
      </c>
      <c r="J597" s="26" t="n">
        <f>6436</f>
        <v>6436.0</v>
      </c>
      <c r="K597" s="26" t="str">
        <f>"－"</f>
        <v>－</v>
      </c>
      <c r="L597" s="4" t="s">
        <v>826</v>
      </c>
      <c r="M597" s="27" t="n">
        <f>126831</f>
        <v>126831.0</v>
      </c>
      <c r="N597" s="5" t="s">
        <v>1246</v>
      </c>
      <c r="O597" s="28" t="n">
        <f>2943</f>
        <v>2943.0</v>
      </c>
      <c r="P597" s="3" t="s">
        <v>1376</v>
      </c>
      <c r="Q597" s="26"/>
      <c r="R597" s="3" t="s">
        <v>160</v>
      </c>
      <c r="S597" s="26" t="n">
        <f>3852178630</f>
        <v>3.85217863E9</v>
      </c>
      <c r="T597" s="26" t="str">
        <f>"－"</f>
        <v>－</v>
      </c>
      <c r="U597" s="5" t="s">
        <v>826</v>
      </c>
      <c r="V597" s="28" t="n">
        <f>84395310000</f>
        <v>8.439531E10</v>
      </c>
      <c r="W597" s="5" t="s">
        <v>115</v>
      </c>
      <c r="X597" s="28" t="n">
        <f>817010000</f>
        <v>8.1701E8</v>
      </c>
      <c r="Y597" s="28" t="n">
        <f>19478</f>
        <v>19478.0</v>
      </c>
      <c r="Z597" s="26" t="str">
        <f>"－"</f>
        <v>－</v>
      </c>
      <c r="AA597" s="26" t="n">
        <f>19223</f>
        <v>19223.0</v>
      </c>
      <c r="AB597" s="4" t="s">
        <v>616</v>
      </c>
      <c r="AC597" s="27" t="n">
        <f>34008</f>
        <v>34008.0</v>
      </c>
      <c r="AD597" s="5" t="s">
        <v>184</v>
      </c>
      <c r="AE597" s="28" t="n">
        <f>8524</f>
        <v>8524.0</v>
      </c>
    </row>
    <row r="598">
      <c r="A598" s="20" t="s">
        <v>1373</v>
      </c>
      <c r="B598" s="21" t="s">
        <v>1374</v>
      </c>
      <c r="C598" s="22" t="s">
        <v>1132</v>
      </c>
      <c r="D598" s="23" t="s">
        <v>1133</v>
      </c>
      <c r="E598" s="24" t="s">
        <v>168</v>
      </c>
      <c r="F598" s="25" t="n">
        <f>219</f>
        <v>219.0</v>
      </c>
      <c r="G598" s="26" t="n">
        <f>2772234</f>
        <v>2772234.0</v>
      </c>
      <c r="H598" s="26"/>
      <c r="I598" s="26" t="str">
        <f>"－"</f>
        <v>－</v>
      </c>
      <c r="J598" s="26" t="n">
        <f>12659</f>
        <v>12659.0</v>
      </c>
      <c r="K598" s="26" t="str">
        <f>"－"</f>
        <v>－</v>
      </c>
      <c r="L598" s="4" t="s">
        <v>826</v>
      </c>
      <c r="M598" s="27" t="n">
        <f>213796</f>
        <v>213796.0</v>
      </c>
      <c r="N598" s="5" t="s">
        <v>316</v>
      </c>
      <c r="O598" s="28" t="n">
        <f>6687</f>
        <v>6687.0</v>
      </c>
      <c r="P598" s="3" t="s">
        <v>1377</v>
      </c>
      <c r="Q598" s="26"/>
      <c r="R598" s="3" t="s">
        <v>160</v>
      </c>
      <c r="S598" s="26" t="n">
        <f>7242699863</f>
        <v>7.242699863E9</v>
      </c>
      <c r="T598" s="26" t="str">
        <f>"－"</f>
        <v>－</v>
      </c>
      <c r="U598" s="5" t="s">
        <v>826</v>
      </c>
      <c r="V598" s="28" t="n">
        <f>136972740000</f>
        <v>1.3697274E11</v>
      </c>
      <c r="W598" s="5" t="s">
        <v>1378</v>
      </c>
      <c r="X598" s="28" t="n">
        <f>1438280000</f>
        <v>1.43828E9</v>
      </c>
      <c r="Y598" s="28" t="n">
        <f>35737</f>
        <v>35737.0</v>
      </c>
      <c r="Z598" s="26" t="str">
        <f>"－"</f>
        <v>－</v>
      </c>
      <c r="AA598" s="26" t="n">
        <f>44257</f>
        <v>44257.0</v>
      </c>
      <c r="AB598" s="4" t="s">
        <v>167</v>
      </c>
      <c r="AC598" s="27" t="n">
        <f>62111</f>
        <v>62111.0</v>
      </c>
      <c r="AD598" s="5" t="s">
        <v>200</v>
      </c>
      <c r="AE598" s="28" t="n">
        <f>18207</f>
        <v>18207.0</v>
      </c>
    </row>
    <row r="599">
      <c r="A599" s="20" t="s">
        <v>1373</v>
      </c>
      <c r="B599" s="21" t="s">
        <v>1374</v>
      </c>
      <c r="C599" s="22" t="s">
        <v>1124</v>
      </c>
      <c r="D599" s="23" t="s">
        <v>1125</v>
      </c>
      <c r="E599" s="24" t="s">
        <v>173</v>
      </c>
      <c r="F599" s="25" t="n">
        <f>247</f>
        <v>247.0</v>
      </c>
      <c r="G599" s="26" t="n">
        <f>738390</f>
        <v>738390.0</v>
      </c>
      <c r="H599" s="26"/>
      <c r="I599" s="26" t="str">
        <f>"－"</f>
        <v>－</v>
      </c>
      <c r="J599" s="26" t="n">
        <f>2989</f>
        <v>2989.0</v>
      </c>
      <c r="K599" s="26" t="str">
        <f>"－"</f>
        <v>－</v>
      </c>
      <c r="L599" s="4" t="s">
        <v>90</v>
      </c>
      <c r="M599" s="27" t="n">
        <f>8021</f>
        <v>8021.0</v>
      </c>
      <c r="N599" s="5" t="s">
        <v>310</v>
      </c>
      <c r="O599" s="28" t="n">
        <f>944</f>
        <v>944.0</v>
      </c>
      <c r="P599" s="3" t="s">
        <v>1379</v>
      </c>
      <c r="Q599" s="26"/>
      <c r="R599" s="3" t="s">
        <v>160</v>
      </c>
      <c r="S599" s="26" t="n">
        <f>801281296</f>
        <v>8.01281296E8</v>
      </c>
      <c r="T599" s="26" t="str">
        <f>"－"</f>
        <v>－</v>
      </c>
      <c r="U599" s="5" t="s">
        <v>90</v>
      </c>
      <c r="V599" s="28" t="n">
        <f>3711850000</f>
        <v>3.71185E9</v>
      </c>
      <c r="W599" s="5" t="s">
        <v>1115</v>
      </c>
      <c r="X599" s="28" t="n">
        <f>196720000</f>
        <v>1.9672E8</v>
      </c>
      <c r="Y599" s="28" t="n">
        <f>6796</f>
        <v>6796.0</v>
      </c>
      <c r="Z599" s="26" t="str">
        <f>"－"</f>
        <v>－</v>
      </c>
      <c r="AA599" s="26" t="n">
        <f>11761</f>
        <v>11761.0</v>
      </c>
      <c r="AB599" s="4" t="s">
        <v>67</v>
      </c>
      <c r="AC599" s="27" t="n">
        <f>40525</f>
        <v>40525.0</v>
      </c>
      <c r="AD599" s="5" t="s">
        <v>128</v>
      </c>
      <c r="AE599" s="28" t="n">
        <f>8177</f>
        <v>8177.0</v>
      </c>
    </row>
    <row r="600">
      <c r="A600" s="20" t="s">
        <v>1373</v>
      </c>
      <c r="B600" s="21" t="s">
        <v>1374</v>
      </c>
      <c r="C600" s="22" t="s">
        <v>1128</v>
      </c>
      <c r="D600" s="23" t="s">
        <v>1129</v>
      </c>
      <c r="E600" s="24" t="s">
        <v>173</v>
      </c>
      <c r="F600" s="25" t="n">
        <f>247</f>
        <v>247.0</v>
      </c>
      <c r="G600" s="26" t="n">
        <f>921299</f>
        <v>921299.0</v>
      </c>
      <c r="H600" s="26"/>
      <c r="I600" s="26" t="str">
        <f>"－"</f>
        <v>－</v>
      </c>
      <c r="J600" s="26" t="n">
        <f>3730</f>
        <v>3730.0</v>
      </c>
      <c r="K600" s="26" t="str">
        <f>"－"</f>
        <v>－</v>
      </c>
      <c r="L600" s="4" t="s">
        <v>875</v>
      </c>
      <c r="M600" s="27" t="n">
        <f>7923</f>
        <v>7923.0</v>
      </c>
      <c r="N600" s="5" t="s">
        <v>61</v>
      </c>
      <c r="O600" s="28" t="n">
        <f>790</f>
        <v>790.0</v>
      </c>
      <c r="P600" s="3" t="s">
        <v>1380</v>
      </c>
      <c r="Q600" s="26"/>
      <c r="R600" s="3" t="s">
        <v>160</v>
      </c>
      <c r="S600" s="26" t="n">
        <f>1679084858</f>
        <v>1.679084858E9</v>
      </c>
      <c r="T600" s="26" t="str">
        <f>"－"</f>
        <v>－</v>
      </c>
      <c r="U600" s="5" t="s">
        <v>574</v>
      </c>
      <c r="V600" s="28" t="n">
        <f>8676700000</f>
        <v>8.6767E9</v>
      </c>
      <c r="W600" s="5" t="s">
        <v>61</v>
      </c>
      <c r="X600" s="28" t="n">
        <f>218810000</f>
        <v>2.1881E8</v>
      </c>
      <c r="Y600" s="28" t="n">
        <f>37420</f>
        <v>37420.0</v>
      </c>
      <c r="Z600" s="26" t="str">
        <f>"－"</f>
        <v>－</v>
      </c>
      <c r="AA600" s="26" t="n">
        <f>19264</f>
        <v>19264.0</v>
      </c>
      <c r="AB600" s="4" t="s">
        <v>330</v>
      </c>
      <c r="AC600" s="27" t="n">
        <f>39342</f>
        <v>39342.0</v>
      </c>
      <c r="AD600" s="5" t="s">
        <v>128</v>
      </c>
      <c r="AE600" s="28" t="n">
        <f>12666</f>
        <v>12666.0</v>
      </c>
    </row>
    <row r="601">
      <c r="A601" s="20" t="s">
        <v>1373</v>
      </c>
      <c r="B601" s="21" t="s">
        <v>1374</v>
      </c>
      <c r="C601" s="22" t="s">
        <v>1132</v>
      </c>
      <c r="D601" s="23" t="s">
        <v>1133</v>
      </c>
      <c r="E601" s="24" t="s">
        <v>173</v>
      </c>
      <c r="F601" s="25" t="n">
        <f>247</f>
        <v>247.0</v>
      </c>
      <c r="G601" s="26" t="n">
        <f>1659689</f>
        <v>1659689.0</v>
      </c>
      <c r="H601" s="26"/>
      <c r="I601" s="26" t="str">
        <f>"－"</f>
        <v>－</v>
      </c>
      <c r="J601" s="26" t="n">
        <f>6719</f>
        <v>6719.0</v>
      </c>
      <c r="K601" s="26" t="str">
        <f>"－"</f>
        <v>－</v>
      </c>
      <c r="L601" s="4" t="s">
        <v>90</v>
      </c>
      <c r="M601" s="27" t="n">
        <f>14294</f>
        <v>14294.0</v>
      </c>
      <c r="N601" s="5" t="s">
        <v>61</v>
      </c>
      <c r="O601" s="28" t="n">
        <f>2284</f>
        <v>2284.0</v>
      </c>
      <c r="P601" s="3" t="s">
        <v>1381</v>
      </c>
      <c r="Q601" s="26"/>
      <c r="R601" s="3" t="s">
        <v>160</v>
      </c>
      <c r="S601" s="26" t="n">
        <f>2480366154</f>
        <v>2.480366154E9</v>
      </c>
      <c r="T601" s="26" t="str">
        <f>"－"</f>
        <v>－</v>
      </c>
      <c r="U601" s="5" t="s">
        <v>574</v>
      </c>
      <c r="V601" s="28" t="n">
        <f>9282670000</f>
        <v>9.28267E9</v>
      </c>
      <c r="W601" s="5" t="s">
        <v>61</v>
      </c>
      <c r="X601" s="28" t="n">
        <f>510610000</f>
        <v>5.1061E8</v>
      </c>
      <c r="Y601" s="28" t="n">
        <f>44216</f>
        <v>44216.0</v>
      </c>
      <c r="Z601" s="26" t="str">
        <f>"－"</f>
        <v>－</v>
      </c>
      <c r="AA601" s="26" t="n">
        <f>31025</f>
        <v>31025.0</v>
      </c>
      <c r="AB601" s="4" t="s">
        <v>937</v>
      </c>
      <c r="AC601" s="27" t="n">
        <f>77914</f>
        <v>77914.0</v>
      </c>
      <c r="AD601" s="5" t="s">
        <v>128</v>
      </c>
      <c r="AE601" s="28" t="n">
        <f>20843</f>
        <v>20843.0</v>
      </c>
    </row>
    <row r="602">
      <c r="A602" s="20" t="s">
        <v>1373</v>
      </c>
      <c r="B602" s="21" t="s">
        <v>1374</v>
      </c>
      <c r="C602" s="22" t="s">
        <v>1124</v>
      </c>
      <c r="D602" s="23" t="s">
        <v>1125</v>
      </c>
      <c r="E602" s="24" t="s">
        <v>178</v>
      </c>
      <c r="F602" s="25" t="n">
        <f>249</f>
        <v>249.0</v>
      </c>
      <c r="G602" s="26" t="n">
        <f>499733</f>
        <v>499733.0</v>
      </c>
      <c r="H602" s="26"/>
      <c r="I602" s="26" t="str">
        <f>"－"</f>
        <v>－</v>
      </c>
      <c r="J602" s="26" t="n">
        <f>2007</f>
        <v>2007.0</v>
      </c>
      <c r="K602" s="26" t="str">
        <f>"－"</f>
        <v>－</v>
      </c>
      <c r="L602" s="4" t="s">
        <v>630</v>
      </c>
      <c r="M602" s="27" t="n">
        <f>5070</f>
        <v>5070.0</v>
      </c>
      <c r="N602" s="5" t="s">
        <v>286</v>
      </c>
      <c r="O602" s="28" t="n">
        <f>493</f>
        <v>493.0</v>
      </c>
      <c r="P602" s="3" t="s">
        <v>1382</v>
      </c>
      <c r="Q602" s="26"/>
      <c r="R602" s="3" t="s">
        <v>160</v>
      </c>
      <c r="S602" s="26" t="n">
        <f>659776225</f>
        <v>6.59776225E8</v>
      </c>
      <c r="T602" s="26" t="str">
        <f>"－"</f>
        <v>－</v>
      </c>
      <c r="U602" s="5" t="s">
        <v>828</v>
      </c>
      <c r="V602" s="28" t="n">
        <f>2650450000</f>
        <v>2.65045E9</v>
      </c>
      <c r="W602" s="5" t="s">
        <v>179</v>
      </c>
      <c r="X602" s="28" t="n">
        <f>131880000</f>
        <v>1.3188E8</v>
      </c>
      <c r="Y602" s="28" t="n">
        <f>6254</f>
        <v>6254.0</v>
      </c>
      <c r="Z602" s="26" t="str">
        <f>"－"</f>
        <v>－</v>
      </c>
      <c r="AA602" s="26" t="n">
        <f>22004</f>
        <v>22004.0</v>
      </c>
      <c r="AB602" s="4" t="s">
        <v>339</v>
      </c>
      <c r="AC602" s="27" t="n">
        <f>40701</f>
        <v>40701.0</v>
      </c>
      <c r="AD602" s="5" t="s">
        <v>148</v>
      </c>
      <c r="AE602" s="28" t="n">
        <f>7341</f>
        <v>7341.0</v>
      </c>
    </row>
    <row r="603">
      <c r="A603" s="20" t="s">
        <v>1373</v>
      </c>
      <c r="B603" s="21" t="s">
        <v>1374</v>
      </c>
      <c r="C603" s="22" t="s">
        <v>1128</v>
      </c>
      <c r="D603" s="23" t="s">
        <v>1129</v>
      </c>
      <c r="E603" s="24" t="s">
        <v>178</v>
      </c>
      <c r="F603" s="25" t="n">
        <f>249</f>
        <v>249.0</v>
      </c>
      <c r="G603" s="26" t="n">
        <f>686147</f>
        <v>686147.0</v>
      </c>
      <c r="H603" s="26"/>
      <c r="I603" s="26" t="str">
        <f>"－"</f>
        <v>－</v>
      </c>
      <c r="J603" s="26" t="n">
        <f>2756</f>
        <v>2756.0</v>
      </c>
      <c r="K603" s="26" t="str">
        <f>"－"</f>
        <v>－</v>
      </c>
      <c r="L603" s="4" t="s">
        <v>1244</v>
      </c>
      <c r="M603" s="27" t="n">
        <f>7297</f>
        <v>7297.0</v>
      </c>
      <c r="N603" s="5" t="s">
        <v>238</v>
      </c>
      <c r="O603" s="28" t="n">
        <f>807</f>
        <v>807.0</v>
      </c>
      <c r="P603" s="3" t="s">
        <v>1383</v>
      </c>
      <c r="Q603" s="26"/>
      <c r="R603" s="3" t="s">
        <v>160</v>
      </c>
      <c r="S603" s="26" t="n">
        <f>1523823012</f>
        <v>1.523823012E9</v>
      </c>
      <c r="T603" s="26" t="str">
        <f>"－"</f>
        <v>－</v>
      </c>
      <c r="U603" s="5" t="s">
        <v>940</v>
      </c>
      <c r="V603" s="28" t="n">
        <f>6320280000</f>
        <v>6.32028E9</v>
      </c>
      <c r="W603" s="5" t="s">
        <v>179</v>
      </c>
      <c r="X603" s="28" t="n">
        <f>208670000</f>
        <v>2.0867E8</v>
      </c>
      <c r="Y603" s="28" t="n">
        <f>49274</f>
        <v>49274.0</v>
      </c>
      <c r="Z603" s="26" t="str">
        <f>"－"</f>
        <v>－</v>
      </c>
      <c r="AA603" s="26" t="n">
        <f>29903</f>
        <v>29903.0</v>
      </c>
      <c r="AB603" s="4" t="s">
        <v>169</v>
      </c>
      <c r="AC603" s="27" t="n">
        <f>35138</f>
        <v>35138.0</v>
      </c>
      <c r="AD603" s="5" t="s">
        <v>524</v>
      </c>
      <c r="AE603" s="28" t="n">
        <f>12491</f>
        <v>12491.0</v>
      </c>
    </row>
    <row r="604">
      <c r="A604" s="20" t="s">
        <v>1373</v>
      </c>
      <c r="B604" s="21" t="s">
        <v>1374</v>
      </c>
      <c r="C604" s="22" t="s">
        <v>1132</v>
      </c>
      <c r="D604" s="23" t="s">
        <v>1133</v>
      </c>
      <c r="E604" s="24" t="s">
        <v>178</v>
      </c>
      <c r="F604" s="25" t="n">
        <f>249</f>
        <v>249.0</v>
      </c>
      <c r="G604" s="26" t="n">
        <f>1185880</f>
        <v>1185880.0</v>
      </c>
      <c r="H604" s="26"/>
      <c r="I604" s="26" t="str">
        <f>"－"</f>
        <v>－</v>
      </c>
      <c r="J604" s="26" t="n">
        <f>4763</f>
        <v>4763.0</v>
      </c>
      <c r="K604" s="26" t="str">
        <f>"－"</f>
        <v>－</v>
      </c>
      <c r="L604" s="4" t="s">
        <v>399</v>
      </c>
      <c r="M604" s="27" t="n">
        <f>10556</f>
        <v>10556.0</v>
      </c>
      <c r="N604" s="5" t="s">
        <v>588</v>
      </c>
      <c r="O604" s="28" t="n">
        <f>1956</f>
        <v>1956.0</v>
      </c>
      <c r="P604" s="3" t="s">
        <v>1384</v>
      </c>
      <c r="Q604" s="26"/>
      <c r="R604" s="3" t="s">
        <v>160</v>
      </c>
      <c r="S604" s="26" t="n">
        <f>2183599237</f>
        <v>2.183599237E9</v>
      </c>
      <c r="T604" s="26" t="str">
        <f>"－"</f>
        <v>－</v>
      </c>
      <c r="U604" s="5" t="s">
        <v>940</v>
      </c>
      <c r="V604" s="28" t="n">
        <f>6505750000</f>
        <v>6.50575E9</v>
      </c>
      <c r="W604" s="5" t="s">
        <v>179</v>
      </c>
      <c r="X604" s="28" t="n">
        <f>340550000</f>
        <v>3.4055E8</v>
      </c>
      <c r="Y604" s="28" t="n">
        <f>55528</f>
        <v>55528.0</v>
      </c>
      <c r="Z604" s="26" t="str">
        <f>"－"</f>
        <v>－</v>
      </c>
      <c r="AA604" s="26" t="n">
        <f>51907</f>
        <v>51907.0</v>
      </c>
      <c r="AB604" s="4" t="s">
        <v>339</v>
      </c>
      <c r="AC604" s="27" t="n">
        <f>68443</f>
        <v>68443.0</v>
      </c>
      <c r="AD604" s="5" t="s">
        <v>524</v>
      </c>
      <c r="AE604" s="28" t="n">
        <f>20211</f>
        <v>20211.0</v>
      </c>
    </row>
    <row r="605">
      <c r="A605" s="20" t="s">
        <v>1373</v>
      </c>
      <c r="B605" s="21" t="s">
        <v>1374</v>
      </c>
      <c r="C605" s="22" t="s">
        <v>1124</v>
      </c>
      <c r="D605" s="23" t="s">
        <v>1125</v>
      </c>
      <c r="E605" s="24" t="s">
        <v>183</v>
      </c>
      <c r="F605" s="25" t="n">
        <f>246</f>
        <v>246.0</v>
      </c>
      <c r="G605" s="26" t="n">
        <f>740632</f>
        <v>740632.0</v>
      </c>
      <c r="H605" s="26"/>
      <c r="I605" s="26" t="str">
        <f>"－"</f>
        <v>－</v>
      </c>
      <c r="J605" s="26" t="n">
        <f>3011</f>
        <v>3011.0</v>
      </c>
      <c r="K605" s="26" t="str">
        <f>"－"</f>
        <v>－</v>
      </c>
      <c r="L605" s="4" t="s">
        <v>185</v>
      </c>
      <c r="M605" s="27" t="n">
        <f>12635</f>
        <v>12635.0</v>
      </c>
      <c r="N605" s="5" t="s">
        <v>67</v>
      </c>
      <c r="O605" s="28" t="n">
        <f>493</f>
        <v>493.0</v>
      </c>
      <c r="P605" s="3" t="s">
        <v>1385</v>
      </c>
      <c r="Q605" s="26"/>
      <c r="R605" s="3" t="s">
        <v>160</v>
      </c>
      <c r="S605" s="26" t="n">
        <f>1416256870</f>
        <v>1.41625687E9</v>
      </c>
      <c r="T605" s="26" t="str">
        <f>"－"</f>
        <v>－</v>
      </c>
      <c r="U605" s="5" t="s">
        <v>128</v>
      </c>
      <c r="V605" s="28" t="n">
        <f>12137910000</f>
        <v>1.213791E10</v>
      </c>
      <c r="W605" s="5" t="s">
        <v>67</v>
      </c>
      <c r="X605" s="28" t="n">
        <f>156800000</f>
        <v>1.568E8</v>
      </c>
      <c r="Y605" s="28" t="n">
        <f>31602</f>
        <v>31602.0</v>
      </c>
      <c r="Z605" s="26" t="str">
        <f>"－"</f>
        <v>－</v>
      </c>
      <c r="AA605" s="26" t="n">
        <f>18887</f>
        <v>18887.0</v>
      </c>
      <c r="AB605" s="4" t="s">
        <v>191</v>
      </c>
      <c r="AC605" s="27" t="n">
        <f>49987</f>
        <v>49987.0</v>
      </c>
      <c r="AD605" s="5" t="s">
        <v>469</v>
      </c>
      <c r="AE605" s="28" t="n">
        <f>5905</f>
        <v>5905.0</v>
      </c>
    </row>
    <row r="606">
      <c r="A606" s="20" t="s">
        <v>1373</v>
      </c>
      <c r="B606" s="21" t="s">
        <v>1374</v>
      </c>
      <c r="C606" s="22" t="s">
        <v>1128</v>
      </c>
      <c r="D606" s="23" t="s">
        <v>1129</v>
      </c>
      <c r="E606" s="24" t="s">
        <v>183</v>
      </c>
      <c r="F606" s="25" t="n">
        <f>246</f>
        <v>246.0</v>
      </c>
      <c r="G606" s="26" t="n">
        <f>889730</f>
        <v>889730.0</v>
      </c>
      <c r="H606" s="26"/>
      <c r="I606" s="26" t="str">
        <f>"－"</f>
        <v>－</v>
      </c>
      <c r="J606" s="26" t="n">
        <f>3617</f>
        <v>3617.0</v>
      </c>
      <c r="K606" s="26" t="str">
        <f>"－"</f>
        <v>－</v>
      </c>
      <c r="L606" s="4" t="s">
        <v>602</v>
      </c>
      <c r="M606" s="27" t="n">
        <f>8987</f>
        <v>8987.0</v>
      </c>
      <c r="N606" s="5" t="s">
        <v>196</v>
      </c>
      <c r="O606" s="28" t="n">
        <f>729</f>
        <v>729.0</v>
      </c>
      <c r="P606" s="3" t="s">
        <v>1386</v>
      </c>
      <c r="Q606" s="26"/>
      <c r="R606" s="3" t="s">
        <v>160</v>
      </c>
      <c r="S606" s="26" t="n">
        <f>1964505935</f>
        <v>1.964505935E9</v>
      </c>
      <c r="T606" s="26" t="str">
        <f>"－"</f>
        <v>－</v>
      </c>
      <c r="U606" s="5" t="s">
        <v>191</v>
      </c>
      <c r="V606" s="28" t="n">
        <f>8712870000</f>
        <v>8.71287E9</v>
      </c>
      <c r="W606" s="5" t="s">
        <v>442</v>
      </c>
      <c r="X606" s="28" t="n">
        <f>267300000</f>
        <v>2.673E8</v>
      </c>
      <c r="Y606" s="28" t="n">
        <f>50126</f>
        <v>50126.0</v>
      </c>
      <c r="Z606" s="26" t="str">
        <f>"－"</f>
        <v>－</v>
      </c>
      <c r="AA606" s="26" t="n">
        <f>24358</f>
        <v>24358.0</v>
      </c>
      <c r="AB606" s="4" t="s">
        <v>169</v>
      </c>
      <c r="AC606" s="27" t="n">
        <f>46977</f>
        <v>46977.0</v>
      </c>
      <c r="AD606" s="5" t="s">
        <v>473</v>
      </c>
      <c r="AE606" s="28" t="n">
        <f>7752</f>
        <v>7752.0</v>
      </c>
    </row>
    <row r="607">
      <c r="A607" s="20" t="s">
        <v>1373</v>
      </c>
      <c r="B607" s="21" t="s">
        <v>1374</v>
      </c>
      <c r="C607" s="22" t="s">
        <v>1132</v>
      </c>
      <c r="D607" s="23" t="s">
        <v>1133</v>
      </c>
      <c r="E607" s="24" t="s">
        <v>183</v>
      </c>
      <c r="F607" s="25" t="n">
        <f>246</f>
        <v>246.0</v>
      </c>
      <c r="G607" s="26" t="n">
        <f>1630362</f>
        <v>1630362.0</v>
      </c>
      <c r="H607" s="26"/>
      <c r="I607" s="26" t="str">
        <f>"－"</f>
        <v>－</v>
      </c>
      <c r="J607" s="26" t="n">
        <f>6627</f>
        <v>6627.0</v>
      </c>
      <c r="K607" s="26" t="str">
        <f>"－"</f>
        <v>－</v>
      </c>
      <c r="L607" s="4" t="s">
        <v>185</v>
      </c>
      <c r="M607" s="27" t="n">
        <f>17194</f>
        <v>17194.0</v>
      </c>
      <c r="N607" s="5" t="s">
        <v>196</v>
      </c>
      <c r="O607" s="28" t="n">
        <f>1822</f>
        <v>1822.0</v>
      </c>
      <c r="P607" s="3" t="s">
        <v>1387</v>
      </c>
      <c r="Q607" s="26"/>
      <c r="R607" s="3" t="s">
        <v>160</v>
      </c>
      <c r="S607" s="26" t="n">
        <f>3380762805</f>
        <v>3.380762805E9</v>
      </c>
      <c r="T607" s="26" t="str">
        <f>"－"</f>
        <v>－</v>
      </c>
      <c r="U607" s="5" t="s">
        <v>128</v>
      </c>
      <c r="V607" s="28" t="n">
        <f>14151290000</f>
        <v>1.415129E10</v>
      </c>
      <c r="W607" s="5" t="s">
        <v>442</v>
      </c>
      <c r="X607" s="28" t="n">
        <f>668730000</f>
        <v>6.6873E8</v>
      </c>
      <c r="Y607" s="28" t="n">
        <f>81728</f>
        <v>81728.0</v>
      </c>
      <c r="Z607" s="26" t="str">
        <f>"－"</f>
        <v>－</v>
      </c>
      <c r="AA607" s="26" t="n">
        <f>43245</f>
        <v>43245.0</v>
      </c>
      <c r="AB607" s="4" t="s">
        <v>1388</v>
      </c>
      <c r="AC607" s="27" t="n">
        <f>82200</f>
        <v>82200.0</v>
      </c>
      <c r="AD607" s="5" t="s">
        <v>473</v>
      </c>
      <c r="AE607" s="28" t="n">
        <f>13914</f>
        <v>13914.0</v>
      </c>
    </row>
    <row r="608">
      <c r="A608" s="20" t="s">
        <v>1373</v>
      </c>
      <c r="B608" s="21" t="s">
        <v>1374</v>
      </c>
      <c r="C608" s="22" t="s">
        <v>1124</v>
      </c>
      <c r="D608" s="23" t="s">
        <v>1125</v>
      </c>
      <c r="E608" s="24" t="s">
        <v>187</v>
      </c>
      <c r="F608" s="25" t="n">
        <f>247</f>
        <v>247.0</v>
      </c>
      <c r="G608" s="26" t="n">
        <f>940610</f>
        <v>940610.0</v>
      </c>
      <c r="H608" s="26"/>
      <c r="I608" s="26" t="str">
        <f>"－"</f>
        <v>－</v>
      </c>
      <c r="J608" s="26" t="n">
        <f>3808</f>
        <v>3808.0</v>
      </c>
      <c r="K608" s="26" t="str">
        <f>"－"</f>
        <v>－</v>
      </c>
      <c r="L608" s="4" t="s">
        <v>926</v>
      </c>
      <c r="M608" s="27" t="n">
        <f>8945</f>
        <v>8945.0</v>
      </c>
      <c r="N608" s="5" t="s">
        <v>731</v>
      </c>
      <c r="O608" s="28" t="n">
        <f>910</f>
        <v>910.0</v>
      </c>
      <c r="P608" s="3" t="s">
        <v>1389</v>
      </c>
      <c r="Q608" s="26"/>
      <c r="R608" s="3" t="s">
        <v>160</v>
      </c>
      <c r="S608" s="26" t="n">
        <f>1585350121</f>
        <v>1.585350121E9</v>
      </c>
      <c r="T608" s="26" t="str">
        <f>"－"</f>
        <v>－</v>
      </c>
      <c r="U608" s="5" t="s">
        <v>571</v>
      </c>
      <c r="V608" s="28" t="n">
        <f>9067460000</f>
        <v>9.06746E9</v>
      </c>
      <c r="W608" s="5" t="s">
        <v>196</v>
      </c>
      <c r="X608" s="28" t="n">
        <f>301760000</f>
        <v>3.0176E8</v>
      </c>
      <c r="Y608" s="28" t="n">
        <f>14065</f>
        <v>14065.0</v>
      </c>
      <c r="Z608" s="26" t="str">
        <f>"－"</f>
        <v>－</v>
      </c>
      <c r="AA608" s="26" t="n">
        <f>39040</f>
        <v>39040.0</v>
      </c>
      <c r="AB608" s="4" t="s">
        <v>310</v>
      </c>
      <c r="AC608" s="27" t="n">
        <f>69716</f>
        <v>69716.0</v>
      </c>
      <c r="AD608" s="5" t="s">
        <v>148</v>
      </c>
      <c r="AE608" s="28" t="n">
        <f>10865</f>
        <v>10865.0</v>
      </c>
    </row>
    <row r="609">
      <c r="A609" s="20" t="s">
        <v>1373</v>
      </c>
      <c r="B609" s="21" t="s">
        <v>1374</v>
      </c>
      <c r="C609" s="22" t="s">
        <v>1128</v>
      </c>
      <c r="D609" s="23" t="s">
        <v>1129</v>
      </c>
      <c r="E609" s="24" t="s">
        <v>187</v>
      </c>
      <c r="F609" s="25" t="n">
        <f>247</f>
        <v>247.0</v>
      </c>
      <c r="G609" s="26" t="n">
        <f>911941</f>
        <v>911941.0</v>
      </c>
      <c r="H609" s="26"/>
      <c r="I609" s="26" t="str">
        <f>"－"</f>
        <v>－</v>
      </c>
      <c r="J609" s="26" t="n">
        <f>3692</f>
        <v>3692.0</v>
      </c>
      <c r="K609" s="26" t="str">
        <f>"－"</f>
        <v>－</v>
      </c>
      <c r="L609" s="4" t="s">
        <v>1224</v>
      </c>
      <c r="M609" s="27" t="n">
        <f>13026</f>
        <v>13026.0</v>
      </c>
      <c r="N609" s="5" t="s">
        <v>679</v>
      </c>
      <c r="O609" s="28" t="n">
        <f>1223</f>
        <v>1223.0</v>
      </c>
      <c r="P609" s="3" t="s">
        <v>1390</v>
      </c>
      <c r="Q609" s="26"/>
      <c r="R609" s="3" t="s">
        <v>160</v>
      </c>
      <c r="S609" s="26" t="n">
        <f>1749502996</f>
        <v>1.749502996E9</v>
      </c>
      <c r="T609" s="26" t="str">
        <f>"－"</f>
        <v>－</v>
      </c>
      <c r="U609" s="5" t="s">
        <v>161</v>
      </c>
      <c r="V609" s="28" t="n">
        <f>13698120000</f>
        <v>1.369812E10</v>
      </c>
      <c r="W609" s="5" t="s">
        <v>811</v>
      </c>
      <c r="X609" s="28" t="n">
        <f>163330000</f>
        <v>1.6333E8</v>
      </c>
      <c r="Y609" s="28" t="n">
        <f>37806</f>
        <v>37806.0</v>
      </c>
      <c r="Z609" s="26" t="str">
        <f>"－"</f>
        <v>－</v>
      </c>
      <c r="AA609" s="26" t="n">
        <f>35646</f>
        <v>35646.0</v>
      </c>
      <c r="AB609" s="4" t="s">
        <v>679</v>
      </c>
      <c r="AC609" s="27" t="n">
        <f>46932</f>
        <v>46932.0</v>
      </c>
      <c r="AD609" s="5" t="s">
        <v>469</v>
      </c>
      <c r="AE609" s="28" t="n">
        <f>12005</f>
        <v>12005.0</v>
      </c>
    </row>
    <row r="610">
      <c r="A610" s="20" t="s">
        <v>1373</v>
      </c>
      <c r="B610" s="21" t="s">
        <v>1374</v>
      </c>
      <c r="C610" s="22" t="s">
        <v>1132</v>
      </c>
      <c r="D610" s="23" t="s">
        <v>1133</v>
      </c>
      <c r="E610" s="24" t="s">
        <v>187</v>
      </c>
      <c r="F610" s="25" t="n">
        <f>247</f>
        <v>247.0</v>
      </c>
      <c r="G610" s="26" t="n">
        <f>1852551</f>
        <v>1852551.0</v>
      </c>
      <c r="H610" s="26"/>
      <c r="I610" s="26" t="str">
        <f>"－"</f>
        <v>－</v>
      </c>
      <c r="J610" s="26" t="n">
        <f>7500</f>
        <v>7500.0</v>
      </c>
      <c r="K610" s="26" t="str">
        <f>"－"</f>
        <v>－</v>
      </c>
      <c r="L610" s="4" t="s">
        <v>726</v>
      </c>
      <c r="M610" s="27" t="n">
        <f>20351</f>
        <v>20351.0</v>
      </c>
      <c r="N610" s="5" t="s">
        <v>868</v>
      </c>
      <c r="O610" s="28" t="n">
        <f>2859</f>
        <v>2859.0</v>
      </c>
      <c r="P610" s="3" t="s">
        <v>1391</v>
      </c>
      <c r="Q610" s="26"/>
      <c r="R610" s="3" t="s">
        <v>160</v>
      </c>
      <c r="S610" s="26" t="n">
        <f>3334853117</f>
        <v>3.334853117E9</v>
      </c>
      <c r="T610" s="26" t="str">
        <f>"－"</f>
        <v>－</v>
      </c>
      <c r="U610" s="5" t="s">
        <v>161</v>
      </c>
      <c r="V610" s="28" t="n">
        <f>15415240000</f>
        <v>1.541524E10</v>
      </c>
      <c r="W610" s="5" t="s">
        <v>294</v>
      </c>
      <c r="X610" s="28" t="n">
        <f>903820000</f>
        <v>9.0382E8</v>
      </c>
      <c r="Y610" s="28" t="n">
        <f>51871</f>
        <v>51871.0</v>
      </c>
      <c r="Z610" s="26" t="str">
        <f>"－"</f>
        <v>－</v>
      </c>
      <c r="AA610" s="26" t="n">
        <f>74686</f>
        <v>74686.0</v>
      </c>
      <c r="AB610" s="4" t="s">
        <v>1224</v>
      </c>
      <c r="AC610" s="27" t="n">
        <f>106120</f>
        <v>106120.0</v>
      </c>
      <c r="AD610" s="5" t="s">
        <v>148</v>
      </c>
      <c r="AE610" s="28" t="n">
        <f>25602</f>
        <v>25602.0</v>
      </c>
    </row>
    <row r="611">
      <c r="A611" s="20" t="s">
        <v>1373</v>
      </c>
      <c r="B611" s="21" t="s">
        <v>1374</v>
      </c>
      <c r="C611" s="22" t="s">
        <v>1124</v>
      </c>
      <c r="D611" s="23" t="s">
        <v>1125</v>
      </c>
      <c r="E611" s="24" t="s">
        <v>190</v>
      </c>
      <c r="F611" s="25" t="n">
        <f>247</f>
        <v>247.0</v>
      </c>
      <c r="G611" s="26" t="n">
        <f>965662</f>
        <v>965662.0</v>
      </c>
      <c r="H611" s="26"/>
      <c r="I611" s="26" t="str">
        <f>"－"</f>
        <v>－</v>
      </c>
      <c r="J611" s="26" t="n">
        <f>3910</f>
        <v>3910.0</v>
      </c>
      <c r="K611" s="26" t="str">
        <f>"－"</f>
        <v>－</v>
      </c>
      <c r="L611" s="4" t="s">
        <v>668</v>
      </c>
      <c r="M611" s="27" t="n">
        <f>13542</f>
        <v>13542.0</v>
      </c>
      <c r="N611" s="5" t="s">
        <v>274</v>
      </c>
      <c r="O611" s="28" t="n">
        <f>538</f>
        <v>538.0</v>
      </c>
      <c r="P611" s="3" t="s">
        <v>1392</v>
      </c>
      <c r="Q611" s="26"/>
      <c r="R611" s="3" t="s">
        <v>160</v>
      </c>
      <c r="S611" s="26" t="n">
        <f>1526633644</f>
        <v>1.526633644E9</v>
      </c>
      <c r="T611" s="26" t="str">
        <f>"－"</f>
        <v>－</v>
      </c>
      <c r="U611" s="5" t="s">
        <v>668</v>
      </c>
      <c r="V611" s="28" t="n">
        <f>9574990000</f>
        <v>9.57499E9</v>
      </c>
      <c r="W611" s="5" t="s">
        <v>1307</v>
      </c>
      <c r="X611" s="28" t="n">
        <f>292350000</f>
        <v>2.9235E8</v>
      </c>
      <c r="Y611" s="28" t="n">
        <f>22063</f>
        <v>22063.0</v>
      </c>
      <c r="Z611" s="26" t="str">
        <f>"－"</f>
        <v>－</v>
      </c>
      <c r="AA611" s="26" t="n">
        <f>25819</f>
        <v>25819.0</v>
      </c>
      <c r="AB611" s="4" t="s">
        <v>727</v>
      </c>
      <c r="AC611" s="27" t="n">
        <f>73290</f>
        <v>73290.0</v>
      </c>
      <c r="AD611" s="5" t="s">
        <v>524</v>
      </c>
      <c r="AE611" s="28" t="n">
        <f>10786</f>
        <v>10786.0</v>
      </c>
    </row>
    <row r="612">
      <c r="A612" s="20" t="s">
        <v>1373</v>
      </c>
      <c r="B612" s="21" t="s">
        <v>1374</v>
      </c>
      <c r="C612" s="22" t="s">
        <v>1128</v>
      </c>
      <c r="D612" s="23" t="s">
        <v>1129</v>
      </c>
      <c r="E612" s="24" t="s">
        <v>190</v>
      </c>
      <c r="F612" s="25" t="n">
        <f>247</f>
        <v>247.0</v>
      </c>
      <c r="G612" s="26" t="n">
        <f>824704</f>
        <v>824704.0</v>
      </c>
      <c r="H612" s="26"/>
      <c r="I612" s="26" t="str">
        <f>"－"</f>
        <v>－</v>
      </c>
      <c r="J612" s="26" t="n">
        <f>3339</f>
        <v>3339.0</v>
      </c>
      <c r="K612" s="26" t="str">
        <f>"－"</f>
        <v>－</v>
      </c>
      <c r="L612" s="4" t="s">
        <v>901</v>
      </c>
      <c r="M612" s="27" t="n">
        <f>8975</f>
        <v>8975.0</v>
      </c>
      <c r="N612" s="5" t="s">
        <v>165</v>
      </c>
      <c r="O612" s="28" t="n">
        <f>1005</f>
        <v>1005.0</v>
      </c>
      <c r="P612" s="3" t="s">
        <v>1393</v>
      </c>
      <c r="Q612" s="26"/>
      <c r="R612" s="3" t="s">
        <v>160</v>
      </c>
      <c r="S612" s="26" t="n">
        <f>1908253644</f>
        <v>1.908253644E9</v>
      </c>
      <c r="T612" s="26" t="str">
        <f>"－"</f>
        <v>－</v>
      </c>
      <c r="U612" s="5" t="s">
        <v>399</v>
      </c>
      <c r="V612" s="28" t="n">
        <f>9887580000</f>
        <v>9.88758E9</v>
      </c>
      <c r="W612" s="5" t="s">
        <v>1146</v>
      </c>
      <c r="X612" s="28" t="n">
        <f>272490000</f>
        <v>2.7249E8</v>
      </c>
      <c r="Y612" s="28" t="n">
        <f>61525</f>
        <v>61525.0</v>
      </c>
      <c r="Z612" s="26" t="str">
        <f>"－"</f>
        <v>－</v>
      </c>
      <c r="AA612" s="26" t="n">
        <f>20044</f>
        <v>20044.0</v>
      </c>
      <c r="AB612" s="4" t="s">
        <v>1394</v>
      </c>
      <c r="AC612" s="27" t="n">
        <f>46117</f>
        <v>46117.0</v>
      </c>
      <c r="AD612" s="5" t="s">
        <v>469</v>
      </c>
      <c r="AE612" s="28" t="n">
        <f>10802</f>
        <v>10802.0</v>
      </c>
    </row>
    <row r="613">
      <c r="A613" s="20" t="s">
        <v>1373</v>
      </c>
      <c r="B613" s="21" t="s">
        <v>1374</v>
      </c>
      <c r="C613" s="22" t="s">
        <v>1132</v>
      </c>
      <c r="D613" s="23" t="s">
        <v>1133</v>
      </c>
      <c r="E613" s="24" t="s">
        <v>190</v>
      </c>
      <c r="F613" s="25" t="n">
        <f>247</f>
        <v>247.0</v>
      </c>
      <c r="G613" s="26" t="n">
        <f>1790366</f>
        <v>1790366.0</v>
      </c>
      <c r="H613" s="26"/>
      <c r="I613" s="26" t="str">
        <f>"－"</f>
        <v>－</v>
      </c>
      <c r="J613" s="26" t="n">
        <f>7248</f>
        <v>7248.0</v>
      </c>
      <c r="K613" s="26" t="str">
        <f>"－"</f>
        <v>－</v>
      </c>
      <c r="L613" s="4" t="s">
        <v>668</v>
      </c>
      <c r="M613" s="27" t="n">
        <f>17706</f>
        <v>17706.0</v>
      </c>
      <c r="N613" s="5" t="s">
        <v>274</v>
      </c>
      <c r="O613" s="28" t="n">
        <f>1875</f>
        <v>1875.0</v>
      </c>
      <c r="P613" s="3" t="s">
        <v>1395</v>
      </c>
      <c r="Q613" s="26"/>
      <c r="R613" s="3" t="s">
        <v>160</v>
      </c>
      <c r="S613" s="26" t="n">
        <f>3434887287</f>
        <v>3.434887287E9</v>
      </c>
      <c r="T613" s="26" t="str">
        <f>"－"</f>
        <v>－</v>
      </c>
      <c r="U613" s="5" t="s">
        <v>901</v>
      </c>
      <c r="V613" s="28" t="n">
        <f>12406810000</f>
        <v>1.240681E10</v>
      </c>
      <c r="W613" s="5" t="s">
        <v>537</v>
      </c>
      <c r="X613" s="28" t="n">
        <f>949280000</f>
        <v>9.4928E8</v>
      </c>
      <c r="Y613" s="28" t="n">
        <f>83588</f>
        <v>83588.0</v>
      </c>
      <c r="Z613" s="26" t="str">
        <f>"－"</f>
        <v>－</v>
      </c>
      <c r="AA613" s="26" t="n">
        <f>45863</f>
        <v>45863.0</v>
      </c>
      <c r="AB613" s="4" t="s">
        <v>820</v>
      </c>
      <c r="AC613" s="27" t="n">
        <f>110187</f>
        <v>110187.0</v>
      </c>
      <c r="AD613" s="5" t="s">
        <v>469</v>
      </c>
      <c r="AE613" s="28" t="n">
        <f>22509</f>
        <v>22509.0</v>
      </c>
    </row>
    <row r="614">
      <c r="A614" s="20" t="s">
        <v>1373</v>
      </c>
      <c r="B614" s="21" t="s">
        <v>1374</v>
      </c>
      <c r="C614" s="22" t="s">
        <v>1124</v>
      </c>
      <c r="D614" s="23" t="s">
        <v>1125</v>
      </c>
      <c r="E614" s="24" t="s">
        <v>194</v>
      </c>
      <c r="F614" s="25" t="n">
        <f>246</f>
        <v>246.0</v>
      </c>
      <c r="G614" s="26" t="n">
        <f>1073348</f>
        <v>1073348.0</v>
      </c>
      <c r="H614" s="26"/>
      <c r="I614" s="26" t="str">
        <f>"－"</f>
        <v>－</v>
      </c>
      <c r="J614" s="26" t="n">
        <f>4363</f>
        <v>4363.0</v>
      </c>
      <c r="K614" s="26" t="str">
        <f>"－"</f>
        <v>－</v>
      </c>
      <c r="L614" s="4" t="s">
        <v>271</v>
      </c>
      <c r="M614" s="27" t="n">
        <f>13037</f>
        <v>13037.0</v>
      </c>
      <c r="N614" s="5" t="s">
        <v>53</v>
      </c>
      <c r="O614" s="28" t="n">
        <f>1141</f>
        <v>1141.0</v>
      </c>
      <c r="P614" s="3" t="s">
        <v>1396</v>
      </c>
      <c r="Q614" s="26"/>
      <c r="R614" s="3" t="s">
        <v>160</v>
      </c>
      <c r="S614" s="26" t="n">
        <f>1282823902</f>
        <v>1.282823902E9</v>
      </c>
      <c r="T614" s="26" t="str">
        <f>"－"</f>
        <v>－</v>
      </c>
      <c r="U614" s="5" t="s">
        <v>917</v>
      </c>
      <c r="V614" s="28" t="n">
        <f>5547240000</f>
        <v>5.54724E9</v>
      </c>
      <c r="W614" s="5" t="s">
        <v>902</v>
      </c>
      <c r="X614" s="28" t="n">
        <f>346560000</f>
        <v>3.4656E8</v>
      </c>
      <c r="Y614" s="28" t="n">
        <f>396</f>
        <v>396.0</v>
      </c>
      <c r="Z614" s="26" t="str">
        <f>"－"</f>
        <v>－</v>
      </c>
      <c r="AA614" s="26" t="n">
        <f>27139</f>
        <v>27139.0</v>
      </c>
      <c r="AB614" s="4" t="s">
        <v>1234</v>
      </c>
      <c r="AC614" s="27" t="n">
        <f>75718</f>
        <v>75718.0</v>
      </c>
      <c r="AD614" s="5" t="s">
        <v>324</v>
      </c>
      <c r="AE614" s="28" t="n">
        <f>10242</f>
        <v>10242.0</v>
      </c>
    </row>
    <row r="615">
      <c r="A615" s="20" t="s">
        <v>1373</v>
      </c>
      <c r="B615" s="21" t="s">
        <v>1374</v>
      </c>
      <c r="C615" s="22" t="s">
        <v>1128</v>
      </c>
      <c r="D615" s="23" t="s">
        <v>1129</v>
      </c>
      <c r="E615" s="24" t="s">
        <v>194</v>
      </c>
      <c r="F615" s="25" t="n">
        <f>246</f>
        <v>246.0</v>
      </c>
      <c r="G615" s="26" t="n">
        <f>895740</f>
        <v>895740.0</v>
      </c>
      <c r="H615" s="26"/>
      <c r="I615" s="26" t="str">
        <f>"－"</f>
        <v>－</v>
      </c>
      <c r="J615" s="26" t="n">
        <f>3641</f>
        <v>3641.0</v>
      </c>
      <c r="K615" s="26" t="str">
        <f>"－"</f>
        <v>－</v>
      </c>
      <c r="L615" s="4" t="s">
        <v>772</v>
      </c>
      <c r="M615" s="27" t="n">
        <f>11325</f>
        <v>11325.0</v>
      </c>
      <c r="N615" s="5" t="s">
        <v>53</v>
      </c>
      <c r="O615" s="28" t="n">
        <f>656</f>
        <v>656.0</v>
      </c>
      <c r="P615" s="3" t="s">
        <v>1397</v>
      </c>
      <c r="Q615" s="26"/>
      <c r="R615" s="3" t="s">
        <v>160</v>
      </c>
      <c r="S615" s="26" t="n">
        <f>1744064634</f>
        <v>1.744064634E9</v>
      </c>
      <c r="T615" s="26" t="str">
        <f>"－"</f>
        <v>－</v>
      </c>
      <c r="U615" s="5" t="s">
        <v>886</v>
      </c>
      <c r="V615" s="28" t="n">
        <f>8013270000</f>
        <v>8.01327E9</v>
      </c>
      <c r="W615" s="5" t="s">
        <v>1398</v>
      </c>
      <c r="X615" s="28" t="n">
        <f>201320000</f>
        <v>2.0132E8</v>
      </c>
      <c r="Y615" s="28" t="n">
        <f>69998</f>
        <v>69998.0</v>
      </c>
      <c r="Z615" s="26" t="str">
        <f>"－"</f>
        <v>－</v>
      </c>
      <c r="AA615" s="26" t="n">
        <f>21719</f>
        <v>21719.0</v>
      </c>
      <c r="AB615" s="4" t="s">
        <v>929</v>
      </c>
      <c r="AC615" s="27" t="n">
        <f>49501</f>
        <v>49501.0</v>
      </c>
      <c r="AD615" s="5" t="s">
        <v>324</v>
      </c>
      <c r="AE615" s="28" t="n">
        <f>10633</f>
        <v>10633.0</v>
      </c>
    </row>
    <row r="616">
      <c r="A616" s="20" t="s">
        <v>1373</v>
      </c>
      <c r="B616" s="21" t="s">
        <v>1374</v>
      </c>
      <c r="C616" s="22" t="s">
        <v>1132</v>
      </c>
      <c r="D616" s="23" t="s">
        <v>1133</v>
      </c>
      <c r="E616" s="24" t="s">
        <v>194</v>
      </c>
      <c r="F616" s="25" t="n">
        <f>246</f>
        <v>246.0</v>
      </c>
      <c r="G616" s="26" t="n">
        <f>1969088</f>
        <v>1969088.0</v>
      </c>
      <c r="H616" s="26"/>
      <c r="I616" s="26" t="str">
        <f>"－"</f>
        <v>－</v>
      </c>
      <c r="J616" s="26" t="n">
        <f>8004</f>
        <v>8004.0</v>
      </c>
      <c r="K616" s="26" t="str">
        <f>"－"</f>
        <v>－</v>
      </c>
      <c r="L616" s="4" t="s">
        <v>271</v>
      </c>
      <c r="M616" s="27" t="n">
        <f>23879</f>
        <v>23879.0</v>
      </c>
      <c r="N616" s="5" t="s">
        <v>53</v>
      </c>
      <c r="O616" s="28" t="n">
        <f>1797</f>
        <v>1797.0</v>
      </c>
      <c r="P616" s="3" t="s">
        <v>1399</v>
      </c>
      <c r="Q616" s="26"/>
      <c r="R616" s="3" t="s">
        <v>160</v>
      </c>
      <c r="S616" s="26" t="n">
        <f>3026888537</f>
        <v>3.026888537E9</v>
      </c>
      <c r="T616" s="26" t="str">
        <f>"－"</f>
        <v>－</v>
      </c>
      <c r="U616" s="5" t="s">
        <v>886</v>
      </c>
      <c r="V616" s="28" t="n">
        <f>9306300000</f>
        <v>9.3063E9</v>
      </c>
      <c r="W616" s="5" t="s">
        <v>53</v>
      </c>
      <c r="X616" s="28" t="n">
        <f>793460000</f>
        <v>7.9346E8</v>
      </c>
      <c r="Y616" s="28" t="n">
        <f>70394</f>
        <v>70394.0</v>
      </c>
      <c r="Z616" s="26" t="str">
        <f>"－"</f>
        <v>－</v>
      </c>
      <c r="AA616" s="26" t="n">
        <f>48858</f>
        <v>48858.0</v>
      </c>
      <c r="AB616" s="4" t="s">
        <v>1388</v>
      </c>
      <c r="AC616" s="27" t="n">
        <f>120738</f>
        <v>120738.0</v>
      </c>
      <c r="AD616" s="5" t="s">
        <v>324</v>
      </c>
      <c r="AE616" s="28" t="n">
        <f>20875</f>
        <v>20875.0</v>
      </c>
    </row>
    <row r="617">
      <c r="A617" s="20" t="s">
        <v>1373</v>
      </c>
      <c r="B617" s="21" t="s">
        <v>1374</v>
      </c>
      <c r="C617" s="22" t="s">
        <v>1124</v>
      </c>
      <c r="D617" s="23" t="s">
        <v>1125</v>
      </c>
      <c r="E617" s="24" t="s">
        <v>199</v>
      </c>
      <c r="F617" s="25" t="n">
        <f>247</f>
        <v>247.0</v>
      </c>
      <c r="G617" s="26" t="n">
        <f>1176890</f>
        <v>1176890.0</v>
      </c>
      <c r="H617" s="26"/>
      <c r="I617" s="26" t="str">
        <f>"－"</f>
        <v>－</v>
      </c>
      <c r="J617" s="26" t="n">
        <f>4765</f>
        <v>4765.0</v>
      </c>
      <c r="K617" s="26" t="str">
        <f>"－"</f>
        <v>－</v>
      </c>
      <c r="L617" s="4" t="s">
        <v>1400</v>
      </c>
      <c r="M617" s="27" t="n">
        <f>12930</f>
        <v>12930.0</v>
      </c>
      <c r="N617" s="5" t="s">
        <v>203</v>
      </c>
      <c r="O617" s="28" t="n">
        <f>1244</f>
        <v>1244.0</v>
      </c>
      <c r="P617" s="3" t="s">
        <v>1401</v>
      </c>
      <c r="Q617" s="26"/>
      <c r="R617" s="3" t="s">
        <v>160</v>
      </c>
      <c r="S617" s="26" t="n">
        <f>1363300040</f>
        <v>1.36330004E9</v>
      </c>
      <c r="T617" s="26" t="str">
        <f>"－"</f>
        <v>－</v>
      </c>
      <c r="U617" s="5" t="s">
        <v>494</v>
      </c>
      <c r="V617" s="28" t="n">
        <f>10097470000</f>
        <v>1.009747E10</v>
      </c>
      <c r="W617" s="5" t="s">
        <v>1402</v>
      </c>
      <c r="X617" s="28" t="n">
        <f>192210000</f>
        <v>1.9221E8</v>
      </c>
      <c r="Y617" s="28" t="n">
        <f>29334</f>
        <v>29334.0</v>
      </c>
      <c r="Z617" s="26" t="str">
        <f>"－"</f>
        <v>－</v>
      </c>
      <c r="AA617" s="26" t="n">
        <f>38160</f>
        <v>38160.0</v>
      </c>
      <c r="AB617" s="4" t="s">
        <v>1037</v>
      </c>
      <c r="AC617" s="27" t="n">
        <f>71168</f>
        <v>71168.0</v>
      </c>
      <c r="AD617" s="5" t="s">
        <v>469</v>
      </c>
      <c r="AE617" s="28" t="n">
        <f>7047</f>
        <v>7047.0</v>
      </c>
    </row>
    <row r="618">
      <c r="A618" s="20" t="s">
        <v>1373</v>
      </c>
      <c r="B618" s="21" t="s">
        <v>1374</v>
      </c>
      <c r="C618" s="22" t="s">
        <v>1128</v>
      </c>
      <c r="D618" s="23" t="s">
        <v>1129</v>
      </c>
      <c r="E618" s="24" t="s">
        <v>199</v>
      </c>
      <c r="F618" s="25" t="n">
        <f>247</f>
        <v>247.0</v>
      </c>
      <c r="G618" s="26" t="n">
        <f>876208</f>
        <v>876208.0</v>
      </c>
      <c r="H618" s="26"/>
      <c r="I618" s="26" t="str">
        <f>"－"</f>
        <v>－</v>
      </c>
      <c r="J618" s="26" t="n">
        <f>3547</f>
        <v>3547.0</v>
      </c>
      <c r="K618" s="26" t="str">
        <f>"－"</f>
        <v>－</v>
      </c>
      <c r="L618" s="4" t="s">
        <v>1239</v>
      </c>
      <c r="M618" s="27" t="n">
        <f>10780</f>
        <v>10780.0</v>
      </c>
      <c r="N618" s="5" t="s">
        <v>75</v>
      </c>
      <c r="O618" s="28" t="n">
        <f>715</f>
        <v>715.0</v>
      </c>
      <c r="P618" s="3" t="s">
        <v>1403</v>
      </c>
      <c r="Q618" s="26"/>
      <c r="R618" s="3" t="s">
        <v>160</v>
      </c>
      <c r="S618" s="26" t="n">
        <f>1329246842</f>
        <v>1.329246842E9</v>
      </c>
      <c r="T618" s="26" t="str">
        <f>"－"</f>
        <v>－</v>
      </c>
      <c r="U618" s="5" t="s">
        <v>1239</v>
      </c>
      <c r="V618" s="28" t="n">
        <f>6239810000</f>
        <v>6.23981E9</v>
      </c>
      <c r="W618" s="5" t="s">
        <v>637</v>
      </c>
      <c r="X618" s="28" t="n">
        <f>220310000</f>
        <v>2.2031E8</v>
      </c>
      <c r="Y618" s="28" t="n">
        <f>56506</f>
        <v>56506.0</v>
      </c>
      <c r="Z618" s="26" t="str">
        <f>"－"</f>
        <v>－</v>
      </c>
      <c r="AA618" s="26" t="n">
        <f>26988</f>
        <v>26988.0</v>
      </c>
      <c r="AB618" s="4" t="s">
        <v>152</v>
      </c>
      <c r="AC618" s="27" t="n">
        <f>52037</f>
        <v>52037.0</v>
      </c>
      <c r="AD618" s="5" t="s">
        <v>469</v>
      </c>
      <c r="AE618" s="28" t="n">
        <f>7724</f>
        <v>7724.0</v>
      </c>
    </row>
    <row r="619">
      <c r="A619" s="20" t="s">
        <v>1373</v>
      </c>
      <c r="B619" s="21" t="s">
        <v>1374</v>
      </c>
      <c r="C619" s="22" t="s">
        <v>1132</v>
      </c>
      <c r="D619" s="23" t="s">
        <v>1133</v>
      </c>
      <c r="E619" s="24" t="s">
        <v>199</v>
      </c>
      <c r="F619" s="25" t="n">
        <f>247</f>
        <v>247.0</v>
      </c>
      <c r="G619" s="26" t="n">
        <f>2053098</f>
        <v>2053098.0</v>
      </c>
      <c r="H619" s="26"/>
      <c r="I619" s="26" t="str">
        <f>"－"</f>
        <v>－</v>
      </c>
      <c r="J619" s="26" t="n">
        <f>8312</f>
        <v>8312.0</v>
      </c>
      <c r="K619" s="26" t="str">
        <f>"－"</f>
        <v>－</v>
      </c>
      <c r="L619" s="4" t="s">
        <v>1239</v>
      </c>
      <c r="M619" s="27" t="n">
        <f>20544</f>
        <v>20544.0</v>
      </c>
      <c r="N619" s="5" t="s">
        <v>203</v>
      </c>
      <c r="O619" s="28" t="n">
        <f>2542</f>
        <v>2542.0</v>
      </c>
      <c r="P619" s="3" t="s">
        <v>1404</v>
      </c>
      <c r="Q619" s="26"/>
      <c r="R619" s="3" t="s">
        <v>160</v>
      </c>
      <c r="S619" s="26" t="n">
        <f>2692546883</f>
        <v>2.692546883E9</v>
      </c>
      <c r="T619" s="26" t="str">
        <f>"－"</f>
        <v>－</v>
      </c>
      <c r="U619" s="5" t="s">
        <v>494</v>
      </c>
      <c r="V619" s="28" t="n">
        <f>12481280000</f>
        <v>1.248128E10</v>
      </c>
      <c r="W619" s="5" t="s">
        <v>203</v>
      </c>
      <c r="X619" s="28" t="n">
        <f>609470000</f>
        <v>6.0947E8</v>
      </c>
      <c r="Y619" s="28" t="n">
        <f>85840</f>
        <v>85840.0</v>
      </c>
      <c r="Z619" s="26" t="str">
        <f>"－"</f>
        <v>－</v>
      </c>
      <c r="AA619" s="26" t="n">
        <f>65148</f>
        <v>65148.0</v>
      </c>
      <c r="AB619" s="4" t="s">
        <v>1115</v>
      </c>
      <c r="AC619" s="27" t="n">
        <f>113372</f>
        <v>113372.0</v>
      </c>
      <c r="AD619" s="5" t="s">
        <v>469</v>
      </c>
      <c r="AE619" s="28" t="n">
        <f>14771</f>
        <v>14771.0</v>
      </c>
    </row>
    <row r="620">
      <c r="A620" s="20" t="s">
        <v>1373</v>
      </c>
      <c r="B620" s="21" t="s">
        <v>1374</v>
      </c>
      <c r="C620" s="22" t="s">
        <v>1124</v>
      </c>
      <c r="D620" s="23" t="s">
        <v>1125</v>
      </c>
      <c r="E620" s="24" t="s">
        <v>205</v>
      </c>
      <c r="F620" s="25" t="n">
        <f>247</f>
        <v>247.0</v>
      </c>
      <c r="G620" s="26" t="n">
        <f>1082634</f>
        <v>1082634.0</v>
      </c>
      <c r="H620" s="26"/>
      <c r="I620" s="26" t="str">
        <f>"－"</f>
        <v>－</v>
      </c>
      <c r="J620" s="26" t="n">
        <f>4383</f>
        <v>4383.0</v>
      </c>
      <c r="K620" s="26" t="str">
        <f>"－"</f>
        <v>－</v>
      </c>
      <c r="L620" s="4" t="s">
        <v>1388</v>
      </c>
      <c r="M620" s="27" t="n">
        <f>13490</f>
        <v>13490.0</v>
      </c>
      <c r="N620" s="5" t="s">
        <v>1220</v>
      </c>
      <c r="O620" s="28" t="n">
        <f>1002</f>
        <v>1002.0</v>
      </c>
      <c r="P620" s="3" t="s">
        <v>1405</v>
      </c>
      <c r="Q620" s="26"/>
      <c r="R620" s="3" t="s">
        <v>160</v>
      </c>
      <c r="S620" s="26" t="n">
        <f>1776402308</f>
        <v>1.776402308E9</v>
      </c>
      <c r="T620" s="26" t="str">
        <f>"－"</f>
        <v>－</v>
      </c>
      <c r="U620" s="5" t="s">
        <v>82</v>
      </c>
      <c r="V620" s="28" t="n">
        <f>10602190000</f>
        <v>1.060219E10</v>
      </c>
      <c r="W620" s="5" t="s">
        <v>1220</v>
      </c>
      <c r="X620" s="28" t="n">
        <f>194600000</f>
        <v>1.946E8</v>
      </c>
      <c r="Y620" s="28" t="n">
        <f>58951</f>
        <v>58951.0</v>
      </c>
      <c r="Z620" s="26" t="str">
        <f>"－"</f>
        <v>－</v>
      </c>
      <c r="AA620" s="26" t="n">
        <f>28299</f>
        <v>28299.0</v>
      </c>
      <c r="AB620" s="4" t="s">
        <v>679</v>
      </c>
      <c r="AC620" s="27" t="n">
        <f>69168</f>
        <v>69168.0</v>
      </c>
      <c r="AD620" s="5" t="s">
        <v>473</v>
      </c>
      <c r="AE620" s="28" t="n">
        <f>6253</f>
        <v>6253.0</v>
      </c>
    </row>
    <row r="621">
      <c r="A621" s="20" t="s">
        <v>1373</v>
      </c>
      <c r="B621" s="21" t="s">
        <v>1374</v>
      </c>
      <c r="C621" s="22" t="s">
        <v>1128</v>
      </c>
      <c r="D621" s="23" t="s">
        <v>1129</v>
      </c>
      <c r="E621" s="24" t="s">
        <v>205</v>
      </c>
      <c r="F621" s="25" t="n">
        <f>247</f>
        <v>247.0</v>
      </c>
      <c r="G621" s="26" t="n">
        <f>722633</f>
        <v>722633.0</v>
      </c>
      <c r="H621" s="26"/>
      <c r="I621" s="26" t="str">
        <f>"－"</f>
        <v>－</v>
      </c>
      <c r="J621" s="26" t="n">
        <f>2926</f>
        <v>2926.0</v>
      </c>
      <c r="K621" s="26" t="str">
        <f>"－"</f>
        <v>－</v>
      </c>
      <c r="L621" s="4" t="s">
        <v>462</v>
      </c>
      <c r="M621" s="27" t="n">
        <f>8805</f>
        <v>8805.0</v>
      </c>
      <c r="N621" s="5" t="s">
        <v>55</v>
      </c>
      <c r="O621" s="28" t="n">
        <f>920</f>
        <v>920.0</v>
      </c>
      <c r="P621" s="3" t="s">
        <v>1406</v>
      </c>
      <c r="Q621" s="26"/>
      <c r="R621" s="3" t="s">
        <v>160</v>
      </c>
      <c r="S621" s="26" t="n">
        <f>1185374818</f>
        <v>1.185374818E9</v>
      </c>
      <c r="T621" s="26" t="str">
        <f>"－"</f>
        <v>－</v>
      </c>
      <c r="U621" s="5" t="s">
        <v>226</v>
      </c>
      <c r="V621" s="28" t="n">
        <f>7131360000</f>
        <v>7.13136E9</v>
      </c>
      <c r="W621" s="5" t="s">
        <v>926</v>
      </c>
      <c r="X621" s="28" t="n">
        <f>285080000</f>
        <v>2.8508E8</v>
      </c>
      <c r="Y621" s="28" t="n">
        <f>72571</f>
        <v>72571.0</v>
      </c>
      <c r="Z621" s="26" t="str">
        <f>"－"</f>
        <v>－</v>
      </c>
      <c r="AA621" s="26" t="n">
        <f>14265</f>
        <v>14265.0</v>
      </c>
      <c r="AB621" s="4" t="s">
        <v>957</v>
      </c>
      <c r="AC621" s="27" t="n">
        <f>37230</f>
        <v>37230.0</v>
      </c>
      <c r="AD621" s="5" t="s">
        <v>473</v>
      </c>
      <c r="AE621" s="28" t="n">
        <f>3678</f>
        <v>3678.0</v>
      </c>
    </row>
    <row r="622">
      <c r="A622" s="20" t="s">
        <v>1373</v>
      </c>
      <c r="B622" s="21" t="s">
        <v>1374</v>
      </c>
      <c r="C622" s="22" t="s">
        <v>1132</v>
      </c>
      <c r="D622" s="23" t="s">
        <v>1133</v>
      </c>
      <c r="E622" s="24" t="s">
        <v>205</v>
      </c>
      <c r="F622" s="25" t="n">
        <f>247</f>
        <v>247.0</v>
      </c>
      <c r="G622" s="26" t="n">
        <f>1805267</f>
        <v>1805267.0</v>
      </c>
      <c r="H622" s="26"/>
      <c r="I622" s="26" t="str">
        <f>"－"</f>
        <v>－</v>
      </c>
      <c r="J622" s="26" t="n">
        <f>7309</f>
        <v>7309.0</v>
      </c>
      <c r="K622" s="26" t="str">
        <f>"－"</f>
        <v>－</v>
      </c>
      <c r="L622" s="4" t="s">
        <v>1388</v>
      </c>
      <c r="M622" s="27" t="n">
        <f>17265</f>
        <v>17265.0</v>
      </c>
      <c r="N622" s="5" t="s">
        <v>1220</v>
      </c>
      <c r="O622" s="28" t="n">
        <f>1928</f>
        <v>1928.0</v>
      </c>
      <c r="P622" s="3" t="s">
        <v>1407</v>
      </c>
      <c r="Q622" s="26"/>
      <c r="R622" s="3" t="s">
        <v>160</v>
      </c>
      <c r="S622" s="26" t="n">
        <f>2961777126</f>
        <v>2.961777126E9</v>
      </c>
      <c r="T622" s="26" t="str">
        <f>"－"</f>
        <v>－</v>
      </c>
      <c r="U622" s="5" t="s">
        <v>82</v>
      </c>
      <c r="V622" s="28" t="n">
        <f>12446570000</f>
        <v>1.244657E10</v>
      </c>
      <c r="W622" s="5" t="s">
        <v>926</v>
      </c>
      <c r="X622" s="28" t="n">
        <f>611870000</f>
        <v>6.1187E8</v>
      </c>
      <c r="Y622" s="28" t="n">
        <f>131522</f>
        <v>131522.0</v>
      </c>
      <c r="Z622" s="26" t="str">
        <f>"－"</f>
        <v>－</v>
      </c>
      <c r="AA622" s="26" t="n">
        <f>42564</f>
        <v>42564.0</v>
      </c>
      <c r="AB622" s="4" t="s">
        <v>967</v>
      </c>
      <c r="AC622" s="27" t="n">
        <f>99477</f>
        <v>99477.0</v>
      </c>
      <c r="AD622" s="5" t="s">
        <v>473</v>
      </c>
      <c r="AE622" s="28" t="n">
        <f>9931</f>
        <v>9931.0</v>
      </c>
    </row>
    <row r="623">
      <c r="A623" s="20" t="s">
        <v>1373</v>
      </c>
      <c r="B623" s="21" t="s">
        <v>1374</v>
      </c>
      <c r="C623" s="22" t="s">
        <v>1124</v>
      </c>
      <c r="D623" s="23" t="s">
        <v>1125</v>
      </c>
      <c r="E623" s="24" t="s">
        <v>210</v>
      </c>
      <c r="F623" s="25" t="n">
        <f>246</f>
        <v>246.0</v>
      </c>
      <c r="G623" s="26" t="n">
        <f>612322</f>
        <v>612322.0</v>
      </c>
      <c r="H623" s="26"/>
      <c r="I623" s="26" t="str">
        <f>"－"</f>
        <v>－</v>
      </c>
      <c r="J623" s="26" t="n">
        <f>2489</f>
        <v>2489.0</v>
      </c>
      <c r="K623" s="26" t="str">
        <f>"－"</f>
        <v>－</v>
      </c>
      <c r="L623" s="4" t="s">
        <v>733</v>
      </c>
      <c r="M623" s="27" t="n">
        <f>9234</f>
        <v>9234.0</v>
      </c>
      <c r="N623" s="5" t="s">
        <v>1209</v>
      </c>
      <c r="O623" s="28" t="n">
        <f>100</f>
        <v>100.0</v>
      </c>
      <c r="P623" s="3" t="s">
        <v>1408</v>
      </c>
      <c r="Q623" s="26"/>
      <c r="R623" s="3" t="s">
        <v>160</v>
      </c>
      <c r="S623" s="26" t="n">
        <f>1023359431</f>
        <v>1.023359431E9</v>
      </c>
      <c r="T623" s="26" t="str">
        <f>"－"</f>
        <v>－</v>
      </c>
      <c r="U623" s="5" t="s">
        <v>127</v>
      </c>
      <c r="V623" s="28" t="n">
        <f>5690450000</f>
        <v>5.69045E9</v>
      </c>
      <c r="W623" s="5" t="s">
        <v>1209</v>
      </c>
      <c r="X623" s="28" t="n">
        <f>90510000</f>
        <v>9.051E7</v>
      </c>
      <c r="Y623" s="28" t="n">
        <f>19869</f>
        <v>19869.0</v>
      </c>
      <c r="Z623" s="26" t="str">
        <f>"－"</f>
        <v>－</v>
      </c>
      <c r="AA623" s="26" t="n">
        <f>28383</f>
        <v>28383.0</v>
      </c>
      <c r="AB623" s="4" t="s">
        <v>169</v>
      </c>
      <c r="AC623" s="27" t="n">
        <f>50220</f>
        <v>50220.0</v>
      </c>
      <c r="AD623" s="5" t="s">
        <v>469</v>
      </c>
      <c r="AE623" s="28" t="n">
        <f>1791</f>
        <v>1791.0</v>
      </c>
    </row>
    <row r="624">
      <c r="A624" s="20" t="s">
        <v>1373</v>
      </c>
      <c r="B624" s="21" t="s">
        <v>1374</v>
      </c>
      <c r="C624" s="22" t="s">
        <v>1128</v>
      </c>
      <c r="D624" s="23" t="s">
        <v>1129</v>
      </c>
      <c r="E624" s="24" t="s">
        <v>210</v>
      </c>
      <c r="F624" s="25" t="n">
        <f>246</f>
        <v>246.0</v>
      </c>
      <c r="G624" s="26" t="n">
        <f>419170</f>
        <v>419170.0</v>
      </c>
      <c r="H624" s="26"/>
      <c r="I624" s="26" t="str">
        <f>"－"</f>
        <v>－</v>
      </c>
      <c r="J624" s="26" t="n">
        <f>1704</f>
        <v>1704.0</v>
      </c>
      <c r="K624" s="26" t="str">
        <f>"－"</f>
        <v>－</v>
      </c>
      <c r="L624" s="4" t="s">
        <v>534</v>
      </c>
      <c r="M624" s="27" t="n">
        <f>6768</f>
        <v>6768.0</v>
      </c>
      <c r="N624" s="5" t="s">
        <v>1209</v>
      </c>
      <c r="O624" s="28" t="n">
        <f>150</f>
        <v>150.0</v>
      </c>
      <c r="P624" s="3" t="s">
        <v>1409</v>
      </c>
      <c r="Q624" s="26"/>
      <c r="R624" s="3" t="s">
        <v>160</v>
      </c>
      <c r="S624" s="26" t="n">
        <f>733450447</f>
        <v>7.33450447E8</v>
      </c>
      <c r="T624" s="26" t="str">
        <f>"－"</f>
        <v>－</v>
      </c>
      <c r="U624" s="5" t="s">
        <v>534</v>
      </c>
      <c r="V624" s="28" t="n">
        <f>3555200000</f>
        <v>3.5552E9</v>
      </c>
      <c r="W624" s="5" t="s">
        <v>147</v>
      </c>
      <c r="X624" s="28" t="n">
        <f>80990000</f>
        <v>8.099E7</v>
      </c>
      <c r="Y624" s="28" t="n">
        <f>23280</f>
        <v>23280.0</v>
      </c>
      <c r="Z624" s="26" t="str">
        <f>"－"</f>
        <v>－</v>
      </c>
      <c r="AA624" s="26" t="n">
        <f>14008</f>
        <v>14008.0</v>
      </c>
      <c r="AB624" s="4" t="s">
        <v>1400</v>
      </c>
      <c r="AC624" s="27" t="n">
        <f>24204</f>
        <v>24204.0</v>
      </c>
      <c r="AD624" s="5" t="s">
        <v>469</v>
      </c>
      <c r="AE624" s="28" t="n">
        <f>2945</f>
        <v>2945.0</v>
      </c>
    </row>
    <row r="625">
      <c r="A625" s="20" t="s">
        <v>1373</v>
      </c>
      <c r="B625" s="21" t="s">
        <v>1374</v>
      </c>
      <c r="C625" s="22" t="s">
        <v>1132</v>
      </c>
      <c r="D625" s="23" t="s">
        <v>1133</v>
      </c>
      <c r="E625" s="24" t="s">
        <v>210</v>
      </c>
      <c r="F625" s="25" t="n">
        <f>246</f>
        <v>246.0</v>
      </c>
      <c r="G625" s="26" t="n">
        <f>1031492</f>
        <v>1031492.0</v>
      </c>
      <c r="H625" s="26"/>
      <c r="I625" s="26" t="str">
        <f>"－"</f>
        <v>－</v>
      </c>
      <c r="J625" s="26" t="n">
        <f>4193</f>
        <v>4193.0</v>
      </c>
      <c r="K625" s="26" t="str">
        <f>"－"</f>
        <v>－</v>
      </c>
      <c r="L625" s="4" t="s">
        <v>534</v>
      </c>
      <c r="M625" s="27" t="n">
        <f>12032</f>
        <v>12032.0</v>
      </c>
      <c r="N625" s="5" t="s">
        <v>1209</v>
      </c>
      <c r="O625" s="28" t="n">
        <f>250</f>
        <v>250.0</v>
      </c>
      <c r="P625" s="3" t="s">
        <v>1410</v>
      </c>
      <c r="Q625" s="26"/>
      <c r="R625" s="3" t="s">
        <v>160</v>
      </c>
      <c r="S625" s="26" t="n">
        <f>1756809878</f>
        <v>1.756809878E9</v>
      </c>
      <c r="T625" s="26" t="str">
        <f>"－"</f>
        <v>－</v>
      </c>
      <c r="U625" s="5" t="s">
        <v>127</v>
      </c>
      <c r="V625" s="28" t="n">
        <f>6924800000</f>
        <v>6.9248E9</v>
      </c>
      <c r="W625" s="5" t="s">
        <v>1209</v>
      </c>
      <c r="X625" s="28" t="n">
        <f>351170000</f>
        <v>3.5117E8</v>
      </c>
      <c r="Y625" s="28" t="n">
        <f>43149</f>
        <v>43149.0</v>
      </c>
      <c r="Z625" s="26" t="str">
        <f>"－"</f>
        <v>－</v>
      </c>
      <c r="AA625" s="26" t="n">
        <f>42391</f>
        <v>42391.0</v>
      </c>
      <c r="AB625" s="4" t="s">
        <v>169</v>
      </c>
      <c r="AC625" s="27" t="n">
        <f>73799</f>
        <v>73799.0</v>
      </c>
      <c r="AD625" s="5" t="s">
        <v>469</v>
      </c>
      <c r="AE625" s="28" t="n">
        <f>4736</f>
        <v>4736.0</v>
      </c>
    </row>
    <row r="626">
      <c r="A626" s="20" t="s">
        <v>1373</v>
      </c>
      <c r="B626" s="21" t="s">
        <v>1374</v>
      </c>
      <c r="C626" s="22" t="s">
        <v>1124</v>
      </c>
      <c r="D626" s="23" t="s">
        <v>1125</v>
      </c>
      <c r="E626" s="24" t="s">
        <v>214</v>
      </c>
      <c r="F626" s="25" t="n">
        <f>246</f>
        <v>246.0</v>
      </c>
      <c r="G626" s="26" t="n">
        <f>737350</f>
        <v>737350.0</v>
      </c>
      <c r="H626" s="26"/>
      <c r="I626" s="26" t="str">
        <f>"－"</f>
        <v>－</v>
      </c>
      <c r="J626" s="26" t="n">
        <f>2997</f>
        <v>2997.0</v>
      </c>
      <c r="K626" s="26" t="str">
        <f>"－"</f>
        <v>－</v>
      </c>
      <c r="L626" s="4" t="s">
        <v>616</v>
      </c>
      <c r="M626" s="27" t="n">
        <f>11367</f>
        <v>11367.0</v>
      </c>
      <c r="N626" s="5" t="s">
        <v>200</v>
      </c>
      <c r="O626" s="28" t="n">
        <f>670</f>
        <v>670.0</v>
      </c>
      <c r="P626" s="3" t="s">
        <v>1411</v>
      </c>
      <c r="Q626" s="26"/>
      <c r="R626" s="3" t="s">
        <v>160</v>
      </c>
      <c r="S626" s="26" t="n">
        <f>620616667</f>
        <v>6.20616667E8</v>
      </c>
      <c r="T626" s="26" t="str">
        <f>"－"</f>
        <v>－</v>
      </c>
      <c r="U626" s="5" t="s">
        <v>399</v>
      </c>
      <c r="V626" s="28" t="n">
        <f>2197920000</f>
        <v>2.19792E9</v>
      </c>
      <c r="W626" s="5" t="s">
        <v>1216</v>
      </c>
      <c r="X626" s="28" t="n">
        <f>106020000</f>
        <v>1.0602E8</v>
      </c>
      <c r="Y626" s="28" t="n">
        <f>15334</f>
        <v>15334.0</v>
      </c>
      <c r="Z626" s="26" t="str">
        <f>"－"</f>
        <v>－</v>
      </c>
      <c r="AA626" s="26" t="n">
        <f>17073</f>
        <v>17073.0</v>
      </c>
      <c r="AB626" s="4" t="s">
        <v>798</v>
      </c>
      <c r="AC626" s="27" t="n">
        <f>63672</f>
        <v>63672.0</v>
      </c>
      <c r="AD626" s="5" t="s">
        <v>524</v>
      </c>
      <c r="AE626" s="28" t="n">
        <f>5670</f>
        <v>5670.0</v>
      </c>
    </row>
    <row r="627">
      <c r="A627" s="20" t="s">
        <v>1373</v>
      </c>
      <c r="B627" s="21" t="s">
        <v>1374</v>
      </c>
      <c r="C627" s="22" t="s">
        <v>1128</v>
      </c>
      <c r="D627" s="23" t="s">
        <v>1129</v>
      </c>
      <c r="E627" s="24" t="s">
        <v>214</v>
      </c>
      <c r="F627" s="25" t="n">
        <f>246</f>
        <v>246.0</v>
      </c>
      <c r="G627" s="26" t="n">
        <f>504111</f>
        <v>504111.0</v>
      </c>
      <c r="H627" s="26"/>
      <c r="I627" s="26" t="str">
        <f>"－"</f>
        <v>－</v>
      </c>
      <c r="J627" s="26" t="n">
        <f>2049</f>
        <v>2049.0</v>
      </c>
      <c r="K627" s="26" t="str">
        <f>"－"</f>
        <v>－</v>
      </c>
      <c r="L627" s="4" t="s">
        <v>1307</v>
      </c>
      <c r="M627" s="27" t="n">
        <f>5408</f>
        <v>5408.0</v>
      </c>
      <c r="N627" s="5" t="s">
        <v>179</v>
      </c>
      <c r="O627" s="28" t="n">
        <f>280</f>
        <v>280.0</v>
      </c>
      <c r="P627" s="3" t="s">
        <v>1412</v>
      </c>
      <c r="Q627" s="26"/>
      <c r="R627" s="3" t="s">
        <v>160</v>
      </c>
      <c r="S627" s="26" t="n">
        <f>623074715</f>
        <v>6.23074715E8</v>
      </c>
      <c r="T627" s="26" t="str">
        <f>"－"</f>
        <v>－</v>
      </c>
      <c r="U627" s="5" t="s">
        <v>473</v>
      </c>
      <c r="V627" s="28" t="n">
        <f>2893740000</f>
        <v>2.89374E9</v>
      </c>
      <c r="W627" s="5" t="s">
        <v>1413</v>
      </c>
      <c r="X627" s="28" t="n">
        <f>63210000</f>
        <v>6.321E7</v>
      </c>
      <c r="Y627" s="28" t="n">
        <f>47418</f>
        <v>47418.0</v>
      </c>
      <c r="Z627" s="26" t="str">
        <f>"－"</f>
        <v>－</v>
      </c>
      <c r="AA627" s="26" t="n">
        <f>11550</f>
        <v>11550.0</v>
      </c>
      <c r="AB627" s="4" t="s">
        <v>679</v>
      </c>
      <c r="AC627" s="27" t="n">
        <f>27584</f>
        <v>27584.0</v>
      </c>
      <c r="AD627" s="5" t="s">
        <v>191</v>
      </c>
      <c r="AE627" s="28" t="n">
        <f>4139</f>
        <v>4139.0</v>
      </c>
    </row>
    <row r="628">
      <c r="A628" s="20" t="s">
        <v>1373</v>
      </c>
      <c r="B628" s="21" t="s">
        <v>1374</v>
      </c>
      <c r="C628" s="22" t="s">
        <v>1132</v>
      </c>
      <c r="D628" s="23" t="s">
        <v>1133</v>
      </c>
      <c r="E628" s="24" t="s">
        <v>214</v>
      </c>
      <c r="F628" s="25" t="n">
        <f>246</f>
        <v>246.0</v>
      </c>
      <c r="G628" s="26" t="n">
        <f>1241461</f>
        <v>1241461.0</v>
      </c>
      <c r="H628" s="26"/>
      <c r="I628" s="26" t="str">
        <f>"－"</f>
        <v>－</v>
      </c>
      <c r="J628" s="26" t="n">
        <f>5047</f>
        <v>5047.0</v>
      </c>
      <c r="K628" s="26" t="str">
        <f>"－"</f>
        <v>－</v>
      </c>
      <c r="L628" s="4" t="s">
        <v>433</v>
      </c>
      <c r="M628" s="27" t="n">
        <f>14152</f>
        <v>14152.0</v>
      </c>
      <c r="N628" s="5" t="s">
        <v>179</v>
      </c>
      <c r="O628" s="28" t="n">
        <f>1070</f>
        <v>1070.0</v>
      </c>
      <c r="P628" s="3" t="s">
        <v>1414</v>
      </c>
      <c r="Q628" s="26"/>
      <c r="R628" s="3" t="s">
        <v>160</v>
      </c>
      <c r="S628" s="26" t="n">
        <f>1243691382</f>
        <v>1.243691382E9</v>
      </c>
      <c r="T628" s="26" t="str">
        <f>"－"</f>
        <v>－</v>
      </c>
      <c r="U628" s="5" t="s">
        <v>473</v>
      </c>
      <c r="V628" s="28" t="n">
        <f>4227870000</f>
        <v>4.22787E9</v>
      </c>
      <c r="W628" s="5" t="s">
        <v>1413</v>
      </c>
      <c r="X628" s="28" t="n">
        <f>249530000</f>
        <v>2.4953E8</v>
      </c>
      <c r="Y628" s="28" t="n">
        <f>62752</f>
        <v>62752.0</v>
      </c>
      <c r="Z628" s="26" t="str">
        <f>"－"</f>
        <v>－</v>
      </c>
      <c r="AA628" s="26" t="n">
        <f>28623</f>
        <v>28623.0</v>
      </c>
      <c r="AB628" s="4" t="s">
        <v>809</v>
      </c>
      <c r="AC628" s="27" t="n">
        <f>85472</f>
        <v>85472.0</v>
      </c>
      <c r="AD628" s="5" t="s">
        <v>524</v>
      </c>
      <c r="AE628" s="28" t="n">
        <f>10656</f>
        <v>10656.0</v>
      </c>
    </row>
    <row r="629">
      <c r="A629" s="20" t="s">
        <v>1373</v>
      </c>
      <c r="B629" s="21" t="s">
        <v>1374</v>
      </c>
      <c r="C629" s="22" t="s">
        <v>1124</v>
      </c>
      <c r="D629" s="23" t="s">
        <v>1125</v>
      </c>
      <c r="E629" s="24" t="s">
        <v>219</v>
      </c>
      <c r="F629" s="25" t="n">
        <f>245</f>
        <v>245.0</v>
      </c>
      <c r="G629" s="26" t="n">
        <f>644891</f>
        <v>644891.0</v>
      </c>
      <c r="H629" s="26"/>
      <c r="I629" s="26" t="str">
        <f>"－"</f>
        <v>－</v>
      </c>
      <c r="J629" s="26" t="n">
        <f>2632</f>
        <v>2632.0</v>
      </c>
      <c r="K629" s="26" t="str">
        <f>"－"</f>
        <v>－</v>
      </c>
      <c r="L629" s="4" t="s">
        <v>316</v>
      </c>
      <c r="M629" s="27" t="n">
        <f>7289</f>
        <v>7289.0</v>
      </c>
      <c r="N629" s="5" t="s">
        <v>462</v>
      </c>
      <c r="O629" s="28" t="n">
        <f>168</f>
        <v>168.0</v>
      </c>
      <c r="P629" s="3" t="s">
        <v>1415</v>
      </c>
      <c r="Q629" s="26"/>
      <c r="R629" s="3" t="s">
        <v>160</v>
      </c>
      <c r="S629" s="26" t="n">
        <f>580408939</f>
        <v>5.80408939E8</v>
      </c>
      <c r="T629" s="26" t="str">
        <f>"－"</f>
        <v>－</v>
      </c>
      <c r="U629" s="5" t="s">
        <v>185</v>
      </c>
      <c r="V629" s="28" t="n">
        <f>2800090000</f>
        <v>2.80009E9</v>
      </c>
      <c r="W629" s="5" t="s">
        <v>462</v>
      </c>
      <c r="X629" s="28" t="n">
        <f>58890000</f>
        <v>5.889E7</v>
      </c>
      <c r="Y629" s="28" t="n">
        <f>19438</f>
        <v>19438.0</v>
      </c>
      <c r="Z629" s="26" t="str">
        <f>"－"</f>
        <v>－</v>
      </c>
      <c r="AA629" s="26" t="n">
        <f>21847</f>
        <v>21847.0</v>
      </c>
      <c r="AB629" s="4" t="s">
        <v>727</v>
      </c>
      <c r="AC629" s="27" t="n">
        <f>32024</f>
        <v>32024.0</v>
      </c>
      <c r="AD629" s="5" t="s">
        <v>157</v>
      </c>
      <c r="AE629" s="28" t="n">
        <f>4956</f>
        <v>4956.0</v>
      </c>
    </row>
    <row r="630">
      <c r="A630" s="20" t="s">
        <v>1373</v>
      </c>
      <c r="B630" s="21" t="s">
        <v>1374</v>
      </c>
      <c r="C630" s="22" t="s">
        <v>1128</v>
      </c>
      <c r="D630" s="23" t="s">
        <v>1129</v>
      </c>
      <c r="E630" s="24" t="s">
        <v>219</v>
      </c>
      <c r="F630" s="25" t="n">
        <f>245</f>
        <v>245.0</v>
      </c>
      <c r="G630" s="26" t="n">
        <f>419731</f>
        <v>419731.0</v>
      </c>
      <c r="H630" s="26"/>
      <c r="I630" s="26" t="str">
        <f>"－"</f>
        <v>－</v>
      </c>
      <c r="J630" s="26" t="n">
        <f>1713</f>
        <v>1713.0</v>
      </c>
      <c r="K630" s="26" t="str">
        <f>"－"</f>
        <v>－</v>
      </c>
      <c r="L630" s="4" t="s">
        <v>448</v>
      </c>
      <c r="M630" s="27" t="n">
        <f>4304</f>
        <v>4304.0</v>
      </c>
      <c r="N630" s="5" t="s">
        <v>462</v>
      </c>
      <c r="O630" s="28" t="n">
        <f>73</f>
        <v>73.0</v>
      </c>
      <c r="P630" s="3" t="s">
        <v>1416</v>
      </c>
      <c r="Q630" s="26"/>
      <c r="R630" s="3" t="s">
        <v>160</v>
      </c>
      <c r="S630" s="26" t="n">
        <f>398590571</f>
        <v>3.98590571E8</v>
      </c>
      <c r="T630" s="26" t="str">
        <f>"－"</f>
        <v>－</v>
      </c>
      <c r="U630" s="5" t="s">
        <v>731</v>
      </c>
      <c r="V630" s="28" t="n">
        <f>1373080000</f>
        <v>1.37308E9</v>
      </c>
      <c r="W630" s="5" t="s">
        <v>462</v>
      </c>
      <c r="X630" s="28" t="n">
        <f>32370000</f>
        <v>3.237E7</v>
      </c>
      <c r="Y630" s="28" t="n">
        <f>26777</f>
        <v>26777.0</v>
      </c>
      <c r="Z630" s="26" t="str">
        <f>"－"</f>
        <v>－</v>
      </c>
      <c r="AA630" s="26" t="n">
        <f>4789</f>
        <v>4789.0</v>
      </c>
      <c r="AB630" s="4" t="s">
        <v>917</v>
      </c>
      <c r="AC630" s="27" t="n">
        <f>16571</f>
        <v>16571.0</v>
      </c>
      <c r="AD630" s="5" t="s">
        <v>148</v>
      </c>
      <c r="AE630" s="28" t="n">
        <f>2277</f>
        <v>2277.0</v>
      </c>
    </row>
    <row r="631">
      <c r="A631" s="20" t="s">
        <v>1373</v>
      </c>
      <c r="B631" s="21" t="s">
        <v>1374</v>
      </c>
      <c r="C631" s="22" t="s">
        <v>1132</v>
      </c>
      <c r="D631" s="23" t="s">
        <v>1133</v>
      </c>
      <c r="E631" s="24" t="s">
        <v>219</v>
      </c>
      <c r="F631" s="25" t="n">
        <f>245</f>
        <v>245.0</v>
      </c>
      <c r="G631" s="26" t="n">
        <f>1064622</f>
        <v>1064622.0</v>
      </c>
      <c r="H631" s="26"/>
      <c r="I631" s="26" t="str">
        <f>"－"</f>
        <v>－</v>
      </c>
      <c r="J631" s="26" t="n">
        <f>4345</f>
        <v>4345.0</v>
      </c>
      <c r="K631" s="26" t="str">
        <f>"－"</f>
        <v>－</v>
      </c>
      <c r="L631" s="4" t="s">
        <v>316</v>
      </c>
      <c r="M631" s="27" t="n">
        <f>9725</f>
        <v>9725.0</v>
      </c>
      <c r="N631" s="5" t="s">
        <v>462</v>
      </c>
      <c r="O631" s="28" t="n">
        <f>241</f>
        <v>241.0</v>
      </c>
      <c r="P631" s="3" t="s">
        <v>1417</v>
      </c>
      <c r="Q631" s="26"/>
      <c r="R631" s="3" t="s">
        <v>160</v>
      </c>
      <c r="S631" s="26" t="n">
        <f>978999510</f>
        <v>9.7899951E8</v>
      </c>
      <c r="T631" s="26" t="str">
        <f>"－"</f>
        <v>－</v>
      </c>
      <c r="U631" s="5" t="s">
        <v>185</v>
      </c>
      <c r="V631" s="28" t="n">
        <f>3225850000</f>
        <v>3.22585E9</v>
      </c>
      <c r="W631" s="5" t="s">
        <v>462</v>
      </c>
      <c r="X631" s="28" t="n">
        <f>91260000</f>
        <v>9.126E7</v>
      </c>
      <c r="Y631" s="28" t="n">
        <f>46215</f>
        <v>46215.0</v>
      </c>
      <c r="Z631" s="26" t="str">
        <f>"－"</f>
        <v>－</v>
      </c>
      <c r="AA631" s="26" t="n">
        <f>26636</f>
        <v>26636.0</v>
      </c>
      <c r="AB631" s="4" t="s">
        <v>1418</v>
      </c>
      <c r="AC631" s="27" t="n">
        <f>43892</f>
        <v>43892.0</v>
      </c>
      <c r="AD631" s="5" t="s">
        <v>157</v>
      </c>
      <c r="AE631" s="28" t="n">
        <f>9148</f>
        <v>9148.0</v>
      </c>
    </row>
    <row r="632">
      <c r="A632" s="20" t="s">
        <v>1373</v>
      </c>
      <c r="B632" s="21" t="s">
        <v>1374</v>
      </c>
      <c r="C632" s="22" t="s">
        <v>1124</v>
      </c>
      <c r="D632" s="23" t="s">
        <v>1125</v>
      </c>
      <c r="E632" s="24" t="s">
        <v>223</v>
      </c>
      <c r="F632" s="25" t="n">
        <f>246</f>
        <v>246.0</v>
      </c>
      <c r="G632" s="26" t="n">
        <f>583493</f>
        <v>583493.0</v>
      </c>
      <c r="H632" s="26"/>
      <c r="I632" s="26" t="str">
        <f>"－"</f>
        <v>－</v>
      </c>
      <c r="J632" s="26" t="n">
        <f>2372</f>
        <v>2372.0</v>
      </c>
      <c r="K632" s="26" t="str">
        <f>"－"</f>
        <v>－</v>
      </c>
      <c r="L632" s="4" t="s">
        <v>462</v>
      </c>
      <c r="M632" s="27" t="n">
        <f>6431</f>
        <v>6431.0</v>
      </c>
      <c r="N632" s="5" t="s">
        <v>196</v>
      </c>
      <c r="O632" s="28" t="n">
        <f>167</f>
        <v>167.0</v>
      </c>
      <c r="P632" s="3" t="s">
        <v>1419</v>
      </c>
      <c r="Q632" s="26"/>
      <c r="R632" s="3" t="s">
        <v>160</v>
      </c>
      <c r="S632" s="26" t="n">
        <f>347998049</f>
        <v>3.47998049E8</v>
      </c>
      <c r="T632" s="26" t="str">
        <f>"－"</f>
        <v>－</v>
      </c>
      <c r="U632" s="5" t="s">
        <v>410</v>
      </c>
      <c r="V632" s="28" t="n">
        <f>1732380000</f>
        <v>1.73238E9</v>
      </c>
      <c r="W632" s="5" t="s">
        <v>196</v>
      </c>
      <c r="X632" s="28" t="n">
        <f>20300000</f>
        <v>2.03E7</v>
      </c>
      <c r="Y632" s="28" t="n">
        <f>7434</f>
        <v>7434.0</v>
      </c>
      <c r="Z632" s="26" t="str">
        <f>"－"</f>
        <v>－</v>
      </c>
      <c r="AA632" s="26" t="n">
        <f>22771</f>
        <v>22771.0</v>
      </c>
      <c r="AB632" s="4" t="s">
        <v>727</v>
      </c>
      <c r="AC632" s="27" t="n">
        <f>36775</f>
        <v>36775.0</v>
      </c>
      <c r="AD632" s="5" t="s">
        <v>425</v>
      </c>
      <c r="AE632" s="28" t="n">
        <f>5530</f>
        <v>5530.0</v>
      </c>
    </row>
    <row r="633">
      <c r="A633" s="20" t="s">
        <v>1373</v>
      </c>
      <c r="B633" s="21" t="s">
        <v>1374</v>
      </c>
      <c r="C633" s="22" t="s">
        <v>1128</v>
      </c>
      <c r="D633" s="23" t="s">
        <v>1129</v>
      </c>
      <c r="E633" s="24" t="s">
        <v>223</v>
      </c>
      <c r="F633" s="25" t="n">
        <f>246</f>
        <v>246.0</v>
      </c>
      <c r="G633" s="26" t="n">
        <f>394107</f>
        <v>394107.0</v>
      </c>
      <c r="H633" s="26"/>
      <c r="I633" s="26" t="str">
        <f>"－"</f>
        <v>－</v>
      </c>
      <c r="J633" s="26" t="n">
        <f>1602</f>
        <v>1602.0</v>
      </c>
      <c r="K633" s="26" t="str">
        <f>"－"</f>
        <v>－</v>
      </c>
      <c r="L633" s="4" t="s">
        <v>67</v>
      </c>
      <c r="M633" s="27" t="n">
        <f>6775</f>
        <v>6775.0</v>
      </c>
      <c r="N633" s="5" t="s">
        <v>643</v>
      </c>
      <c r="O633" s="28" t="n">
        <f>225</f>
        <v>225.0</v>
      </c>
      <c r="P633" s="3" t="s">
        <v>1420</v>
      </c>
      <c r="Q633" s="26"/>
      <c r="R633" s="3" t="s">
        <v>160</v>
      </c>
      <c r="S633" s="26" t="n">
        <f>348795772</f>
        <v>3.48795772E8</v>
      </c>
      <c r="T633" s="26" t="str">
        <f>"－"</f>
        <v>－</v>
      </c>
      <c r="U633" s="5" t="s">
        <v>67</v>
      </c>
      <c r="V633" s="28" t="n">
        <f>7193380000</f>
        <v>7.19338E9</v>
      </c>
      <c r="W633" s="5" t="s">
        <v>643</v>
      </c>
      <c r="X633" s="28" t="n">
        <f>46150000</f>
        <v>4.615E7</v>
      </c>
      <c r="Y633" s="28" t="n">
        <f>48416</f>
        <v>48416.0</v>
      </c>
      <c r="Z633" s="26" t="str">
        <f>"－"</f>
        <v>－</v>
      </c>
      <c r="AA633" s="26" t="n">
        <f>7685</f>
        <v>7685.0</v>
      </c>
      <c r="AB633" s="4" t="s">
        <v>731</v>
      </c>
      <c r="AC633" s="27" t="n">
        <f>14505</f>
        <v>14505.0</v>
      </c>
      <c r="AD633" s="5" t="s">
        <v>195</v>
      </c>
      <c r="AE633" s="28" t="n">
        <f>1737</f>
        <v>1737.0</v>
      </c>
    </row>
    <row r="634">
      <c r="A634" s="20" t="s">
        <v>1373</v>
      </c>
      <c r="B634" s="21" t="s">
        <v>1374</v>
      </c>
      <c r="C634" s="22" t="s">
        <v>1132</v>
      </c>
      <c r="D634" s="23" t="s">
        <v>1133</v>
      </c>
      <c r="E634" s="24" t="s">
        <v>223</v>
      </c>
      <c r="F634" s="25" t="n">
        <f>246</f>
        <v>246.0</v>
      </c>
      <c r="G634" s="26" t="n">
        <f>977600</f>
        <v>977600.0</v>
      </c>
      <c r="H634" s="26"/>
      <c r="I634" s="26" t="str">
        <f>"－"</f>
        <v>－</v>
      </c>
      <c r="J634" s="26" t="n">
        <f>3974</f>
        <v>3974.0</v>
      </c>
      <c r="K634" s="26" t="str">
        <f>"－"</f>
        <v>－</v>
      </c>
      <c r="L634" s="4" t="s">
        <v>67</v>
      </c>
      <c r="M634" s="27" t="n">
        <f>10874</f>
        <v>10874.0</v>
      </c>
      <c r="N634" s="5" t="s">
        <v>196</v>
      </c>
      <c r="O634" s="28" t="n">
        <f>660</f>
        <v>660.0</v>
      </c>
      <c r="P634" s="3" t="s">
        <v>1421</v>
      </c>
      <c r="Q634" s="26"/>
      <c r="R634" s="3" t="s">
        <v>160</v>
      </c>
      <c r="S634" s="26" t="n">
        <f>696793821</f>
        <v>6.96793821E8</v>
      </c>
      <c r="T634" s="26" t="str">
        <f>"－"</f>
        <v>－</v>
      </c>
      <c r="U634" s="5" t="s">
        <v>67</v>
      </c>
      <c r="V634" s="28" t="n">
        <f>7858100000</f>
        <v>7.8581E9</v>
      </c>
      <c r="W634" s="5" t="s">
        <v>196</v>
      </c>
      <c r="X634" s="28" t="n">
        <f>134150000</f>
        <v>1.3415E8</v>
      </c>
      <c r="Y634" s="28" t="n">
        <f>55850</f>
        <v>55850.0</v>
      </c>
      <c r="Z634" s="26" t="str">
        <f>"－"</f>
        <v>－</v>
      </c>
      <c r="AA634" s="26" t="n">
        <f>30456</f>
        <v>30456.0</v>
      </c>
      <c r="AB634" s="4" t="s">
        <v>731</v>
      </c>
      <c r="AC634" s="27" t="n">
        <f>49612</f>
        <v>49612.0</v>
      </c>
      <c r="AD634" s="5" t="s">
        <v>195</v>
      </c>
      <c r="AE634" s="28" t="n">
        <f>7278</f>
        <v>7278.0</v>
      </c>
    </row>
    <row r="635">
      <c r="A635" s="20" t="s">
        <v>1373</v>
      </c>
      <c r="B635" s="21" t="s">
        <v>1374</v>
      </c>
      <c r="C635" s="22" t="s">
        <v>1124</v>
      </c>
      <c r="D635" s="23" t="s">
        <v>1125</v>
      </c>
      <c r="E635" s="24" t="s">
        <v>227</v>
      </c>
      <c r="F635" s="25" t="n">
        <f>248</f>
        <v>248.0</v>
      </c>
      <c r="G635" s="26" t="n">
        <f>636631</f>
        <v>636631.0</v>
      </c>
      <c r="H635" s="26"/>
      <c r="I635" s="26" t="str">
        <f>"－"</f>
        <v>－</v>
      </c>
      <c r="J635" s="26" t="n">
        <f>2567</f>
        <v>2567.0</v>
      </c>
      <c r="K635" s="26" t="str">
        <f>"－"</f>
        <v>－</v>
      </c>
      <c r="L635" s="4" t="s">
        <v>731</v>
      </c>
      <c r="M635" s="27" t="n">
        <f>11180</f>
        <v>11180.0</v>
      </c>
      <c r="N635" s="5" t="s">
        <v>204</v>
      </c>
      <c r="O635" s="28" t="n">
        <f>216</f>
        <v>216.0</v>
      </c>
      <c r="P635" s="3" t="s">
        <v>1422</v>
      </c>
      <c r="Q635" s="26"/>
      <c r="R635" s="3" t="s">
        <v>160</v>
      </c>
      <c r="S635" s="26" t="n">
        <f>865674879</f>
        <v>8.65674879E8</v>
      </c>
      <c r="T635" s="26" t="str">
        <f>"－"</f>
        <v>－</v>
      </c>
      <c r="U635" s="5" t="s">
        <v>1037</v>
      </c>
      <c r="V635" s="28" t="n">
        <f>17395170000</f>
        <v>1.739517E10</v>
      </c>
      <c r="W635" s="5" t="s">
        <v>680</v>
      </c>
      <c r="X635" s="28" t="n">
        <f>54870000</f>
        <v>5.487E7</v>
      </c>
      <c r="Y635" s="28" t="n">
        <f>51395</f>
        <v>51395.0</v>
      </c>
      <c r="Z635" s="26" t="str">
        <f>"－"</f>
        <v>－</v>
      </c>
      <c r="AA635" s="26" t="n">
        <f>19752</f>
        <v>19752.0</v>
      </c>
      <c r="AB635" s="4" t="s">
        <v>731</v>
      </c>
      <c r="AC635" s="27" t="n">
        <f>45618</f>
        <v>45618.0</v>
      </c>
      <c r="AD635" s="5" t="s">
        <v>425</v>
      </c>
      <c r="AE635" s="28" t="n">
        <f>3546</f>
        <v>3546.0</v>
      </c>
    </row>
    <row r="636">
      <c r="A636" s="20" t="s">
        <v>1373</v>
      </c>
      <c r="B636" s="21" t="s">
        <v>1374</v>
      </c>
      <c r="C636" s="22" t="s">
        <v>1128</v>
      </c>
      <c r="D636" s="23" t="s">
        <v>1129</v>
      </c>
      <c r="E636" s="24" t="s">
        <v>227</v>
      </c>
      <c r="F636" s="25" t="n">
        <f>248</f>
        <v>248.0</v>
      </c>
      <c r="G636" s="26" t="n">
        <f>421142</f>
        <v>421142.0</v>
      </c>
      <c r="H636" s="26"/>
      <c r="I636" s="26" t="str">
        <f>"－"</f>
        <v>－</v>
      </c>
      <c r="J636" s="26" t="n">
        <f>1698</f>
        <v>1698.0</v>
      </c>
      <c r="K636" s="26" t="str">
        <f>"－"</f>
        <v>－</v>
      </c>
      <c r="L636" s="4" t="s">
        <v>731</v>
      </c>
      <c r="M636" s="27" t="n">
        <f>8683</f>
        <v>8683.0</v>
      </c>
      <c r="N636" s="5" t="s">
        <v>469</v>
      </c>
      <c r="O636" s="28" t="n">
        <f>112</f>
        <v>112.0</v>
      </c>
      <c r="P636" s="3" t="s">
        <v>1423</v>
      </c>
      <c r="Q636" s="26"/>
      <c r="R636" s="3" t="s">
        <v>160</v>
      </c>
      <c r="S636" s="26" t="n">
        <f>488861532</f>
        <v>4.88861532E8</v>
      </c>
      <c r="T636" s="26" t="str">
        <f>"－"</f>
        <v>－</v>
      </c>
      <c r="U636" s="5" t="s">
        <v>731</v>
      </c>
      <c r="V636" s="28" t="n">
        <f>6456950000</f>
        <v>6.45695E9</v>
      </c>
      <c r="W636" s="5" t="s">
        <v>203</v>
      </c>
      <c r="X636" s="28" t="n">
        <f>24420000</f>
        <v>2.442E7</v>
      </c>
      <c r="Y636" s="28" t="n">
        <f>39434</f>
        <v>39434.0</v>
      </c>
      <c r="Z636" s="26" t="str">
        <f>"－"</f>
        <v>－</v>
      </c>
      <c r="AA636" s="26" t="n">
        <f>19567</f>
        <v>19567.0</v>
      </c>
      <c r="AB636" s="4" t="s">
        <v>809</v>
      </c>
      <c r="AC636" s="27" t="n">
        <f>19912</f>
        <v>19912.0</v>
      </c>
      <c r="AD636" s="5" t="s">
        <v>469</v>
      </c>
      <c r="AE636" s="28" t="n">
        <f>1317</f>
        <v>1317.0</v>
      </c>
    </row>
    <row r="637">
      <c r="A637" s="20" t="s">
        <v>1373</v>
      </c>
      <c r="B637" s="21" t="s">
        <v>1374</v>
      </c>
      <c r="C637" s="22" t="s">
        <v>1132</v>
      </c>
      <c r="D637" s="23" t="s">
        <v>1133</v>
      </c>
      <c r="E637" s="24" t="s">
        <v>227</v>
      </c>
      <c r="F637" s="25" t="n">
        <f>248</f>
        <v>248.0</v>
      </c>
      <c r="G637" s="26" t="n">
        <f>1057773</f>
        <v>1057773.0</v>
      </c>
      <c r="H637" s="26"/>
      <c r="I637" s="26" t="str">
        <f>"－"</f>
        <v>－</v>
      </c>
      <c r="J637" s="26" t="n">
        <f>4265</f>
        <v>4265.0</v>
      </c>
      <c r="K637" s="26" t="str">
        <f>"－"</f>
        <v>－</v>
      </c>
      <c r="L637" s="4" t="s">
        <v>731</v>
      </c>
      <c r="M637" s="27" t="n">
        <f>19863</f>
        <v>19863.0</v>
      </c>
      <c r="N637" s="5" t="s">
        <v>203</v>
      </c>
      <c r="O637" s="28" t="n">
        <f>391</f>
        <v>391.0</v>
      </c>
      <c r="P637" s="3" t="s">
        <v>1424</v>
      </c>
      <c r="Q637" s="26"/>
      <c r="R637" s="3" t="s">
        <v>160</v>
      </c>
      <c r="S637" s="26" t="n">
        <f>1354536411</f>
        <v>1.354536411E9</v>
      </c>
      <c r="T637" s="26" t="str">
        <f>"－"</f>
        <v>－</v>
      </c>
      <c r="U637" s="5" t="s">
        <v>1037</v>
      </c>
      <c r="V637" s="28" t="n">
        <f>17466200000</f>
        <v>1.74662E10</v>
      </c>
      <c r="W637" s="5" t="s">
        <v>203</v>
      </c>
      <c r="X637" s="28" t="n">
        <f>118560000</f>
        <v>1.1856E8</v>
      </c>
      <c r="Y637" s="28" t="n">
        <f>90829</f>
        <v>90829.0</v>
      </c>
      <c r="Z637" s="26" t="str">
        <f>"－"</f>
        <v>－</v>
      </c>
      <c r="AA637" s="26" t="n">
        <f>39319</f>
        <v>39319.0</v>
      </c>
      <c r="AB637" s="4" t="s">
        <v>557</v>
      </c>
      <c r="AC637" s="27" t="n">
        <f>55219</f>
        <v>55219.0</v>
      </c>
      <c r="AD637" s="5" t="s">
        <v>469</v>
      </c>
      <c r="AE637" s="28" t="n">
        <f>4931</f>
        <v>4931.0</v>
      </c>
    </row>
    <row r="638">
      <c r="A638" s="20" t="s">
        <v>1373</v>
      </c>
      <c r="B638" s="21" t="s">
        <v>1374</v>
      </c>
      <c r="C638" s="22" t="s">
        <v>1124</v>
      </c>
      <c r="D638" s="23" t="s">
        <v>1125</v>
      </c>
      <c r="E638" s="24" t="s">
        <v>230</v>
      </c>
      <c r="F638" s="25" t="n">
        <f>245</f>
        <v>245.0</v>
      </c>
      <c r="G638" s="26" t="n">
        <f>799868</f>
        <v>799868.0</v>
      </c>
      <c r="H638" s="26"/>
      <c r="I638" s="26" t="str">
        <f>"－"</f>
        <v>－</v>
      </c>
      <c r="J638" s="26" t="n">
        <f>3265</f>
        <v>3265.0</v>
      </c>
      <c r="K638" s="26" t="str">
        <f>"－"</f>
        <v>－</v>
      </c>
      <c r="L638" s="4" t="s">
        <v>702</v>
      </c>
      <c r="M638" s="27" t="n">
        <f>18316</f>
        <v>18316.0</v>
      </c>
      <c r="N638" s="5" t="s">
        <v>518</v>
      </c>
      <c r="O638" s="28" t="n">
        <f>739</f>
        <v>739.0</v>
      </c>
      <c r="P638" s="3" t="s">
        <v>1425</v>
      </c>
      <c r="Q638" s="26"/>
      <c r="R638" s="3" t="s">
        <v>160</v>
      </c>
      <c r="S638" s="26" t="n">
        <f>803413429</f>
        <v>8.03413429E8</v>
      </c>
      <c r="T638" s="26" t="str">
        <f>"－"</f>
        <v>－</v>
      </c>
      <c r="U638" s="5" t="s">
        <v>62</v>
      </c>
      <c r="V638" s="28" t="n">
        <f>4799440000</f>
        <v>4.79944E9</v>
      </c>
      <c r="W638" s="5" t="s">
        <v>1115</v>
      </c>
      <c r="X638" s="28" t="n">
        <f>125330000</f>
        <v>1.2533E8</v>
      </c>
      <c r="Y638" s="28" t="n">
        <f>25331</f>
        <v>25331.0</v>
      </c>
      <c r="Z638" s="26" t="str">
        <f>"－"</f>
        <v>－</v>
      </c>
      <c r="AA638" s="26" t="n">
        <f>78706</f>
        <v>78706.0</v>
      </c>
      <c r="AB638" s="4" t="s">
        <v>209</v>
      </c>
      <c r="AC638" s="27" t="n">
        <f>78706</f>
        <v>78706.0</v>
      </c>
      <c r="AD638" s="5" t="s">
        <v>524</v>
      </c>
      <c r="AE638" s="28" t="n">
        <f>7382</f>
        <v>7382.0</v>
      </c>
    </row>
    <row r="639">
      <c r="A639" s="20" t="s">
        <v>1373</v>
      </c>
      <c r="B639" s="21" t="s">
        <v>1374</v>
      </c>
      <c r="C639" s="22" t="s">
        <v>1128</v>
      </c>
      <c r="D639" s="23" t="s">
        <v>1129</v>
      </c>
      <c r="E639" s="24" t="s">
        <v>230</v>
      </c>
      <c r="F639" s="25" t="n">
        <f>245</f>
        <v>245.0</v>
      </c>
      <c r="G639" s="26" t="n">
        <f>561460</f>
        <v>561460.0</v>
      </c>
      <c r="H639" s="26"/>
      <c r="I639" s="26" t="str">
        <f>"－"</f>
        <v>－</v>
      </c>
      <c r="J639" s="26" t="n">
        <f>2292</f>
        <v>2292.0</v>
      </c>
      <c r="K639" s="26" t="str">
        <f>"－"</f>
        <v>－</v>
      </c>
      <c r="L639" s="4" t="s">
        <v>209</v>
      </c>
      <c r="M639" s="27" t="n">
        <f>6401</f>
        <v>6401.0</v>
      </c>
      <c r="N639" s="5" t="s">
        <v>395</v>
      </c>
      <c r="O639" s="28" t="n">
        <f>508</f>
        <v>508.0</v>
      </c>
      <c r="P639" s="3" t="s">
        <v>1426</v>
      </c>
      <c r="Q639" s="26"/>
      <c r="R639" s="3" t="s">
        <v>160</v>
      </c>
      <c r="S639" s="26" t="n">
        <f>571264327</f>
        <v>5.71264327E8</v>
      </c>
      <c r="T639" s="26" t="str">
        <f>"－"</f>
        <v>－</v>
      </c>
      <c r="U639" s="5" t="s">
        <v>209</v>
      </c>
      <c r="V639" s="28" t="n">
        <f>2647830000</f>
        <v>2.64783E9</v>
      </c>
      <c r="W639" s="5" t="s">
        <v>917</v>
      </c>
      <c r="X639" s="28" t="n">
        <f>101640000</f>
        <v>1.0164E8</v>
      </c>
      <c r="Y639" s="28" t="n">
        <f>53618</f>
        <v>53618.0</v>
      </c>
      <c r="Z639" s="26" t="str">
        <f>"－"</f>
        <v>－</v>
      </c>
      <c r="AA639" s="26" t="n">
        <f>15538</f>
        <v>15538.0</v>
      </c>
      <c r="AB639" s="4" t="s">
        <v>218</v>
      </c>
      <c r="AC639" s="27" t="n">
        <f>29712</f>
        <v>29712.0</v>
      </c>
      <c r="AD639" s="5" t="s">
        <v>524</v>
      </c>
      <c r="AE639" s="28" t="n">
        <f>3538</f>
        <v>3538.0</v>
      </c>
    </row>
    <row r="640">
      <c r="A640" s="20" t="s">
        <v>1373</v>
      </c>
      <c r="B640" s="21" t="s">
        <v>1374</v>
      </c>
      <c r="C640" s="22" t="s">
        <v>1132</v>
      </c>
      <c r="D640" s="23" t="s">
        <v>1133</v>
      </c>
      <c r="E640" s="24" t="s">
        <v>230</v>
      </c>
      <c r="F640" s="25" t="n">
        <f>245</f>
        <v>245.0</v>
      </c>
      <c r="G640" s="26" t="n">
        <f>1361328</f>
        <v>1361328.0</v>
      </c>
      <c r="H640" s="26"/>
      <c r="I640" s="26" t="str">
        <f>"－"</f>
        <v>－</v>
      </c>
      <c r="J640" s="26" t="n">
        <f>5556</f>
        <v>5556.0</v>
      </c>
      <c r="K640" s="26" t="str">
        <f>"－"</f>
        <v>－</v>
      </c>
      <c r="L640" s="4" t="s">
        <v>702</v>
      </c>
      <c r="M640" s="27" t="n">
        <f>22258</f>
        <v>22258.0</v>
      </c>
      <c r="N640" s="5" t="s">
        <v>518</v>
      </c>
      <c r="O640" s="28" t="n">
        <f>1660</f>
        <v>1660.0</v>
      </c>
      <c r="P640" s="3" t="s">
        <v>1427</v>
      </c>
      <c r="Q640" s="26"/>
      <c r="R640" s="3" t="s">
        <v>160</v>
      </c>
      <c r="S640" s="26" t="n">
        <f>1374677755</f>
        <v>1.374677755E9</v>
      </c>
      <c r="T640" s="26" t="str">
        <f>"－"</f>
        <v>－</v>
      </c>
      <c r="U640" s="5" t="s">
        <v>62</v>
      </c>
      <c r="V640" s="28" t="n">
        <f>5874190000</f>
        <v>5.87419E9</v>
      </c>
      <c r="W640" s="5" t="s">
        <v>917</v>
      </c>
      <c r="X640" s="28" t="n">
        <f>279290000</f>
        <v>2.7929E8</v>
      </c>
      <c r="Y640" s="28" t="n">
        <f>78949</f>
        <v>78949.0</v>
      </c>
      <c r="Z640" s="26" t="str">
        <f>"－"</f>
        <v>－</v>
      </c>
      <c r="AA640" s="26" t="n">
        <f>94244</f>
        <v>94244.0</v>
      </c>
      <c r="AB640" s="4" t="s">
        <v>417</v>
      </c>
      <c r="AC640" s="27" t="n">
        <f>97507</f>
        <v>97507.0</v>
      </c>
      <c r="AD640" s="5" t="s">
        <v>524</v>
      </c>
      <c r="AE640" s="28" t="n">
        <f>10920</f>
        <v>10920.0</v>
      </c>
    </row>
    <row r="641">
      <c r="A641" s="20" t="s">
        <v>1373</v>
      </c>
      <c r="B641" s="21" t="s">
        <v>1374</v>
      </c>
      <c r="C641" s="22" t="s">
        <v>1124</v>
      </c>
      <c r="D641" s="23" t="s">
        <v>1125</v>
      </c>
      <c r="E641" s="24" t="s">
        <v>235</v>
      </c>
      <c r="F641" s="25" t="n">
        <f>246</f>
        <v>246.0</v>
      </c>
      <c r="G641" s="26" t="n">
        <f>1123200</f>
        <v>1123200.0</v>
      </c>
      <c r="H641" s="26"/>
      <c r="I641" s="26" t="str">
        <f>"－"</f>
        <v>－</v>
      </c>
      <c r="J641" s="26" t="n">
        <f>4566</f>
        <v>4566.0</v>
      </c>
      <c r="K641" s="26" t="str">
        <f>"－"</f>
        <v>－</v>
      </c>
      <c r="L641" s="4" t="s">
        <v>1314</v>
      </c>
      <c r="M641" s="27" t="n">
        <f>21716</f>
        <v>21716.0</v>
      </c>
      <c r="N641" s="5" t="s">
        <v>791</v>
      </c>
      <c r="O641" s="28" t="n">
        <f>969</f>
        <v>969.0</v>
      </c>
      <c r="P641" s="3" t="s">
        <v>1428</v>
      </c>
      <c r="Q641" s="26"/>
      <c r="R641" s="3" t="s">
        <v>160</v>
      </c>
      <c r="S641" s="26" t="n">
        <f>1091510813</f>
        <v>1.091510813E9</v>
      </c>
      <c r="T641" s="26" t="str">
        <f>"－"</f>
        <v>－</v>
      </c>
      <c r="U641" s="5" t="s">
        <v>1224</v>
      </c>
      <c r="V641" s="28" t="n">
        <f>6821230000</f>
        <v>6.82123E9</v>
      </c>
      <c r="W641" s="5" t="s">
        <v>234</v>
      </c>
      <c r="X641" s="28" t="n">
        <f>143050000</f>
        <v>1.4305E8</v>
      </c>
      <c r="Y641" s="28" t="n">
        <f>52276</f>
        <v>52276.0</v>
      </c>
      <c r="Z641" s="26" t="str">
        <f>"－"</f>
        <v>－</v>
      </c>
      <c r="AA641" s="26" t="n">
        <f>37576</f>
        <v>37576.0</v>
      </c>
      <c r="AB641" s="4" t="s">
        <v>1400</v>
      </c>
      <c r="AC641" s="27" t="n">
        <f>86206</f>
        <v>86206.0</v>
      </c>
      <c r="AD641" s="5" t="s">
        <v>469</v>
      </c>
      <c r="AE641" s="28" t="n">
        <f>9864</f>
        <v>9864.0</v>
      </c>
    </row>
    <row r="642">
      <c r="A642" s="20" t="s">
        <v>1373</v>
      </c>
      <c r="B642" s="21" t="s">
        <v>1374</v>
      </c>
      <c r="C642" s="22" t="s">
        <v>1128</v>
      </c>
      <c r="D642" s="23" t="s">
        <v>1129</v>
      </c>
      <c r="E642" s="24" t="s">
        <v>235</v>
      </c>
      <c r="F642" s="25" t="n">
        <f>246</f>
        <v>246.0</v>
      </c>
      <c r="G642" s="26" t="n">
        <f>736255</f>
        <v>736255.0</v>
      </c>
      <c r="H642" s="26"/>
      <c r="I642" s="26" t="str">
        <f>"－"</f>
        <v>－</v>
      </c>
      <c r="J642" s="26" t="n">
        <f>2993</f>
        <v>2993.0</v>
      </c>
      <c r="K642" s="26" t="str">
        <f>"－"</f>
        <v>－</v>
      </c>
      <c r="L642" s="4" t="s">
        <v>608</v>
      </c>
      <c r="M642" s="27" t="n">
        <f>9609</f>
        <v>9609.0</v>
      </c>
      <c r="N642" s="5" t="s">
        <v>107</v>
      </c>
      <c r="O642" s="28" t="n">
        <f>604</f>
        <v>604.0</v>
      </c>
      <c r="P642" s="3" t="s">
        <v>1429</v>
      </c>
      <c r="Q642" s="26"/>
      <c r="R642" s="3" t="s">
        <v>160</v>
      </c>
      <c r="S642" s="26" t="n">
        <f>615946341</f>
        <v>6.15946341E8</v>
      </c>
      <c r="T642" s="26" t="str">
        <f>"－"</f>
        <v>－</v>
      </c>
      <c r="U642" s="5" t="s">
        <v>727</v>
      </c>
      <c r="V642" s="28" t="n">
        <f>4433470000</f>
        <v>4.43347E9</v>
      </c>
      <c r="W642" s="5" t="s">
        <v>771</v>
      </c>
      <c r="X642" s="28" t="n">
        <f>101710000</f>
        <v>1.0171E8</v>
      </c>
      <c r="Y642" s="28" t="n">
        <f>53547</f>
        <v>53547.0</v>
      </c>
      <c r="Z642" s="26" t="str">
        <f>"－"</f>
        <v>－</v>
      </c>
      <c r="AA642" s="26" t="n">
        <f>32221</f>
        <v>32221.0</v>
      </c>
      <c r="AB642" s="4" t="s">
        <v>209</v>
      </c>
      <c r="AC642" s="27" t="n">
        <f>32221</f>
        <v>32221.0</v>
      </c>
      <c r="AD642" s="5" t="s">
        <v>469</v>
      </c>
      <c r="AE642" s="28" t="n">
        <f>3974</f>
        <v>3974.0</v>
      </c>
    </row>
    <row r="643">
      <c r="A643" s="20" t="s">
        <v>1373</v>
      </c>
      <c r="B643" s="21" t="s">
        <v>1374</v>
      </c>
      <c r="C643" s="22" t="s">
        <v>1132</v>
      </c>
      <c r="D643" s="23" t="s">
        <v>1133</v>
      </c>
      <c r="E643" s="24" t="s">
        <v>235</v>
      </c>
      <c r="F643" s="25" t="n">
        <f>246</f>
        <v>246.0</v>
      </c>
      <c r="G643" s="26" t="n">
        <f>1859455</f>
        <v>1859455.0</v>
      </c>
      <c r="H643" s="26"/>
      <c r="I643" s="26" t="str">
        <f>"－"</f>
        <v>－</v>
      </c>
      <c r="J643" s="26" t="n">
        <f>7559</f>
        <v>7559.0</v>
      </c>
      <c r="K643" s="26" t="str">
        <f>"－"</f>
        <v>－</v>
      </c>
      <c r="L643" s="4" t="s">
        <v>1314</v>
      </c>
      <c r="M643" s="27" t="n">
        <f>25260</f>
        <v>25260.0</v>
      </c>
      <c r="N643" s="5" t="s">
        <v>234</v>
      </c>
      <c r="O643" s="28" t="n">
        <f>1987</f>
        <v>1987.0</v>
      </c>
      <c r="P643" s="3" t="s">
        <v>1430</v>
      </c>
      <c r="Q643" s="26"/>
      <c r="R643" s="3" t="s">
        <v>160</v>
      </c>
      <c r="S643" s="26" t="n">
        <f>1707457154</f>
        <v>1.707457154E9</v>
      </c>
      <c r="T643" s="26" t="str">
        <f>"－"</f>
        <v>－</v>
      </c>
      <c r="U643" s="5" t="s">
        <v>1224</v>
      </c>
      <c r="V643" s="28" t="n">
        <f>7372200000</f>
        <v>7.3722E9</v>
      </c>
      <c r="W643" s="5" t="s">
        <v>234</v>
      </c>
      <c r="X643" s="28" t="n">
        <f>307780000</f>
        <v>3.0778E8</v>
      </c>
      <c r="Y643" s="28" t="n">
        <f>105823</f>
        <v>105823.0</v>
      </c>
      <c r="Z643" s="26" t="str">
        <f>"－"</f>
        <v>－</v>
      </c>
      <c r="AA643" s="26" t="n">
        <f>69797</f>
        <v>69797.0</v>
      </c>
      <c r="AB643" s="4" t="s">
        <v>1394</v>
      </c>
      <c r="AC643" s="27" t="n">
        <f>107310</f>
        <v>107310.0</v>
      </c>
      <c r="AD643" s="5" t="s">
        <v>469</v>
      </c>
      <c r="AE643" s="28" t="n">
        <f>13838</f>
        <v>13838.0</v>
      </c>
    </row>
    <row r="644">
      <c r="A644" s="20" t="s">
        <v>1373</v>
      </c>
      <c r="B644" s="21" t="s">
        <v>1374</v>
      </c>
      <c r="C644" s="22" t="s">
        <v>1124</v>
      </c>
      <c r="D644" s="23" t="s">
        <v>1125</v>
      </c>
      <c r="E644" s="24" t="s">
        <v>240</v>
      </c>
      <c r="F644" s="25" t="n">
        <f>246</f>
        <v>246.0</v>
      </c>
      <c r="G644" s="26" t="n">
        <f>1151777</f>
        <v>1151777.0</v>
      </c>
      <c r="H644" s="26"/>
      <c r="I644" s="26" t="n">
        <f>5633</f>
        <v>5633.0</v>
      </c>
      <c r="J644" s="26" t="n">
        <f>4682</f>
        <v>4682.0</v>
      </c>
      <c r="K644" s="26" t="n">
        <f>23</f>
        <v>23.0</v>
      </c>
      <c r="L644" s="4" t="s">
        <v>549</v>
      </c>
      <c r="M644" s="27" t="n">
        <f>16667</f>
        <v>16667.0</v>
      </c>
      <c r="N644" s="5" t="s">
        <v>55</v>
      </c>
      <c r="O644" s="28" t="n">
        <f>1289</f>
        <v>1289.0</v>
      </c>
      <c r="P644" s="3" t="s">
        <v>1431</v>
      </c>
      <c r="Q644" s="26"/>
      <c r="R644" s="3" t="s">
        <v>1432</v>
      </c>
      <c r="S644" s="26" t="n">
        <f>1049626138</f>
        <v>1.049626138E9</v>
      </c>
      <c r="T644" s="26" t="n">
        <f>3096992</f>
        <v>3096992.0</v>
      </c>
      <c r="U644" s="5" t="s">
        <v>309</v>
      </c>
      <c r="V644" s="28" t="n">
        <f>5046460000</f>
        <v>5.04646E9</v>
      </c>
      <c r="W644" s="5" t="s">
        <v>82</v>
      </c>
      <c r="X644" s="28" t="n">
        <f>209600000</f>
        <v>2.096E8</v>
      </c>
      <c r="Y644" s="28" t="n">
        <f>31331</f>
        <v>31331.0</v>
      </c>
      <c r="Z644" s="26" t="str">
        <f>"－"</f>
        <v>－</v>
      </c>
      <c r="AA644" s="26" t="n">
        <f>26393</f>
        <v>26393.0</v>
      </c>
      <c r="AB644" s="4" t="s">
        <v>679</v>
      </c>
      <c r="AC644" s="27" t="n">
        <f>59542</f>
        <v>59542.0</v>
      </c>
      <c r="AD644" s="5" t="s">
        <v>473</v>
      </c>
      <c r="AE644" s="28" t="n">
        <f>6930</f>
        <v>6930.0</v>
      </c>
    </row>
    <row r="645">
      <c r="A645" s="20" t="s">
        <v>1373</v>
      </c>
      <c r="B645" s="21" t="s">
        <v>1374</v>
      </c>
      <c r="C645" s="22" t="s">
        <v>1128</v>
      </c>
      <c r="D645" s="23" t="s">
        <v>1129</v>
      </c>
      <c r="E645" s="24" t="s">
        <v>240</v>
      </c>
      <c r="F645" s="25" t="n">
        <f>246</f>
        <v>246.0</v>
      </c>
      <c r="G645" s="26" t="n">
        <f>873121</f>
        <v>873121.0</v>
      </c>
      <c r="H645" s="26"/>
      <c r="I645" s="26" t="n">
        <f>1983</f>
        <v>1983.0</v>
      </c>
      <c r="J645" s="26" t="n">
        <f>3549</f>
        <v>3549.0</v>
      </c>
      <c r="K645" s="26" t="n">
        <f>8</f>
        <v>8.0</v>
      </c>
      <c r="L645" s="4" t="s">
        <v>549</v>
      </c>
      <c r="M645" s="27" t="n">
        <f>12143</f>
        <v>12143.0</v>
      </c>
      <c r="N645" s="5" t="s">
        <v>90</v>
      </c>
      <c r="O645" s="28" t="n">
        <f>636</f>
        <v>636.0</v>
      </c>
      <c r="P645" s="3" t="s">
        <v>1433</v>
      </c>
      <c r="Q645" s="26"/>
      <c r="R645" s="3" t="s">
        <v>1434</v>
      </c>
      <c r="S645" s="26" t="n">
        <f>803716341</f>
        <v>8.03716341E8</v>
      </c>
      <c r="T645" s="26" t="n">
        <f>2057602</f>
        <v>2057602.0</v>
      </c>
      <c r="U645" s="5" t="s">
        <v>679</v>
      </c>
      <c r="V645" s="28" t="n">
        <f>11020550000</f>
        <v>1.102055E10</v>
      </c>
      <c r="W645" s="5" t="s">
        <v>64</v>
      </c>
      <c r="X645" s="28" t="n">
        <f>115480000</f>
        <v>1.1548E8</v>
      </c>
      <c r="Y645" s="28" t="n">
        <f>62701</f>
        <v>62701.0</v>
      </c>
      <c r="Z645" s="26" t="str">
        <f>"－"</f>
        <v>－</v>
      </c>
      <c r="AA645" s="26" t="n">
        <f>18771</f>
        <v>18771.0</v>
      </c>
      <c r="AB645" s="4" t="s">
        <v>152</v>
      </c>
      <c r="AC645" s="27" t="n">
        <f>24375</f>
        <v>24375.0</v>
      </c>
      <c r="AD645" s="5" t="s">
        <v>697</v>
      </c>
      <c r="AE645" s="28" t="n">
        <f>4000</f>
        <v>4000.0</v>
      </c>
    </row>
    <row r="646">
      <c r="A646" s="20" t="s">
        <v>1373</v>
      </c>
      <c r="B646" s="21" t="s">
        <v>1374</v>
      </c>
      <c r="C646" s="22" t="s">
        <v>1132</v>
      </c>
      <c r="D646" s="23" t="s">
        <v>1133</v>
      </c>
      <c r="E646" s="24" t="s">
        <v>240</v>
      </c>
      <c r="F646" s="25" t="n">
        <f>246</f>
        <v>246.0</v>
      </c>
      <c r="G646" s="26" t="n">
        <f>2024898</f>
        <v>2024898.0</v>
      </c>
      <c r="H646" s="26"/>
      <c r="I646" s="26" t="n">
        <f>7616</f>
        <v>7616.0</v>
      </c>
      <c r="J646" s="26" t="n">
        <f>8231</f>
        <v>8231.0</v>
      </c>
      <c r="K646" s="26" t="n">
        <f>31</f>
        <v>31.0</v>
      </c>
      <c r="L646" s="4" t="s">
        <v>549</v>
      </c>
      <c r="M646" s="27" t="n">
        <f>28810</f>
        <v>28810.0</v>
      </c>
      <c r="N646" s="5" t="s">
        <v>64</v>
      </c>
      <c r="O646" s="28" t="n">
        <f>2271</f>
        <v>2271.0</v>
      </c>
      <c r="P646" s="3" t="s">
        <v>1435</v>
      </c>
      <c r="Q646" s="26"/>
      <c r="R646" s="3" t="s">
        <v>1436</v>
      </c>
      <c r="S646" s="26" t="n">
        <f>1853342480</f>
        <v>1.85334248E9</v>
      </c>
      <c r="T646" s="26" t="n">
        <f>5154593</f>
        <v>5154593.0</v>
      </c>
      <c r="U646" s="5" t="s">
        <v>679</v>
      </c>
      <c r="V646" s="28" t="n">
        <f>12448050000</f>
        <v>1.244805E10</v>
      </c>
      <c r="W646" s="5" t="s">
        <v>1220</v>
      </c>
      <c r="X646" s="28" t="n">
        <f>475870000</f>
        <v>4.7587E8</v>
      </c>
      <c r="Y646" s="28" t="n">
        <f>94032</f>
        <v>94032.0</v>
      </c>
      <c r="Z646" s="26" t="str">
        <f>"－"</f>
        <v>－</v>
      </c>
      <c r="AA646" s="26" t="n">
        <f>45164</f>
        <v>45164.0</v>
      </c>
      <c r="AB646" s="4" t="s">
        <v>67</v>
      </c>
      <c r="AC646" s="27" t="n">
        <f>76068</f>
        <v>76068.0</v>
      </c>
      <c r="AD646" s="5" t="s">
        <v>473</v>
      </c>
      <c r="AE646" s="28" t="n">
        <f>11363</f>
        <v>11363.0</v>
      </c>
    </row>
    <row r="647">
      <c r="A647" s="20" t="s">
        <v>1373</v>
      </c>
      <c r="B647" s="21" t="s">
        <v>1374</v>
      </c>
      <c r="C647" s="22" t="s">
        <v>1124</v>
      </c>
      <c r="D647" s="23" t="s">
        <v>1125</v>
      </c>
      <c r="E647" s="24" t="s">
        <v>244</v>
      </c>
      <c r="F647" s="25" t="n">
        <f>245</f>
        <v>245.0</v>
      </c>
      <c r="G647" s="26" t="n">
        <f>1559332</f>
        <v>1559332.0</v>
      </c>
      <c r="H647" s="26"/>
      <c r="I647" s="26" t="n">
        <f>192423</f>
        <v>192423.0</v>
      </c>
      <c r="J647" s="26" t="n">
        <f>6365</f>
        <v>6365.0</v>
      </c>
      <c r="K647" s="26" t="n">
        <f>785</f>
        <v>785.0</v>
      </c>
      <c r="L647" s="4" t="s">
        <v>514</v>
      </c>
      <c r="M647" s="27" t="n">
        <f>20704</f>
        <v>20704.0</v>
      </c>
      <c r="N647" s="5" t="s">
        <v>403</v>
      </c>
      <c r="O647" s="28" t="n">
        <f>1479</f>
        <v>1479.0</v>
      </c>
      <c r="P647" s="3" t="s">
        <v>1437</v>
      </c>
      <c r="Q647" s="26"/>
      <c r="R647" s="3" t="s">
        <v>1438</v>
      </c>
      <c r="S647" s="26" t="n">
        <f>1408050163</f>
        <v>1.408050163E9</v>
      </c>
      <c r="T647" s="26" t="n">
        <f>208829673</f>
        <v>2.08829673E8</v>
      </c>
      <c r="U647" s="5" t="s">
        <v>218</v>
      </c>
      <c r="V647" s="28" t="n">
        <f>6537560000</f>
        <v>6.53756E9</v>
      </c>
      <c r="W647" s="5" t="s">
        <v>967</v>
      </c>
      <c r="X647" s="28" t="n">
        <f>181270000</f>
        <v>1.8127E8</v>
      </c>
      <c r="Y647" s="28" t="n">
        <f>54849</f>
        <v>54849.0</v>
      </c>
      <c r="Z647" s="26" t="n">
        <f>26889</f>
        <v>26889.0</v>
      </c>
      <c r="AA647" s="26" t="n">
        <f>43830</f>
        <v>43830.0</v>
      </c>
      <c r="AB647" s="4" t="s">
        <v>798</v>
      </c>
      <c r="AC647" s="27" t="n">
        <f>109124</f>
        <v>109124.0</v>
      </c>
      <c r="AD647" s="5" t="s">
        <v>157</v>
      </c>
      <c r="AE647" s="28" t="n">
        <f>7896</f>
        <v>7896.0</v>
      </c>
    </row>
    <row r="648">
      <c r="A648" s="20" t="s">
        <v>1373</v>
      </c>
      <c r="B648" s="21" t="s">
        <v>1374</v>
      </c>
      <c r="C648" s="22" t="s">
        <v>1128</v>
      </c>
      <c r="D648" s="23" t="s">
        <v>1129</v>
      </c>
      <c r="E648" s="24" t="s">
        <v>244</v>
      </c>
      <c r="F648" s="25" t="n">
        <f>245</f>
        <v>245.0</v>
      </c>
      <c r="G648" s="26" t="n">
        <f>1471694</f>
        <v>1471694.0</v>
      </c>
      <c r="H648" s="26"/>
      <c r="I648" s="26" t="n">
        <f>114903</f>
        <v>114903.0</v>
      </c>
      <c r="J648" s="26" t="n">
        <f>6007</f>
        <v>6007.0</v>
      </c>
      <c r="K648" s="26" t="n">
        <f>469</f>
        <v>469.0</v>
      </c>
      <c r="L648" s="4" t="s">
        <v>521</v>
      </c>
      <c r="M648" s="27" t="n">
        <f>17385</f>
        <v>17385.0</v>
      </c>
      <c r="N648" s="5" t="s">
        <v>399</v>
      </c>
      <c r="O648" s="28" t="n">
        <f>1683</f>
        <v>1683.0</v>
      </c>
      <c r="P648" s="3" t="s">
        <v>1439</v>
      </c>
      <c r="Q648" s="26"/>
      <c r="R648" s="3" t="s">
        <v>1440</v>
      </c>
      <c r="S648" s="26" t="n">
        <f>1530370408</f>
        <v>1.530370408E9</v>
      </c>
      <c r="T648" s="26" t="n">
        <f>186995102</f>
        <v>1.86995102E8</v>
      </c>
      <c r="U648" s="5" t="s">
        <v>679</v>
      </c>
      <c r="V648" s="28" t="n">
        <f>20023710000</f>
        <v>2.002371E10</v>
      </c>
      <c r="W648" s="5" t="s">
        <v>511</v>
      </c>
      <c r="X648" s="28" t="n">
        <f>161280000</f>
        <v>1.6128E8</v>
      </c>
      <c r="Y648" s="28" t="n">
        <f>128368</f>
        <v>128368.0</v>
      </c>
      <c r="Z648" s="26" t="n">
        <f>19895</f>
        <v>19895.0</v>
      </c>
      <c r="AA648" s="26" t="n">
        <f>14090</f>
        <v>14090.0</v>
      </c>
      <c r="AB648" s="4" t="s">
        <v>546</v>
      </c>
      <c r="AC648" s="27" t="n">
        <f>61749</f>
        <v>61749.0</v>
      </c>
      <c r="AD648" s="5" t="s">
        <v>157</v>
      </c>
      <c r="AE648" s="28" t="n">
        <f>6106</f>
        <v>6106.0</v>
      </c>
    </row>
    <row r="649">
      <c r="A649" s="20" t="s">
        <v>1373</v>
      </c>
      <c r="B649" s="21" t="s">
        <v>1374</v>
      </c>
      <c r="C649" s="22" t="s">
        <v>1132</v>
      </c>
      <c r="D649" s="23" t="s">
        <v>1133</v>
      </c>
      <c r="E649" s="24" t="s">
        <v>244</v>
      </c>
      <c r="F649" s="25" t="n">
        <f>245</f>
        <v>245.0</v>
      </c>
      <c r="G649" s="26" t="n">
        <f>3031026</f>
        <v>3031026.0</v>
      </c>
      <c r="H649" s="26"/>
      <c r="I649" s="26" t="n">
        <f>307326</f>
        <v>307326.0</v>
      </c>
      <c r="J649" s="26" t="n">
        <f>12372</f>
        <v>12372.0</v>
      </c>
      <c r="K649" s="26" t="n">
        <f>1254</f>
        <v>1254.0</v>
      </c>
      <c r="L649" s="4" t="s">
        <v>514</v>
      </c>
      <c r="M649" s="27" t="n">
        <f>33535</f>
        <v>33535.0</v>
      </c>
      <c r="N649" s="5" t="s">
        <v>967</v>
      </c>
      <c r="O649" s="28" t="n">
        <f>3493</f>
        <v>3493.0</v>
      </c>
      <c r="P649" s="3" t="s">
        <v>1441</v>
      </c>
      <c r="Q649" s="26"/>
      <c r="R649" s="3" t="s">
        <v>1442</v>
      </c>
      <c r="S649" s="26" t="n">
        <f>2938420571</f>
        <v>2.938420571E9</v>
      </c>
      <c r="T649" s="26" t="n">
        <f>395824776</f>
        <v>3.95824776E8</v>
      </c>
      <c r="U649" s="5" t="s">
        <v>679</v>
      </c>
      <c r="V649" s="28" t="n">
        <f>21224770000</f>
        <v>2.122477E10</v>
      </c>
      <c r="W649" s="5" t="s">
        <v>967</v>
      </c>
      <c r="X649" s="28" t="n">
        <f>521550000</f>
        <v>5.2155E8</v>
      </c>
      <c r="Y649" s="28" t="n">
        <f>183217</f>
        <v>183217.0</v>
      </c>
      <c r="Z649" s="26" t="n">
        <f>46784</f>
        <v>46784.0</v>
      </c>
      <c r="AA649" s="26" t="n">
        <f>57920</f>
        <v>57920.0</v>
      </c>
      <c r="AB649" s="4" t="s">
        <v>920</v>
      </c>
      <c r="AC649" s="27" t="n">
        <f>154544</f>
        <v>154544.0</v>
      </c>
      <c r="AD649" s="5" t="s">
        <v>157</v>
      </c>
      <c r="AE649" s="28" t="n">
        <f>14002</f>
        <v>14002.0</v>
      </c>
    </row>
    <row r="650">
      <c r="A650" s="20" t="s">
        <v>1373</v>
      </c>
      <c r="B650" s="21" t="s">
        <v>1374</v>
      </c>
      <c r="C650" s="22" t="s">
        <v>1124</v>
      </c>
      <c r="D650" s="23" t="s">
        <v>1125</v>
      </c>
      <c r="E650" s="24" t="s">
        <v>247</v>
      </c>
      <c r="F650" s="25" t="n">
        <f>245</f>
        <v>245.0</v>
      </c>
      <c r="G650" s="26" t="n">
        <f>978368</f>
        <v>978368.0</v>
      </c>
      <c r="H650" s="26"/>
      <c r="I650" s="26" t="n">
        <f>106423</f>
        <v>106423.0</v>
      </c>
      <c r="J650" s="26" t="n">
        <f>3993</f>
        <v>3993.0</v>
      </c>
      <c r="K650" s="26" t="n">
        <f>434</f>
        <v>434.0</v>
      </c>
      <c r="L650" s="4" t="s">
        <v>731</v>
      </c>
      <c r="M650" s="27" t="n">
        <f>11272</f>
        <v>11272.0</v>
      </c>
      <c r="N650" s="5" t="s">
        <v>1443</v>
      </c>
      <c r="O650" s="28" t="n">
        <f>629</f>
        <v>629.0</v>
      </c>
      <c r="P650" s="3" t="s">
        <v>1444</v>
      </c>
      <c r="Q650" s="26"/>
      <c r="R650" s="3" t="s">
        <v>1445</v>
      </c>
      <c r="S650" s="26" t="n">
        <f>1332027388</f>
        <v>1.332027388E9</v>
      </c>
      <c r="T650" s="26" t="n">
        <f>210898857</f>
        <v>2.10898857E8</v>
      </c>
      <c r="U650" s="5" t="s">
        <v>889</v>
      </c>
      <c r="V650" s="28" t="n">
        <f>12501900000</f>
        <v>1.25019E10</v>
      </c>
      <c r="W650" s="5" t="s">
        <v>82</v>
      </c>
      <c r="X650" s="28" t="n">
        <f>46930000</f>
        <v>4.693E7</v>
      </c>
      <c r="Y650" s="28" t="n">
        <f>55548</f>
        <v>55548.0</v>
      </c>
      <c r="Z650" s="26" t="n">
        <f>144796</f>
        <v>144796.0</v>
      </c>
      <c r="AA650" s="26" t="n">
        <f>11384</f>
        <v>11384.0</v>
      </c>
      <c r="AB650" s="4" t="s">
        <v>798</v>
      </c>
      <c r="AC650" s="27" t="n">
        <f>39313</f>
        <v>39313.0</v>
      </c>
      <c r="AD650" s="5" t="s">
        <v>524</v>
      </c>
      <c r="AE650" s="28" t="n">
        <f>863</f>
        <v>863.0</v>
      </c>
    </row>
    <row r="651">
      <c r="A651" s="20" t="s">
        <v>1373</v>
      </c>
      <c r="B651" s="21" t="s">
        <v>1374</v>
      </c>
      <c r="C651" s="22" t="s">
        <v>1128</v>
      </c>
      <c r="D651" s="23" t="s">
        <v>1129</v>
      </c>
      <c r="E651" s="24" t="s">
        <v>247</v>
      </c>
      <c r="F651" s="25" t="n">
        <f>245</f>
        <v>245.0</v>
      </c>
      <c r="G651" s="26" t="n">
        <f>1129882</f>
        <v>1129882.0</v>
      </c>
      <c r="H651" s="26"/>
      <c r="I651" s="26" t="n">
        <f>119640</f>
        <v>119640.0</v>
      </c>
      <c r="J651" s="26" t="n">
        <f>4612</f>
        <v>4612.0</v>
      </c>
      <c r="K651" s="26" t="n">
        <f>488</f>
        <v>488.0</v>
      </c>
      <c r="L651" s="4" t="s">
        <v>830</v>
      </c>
      <c r="M651" s="27" t="n">
        <f>17937</f>
        <v>17937.0</v>
      </c>
      <c r="N651" s="5" t="s">
        <v>203</v>
      </c>
      <c r="O651" s="28" t="n">
        <f>223</f>
        <v>223.0</v>
      </c>
      <c r="P651" s="3" t="s">
        <v>1446</v>
      </c>
      <c r="Q651" s="26"/>
      <c r="R651" s="3" t="s">
        <v>1447</v>
      </c>
      <c r="S651" s="26" t="n">
        <f>1335800204</f>
        <v>1.335800204E9</v>
      </c>
      <c r="T651" s="26" t="n">
        <f>190341469</f>
        <v>1.90341469E8</v>
      </c>
      <c r="U651" s="5" t="s">
        <v>830</v>
      </c>
      <c r="V651" s="28" t="n">
        <f>6791410000</f>
        <v>6.79141E9</v>
      </c>
      <c r="W651" s="5" t="s">
        <v>50</v>
      </c>
      <c r="X651" s="28" t="n">
        <f>71580000</f>
        <v>7.158E7</v>
      </c>
      <c r="Y651" s="28" t="n">
        <f>51469</f>
        <v>51469.0</v>
      </c>
      <c r="Z651" s="26" t="n">
        <f>155356</f>
        <v>155356.0</v>
      </c>
      <c r="AA651" s="26" t="n">
        <f>20111</f>
        <v>20111.0</v>
      </c>
      <c r="AB651" s="4" t="s">
        <v>889</v>
      </c>
      <c r="AC651" s="27" t="n">
        <f>52459</f>
        <v>52459.0</v>
      </c>
      <c r="AD651" s="5" t="s">
        <v>524</v>
      </c>
      <c r="AE651" s="28" t="n">
        <f>844</f>
        <v>844.0</v>
      </c>
    </row>
    <row r="652">
      <c r="A652" s="20" t="s">
        <v>1373</v>
      </c>
      <c r="B652" s="21" t="s">
        <v>1374</v>
      </c>
      <c r="C652" s="22" t="s">
        <v>1132</v>
      </c>
      <c r="D652" s="23" t="s">
        <v>1133</v>
      </c>
      <c r="E652" s="24" t="s">
        <v>247</v>
      </c>
      <c r="F652" s="25" t="n">
        <f>245</f>
        <v>245.0</v>
      </c>
      <c r="G652" s="26" t="n">
        <f>2108250</f>
        <v>2108250.0</v>
      </c>
      <c r="H652" s="26"/>
      <c r="I652" s="26" t="n">
        <f>226063</f>
        <v>226063.0</v>
      </c>
      <c r="J652" s="26" t="n">
        <f>8605</f>
        <v>8605.0</v>
      </c>
      <c r="K652" s="26" t="n">
        <f>923</f>
        <v>923.0</v>
      </c>
      <c r="L652" s="4" t="s">
        <v>830</v>
      </c>
      <c r="M652" s="27" t="n">
        <f>23861</f>
        <v>23861.0</v>
      </c>
      <c r="N652" s="5" t="s">
        <v>1443</v>
      </c>
      <c r="O652" s="28" t="n">
        <f>922</f>
        <v>922.0</v>
      </c>
      <c r="P652" s="3" t="s">
        <v>1448</v>
      </c>
      <c r="Q652" s="26"/>
      <c r="R652" s="3" t="s">
        <v>1449</v>
      </c>
      <c r="S652" s="26" t="n">
        <f>2667827592</f>
        <v>2.667827592E9</v>
      </c>
      <c r="T652" s="26" t="n">
        <f>401240327</f>
        <v>4.01240327E8</v>
      </c>
      <c r="U652" s="5" t="s">
        <v>889</v>
      </c>
      <c r="V652" s="28" t="n">
        <f>14008590000</f>
        <v>1.400859E10</v>
      </c>
      <c r="W652" s="5" t="s">
        <v>50</v>
      </c>
      <c r="X652" s="28" t="n">
        <f>122710000</f>
        <v>1.2271E8</v>
      </c>
      <c r="Y652" s="28" t="n">
        <f>107017</f>
        <v>107017.0</v>
      </c>
      <c r="Z652" s="26" t="n">
        <f>300152</f>
        <v>300152.0</v>
      </c>
      <c r="AA652" s="26" t="n">
        <f>31495</f>
        <v>31495.0</v>
      </c>
      <c r="AB652" s="4" t="s">
        <v>1400</v>
      </c>
      <c r="AC652" s="27" t="n">
        <f>83813</f>
        <v>83813.0</v>
      </c>
      <c r="AD652" s="5" t="s">
        <v>524</v>
      </c>
      <c r="AE652" s="28" t="n">
        <f>1707</f>
        <v>1707.0</v>
      </c>
    </row>
    <row r="653">
      <c r="A653" s="20" t="s">
        <v>1373</v>
      </c>
      <c r="B653" s="21" t="s">
        <v>1374</v>
      </c>
      <c r="C653" s="22" t="s">
        <v>1124</v>
      </c>
      <c r="D653" s="23" t="s">
        <v>1125</v>
      </c>
      <c r="E653" s="24" t="s">
        <v>251</v>
      </c>
      <c r="F653" s="25" t="n">
        <f>244</f>
        <v>244.0</v>
      </c>
      <c r="G653" s="26" t="n">
        <f>1275269</f>
        <v>1275269.0</v>
      </c>
      <c r="H653" s="26"/>
      <c r="I653" s="26" t="n">
        <f>99058</f>
        <v>99058.0</v>
      </c>
      <c r="J653" s="26" t="n">
        <f>5227</f>
        <v>5227.0</v>
      </c>
      <c r="K653" s="26" t="n">
        <f>406</f>
        <v>406.0</v>
      </c>
      <c r="L653" s="4" t="s">
        <v>889</v>
      </c>
      <c r="M653" s="27" t="n">
        <f>13873</f>
        <v>13873.0</v>
      </c>
      <c r="N653" s="5" t="s">
        <v>583</v>
      </c>
      <c r="O653" s="28" t="n">
        <f>1050</f>
        <v>1050.0</v>
      </c>
      <c r="P653" s="3" t="s">
        <v>1450</v>
      </c>
      <c r="Q653" s="26"/>
      <c r="R653" s="3" t="s">
        <v>1451</v>
      </c>
      <c r="S653" s="26" t="n">
        <f>1059181639</f>
        <v>1.059181639E9</v>
      </c>
      <c r="T653" s="26" t="n">
        <f>91758975</f>
        <v>9.1758975E7</v>
      </c>
      <c r="U653" s="5" t="s">
        <v>331</v>
      </c>
      <c r="V653" s="28" t="n">
        <f>4120910000</f>
        <v>4.12091E9</v>
      </c>
      <c r="W653" s="5" t="s">
        <v>583</v>
      </c>
      <c r="X653" s="28" t="n">
        <f>182730000</f>
        <v>1.8273E8</v>
      </c>
      <c r="Y653" s="28" t="n">
        <f>99389</f>
        <v>99389.0</v>
      </c>
      <c r="Z653" s="26" t="n">
        <f>666972</f>
        <v>666972.0</v>
      </c>
      <c r="AA653" s="26" t="n">
        <f>15222</f>
        <v>15222.0</v>
      </c>
      <c r="AB653" s="4" t="s">
        <v>1071</v>
      </c>
      <c r="AC653" s="27" t="n">
        <f>54526</f>
        <v>54526.0</v>
      </c>
      <c r="AD653" s="5" t="s">
        <v>469</v>
      </c>
      <c r="AE653" s="28" t="n">
        <f>4815</f>
        <v>4815.0</v>
      </c>
    </row>
    <row r="654">
      <c r="A654" s="20" t="s">
        <v>1373</v>
      </c>
      <c r="B654" s="21" t="s">
        <v>1374</v>
      </c>
      <c r="C654" s="22" t="s">
        <v>1128</v>
      </c>
      <c r="D654" s="23" t="s">
        <v>1129</v>
      </c>
      <c r="E654" s="24" t="s">
        <v>251</v>
      </c>
      <c r="F654" s="25" t="n">
        <f>244</f>
        <v>244.0</v>
      </c>
      <c r="G654" s="26" t="n">
        <f>1211858</f>
        <v>1211858.0</v>
      </c>
      <c r="H654" s="26"/>
      <c r="I654" s="26" t="n">
        <f>74628</f>
        <v>74628.0</v>
      </c>
      <c r="J654" s="26" t="n">
        <f>4967</f>
        <v>4967.0</v>
      </c>
      <c r="K654" s="26" t="n">
        <f>306</f>
        <v>306.0</v>
      </c>
      <c r="L654" s="4" t="s">
        <v>801</v>
      </c>
      <c r="M654" s="27" t="n">
        <f>19922</f>
        <v>19922.0</v>
      </c>
      <c r="N654" s="5" t="s">
        <v>254</v>
      </c>
      <c r="O654" s="28" t="n">
        <f>1017</f>
        <v>1017.0</v>
      </c>
      <c r="P654" s="3" t="s">
        <v>1452</v>
      </c>
      <c r="Q654" s="26"/>
      <c r="R654" s="3" t="s">
        <v>1453</v>
      </c>
      <c r="S654" s="26" t="n">
        <f>1208789631</f>
        <v>1.208789631E9</v>
      </c>
      <c r="T654" s="26" t="n">
        <f>133564057</f>
        <v>1.33564057E8</v>
      </c>
      <c r="U654" s="5" t="s">
        <v>1071</v>
      </c>
      <c r="V654" s="28" t="n">
        <f>9803730000</f>
        <v>9.80373E9</v>
      </c>
      <c r="W654" s="5" t="s">
        <v>196</v>
      </c>
      <c r="X654" s="28" t="n">
        <f>143920000</f>
        <v>1.4392E8</v>
      </c>
      <c r="Y654" s="28" t="n">
        <f>135254</f>
        <v>135254.0</v>
      </c>
      <c r="Z654" s="26" t="n">
        <f>605429</f>
        <v>605429.0</v>
      </c>
      <c r="AA654" s="26" t="n">
        <f>20531</f>
        <v>20531.0</v>
      </c>
      <c r="AB654" s="4" t="s">
        <v>169</v>
      </c>
      <c r="AC654" s="27" t="n">
        <f>54579</f>
        <v>54579.0</v>
      </c>
      <c r="AD654" s="5" t="s">
        <v>179</v>
      </c>
      <c r="AE654" s="28" t="n">
        <f>3096</f>
        <v>3096.0</v>
      </c>
    </row>
    <row r="655">
      <c r="A655" s="20" t="s">
        <v>1373</v>
      </c>
      <c r="B655" s="21" t="s">
        <v>1374</v>
      </c>
      <c r="C655" s="22" t="s">
        <v>1132</v>
      </c>
      <c r="D655" s="23" t="s">
        <v>1133</v>
      </c>
      <c r="E655" s="24" t="s">
        <v>251</v>
      </c>
      <c r="F655" s="25" t="n">
        <f>244</f>
        <v>244.0</v>
      </c>
      <c r="G655" s="26" t="n">
        <f>2487127</f>
        <v>2487127.0</v>
      </c>
      <c r="H655" s="26"/>
      <c r="I655" s="26" t="n">
        <f>173686</f>
        <v>173686.0</v>
      </c>
      <c r="J655" s="26" t="n">
        <f>10193</f>
        <v>10193.0</v>
      </c>
      <c r="K655" s="26" t="n">
        <f>712</f>
        <v>712.0</v>
      </c>
      <c r="L655" s="4" t="s">
        <v>801</v>
      </c>
      <c r="M655" s="27" t="n">
        <f>29788</f>
        <v>29788.0</v>
      </c>
      <c r="N655" s="5" t="s">
        <v>195</v>
      </c>
      <c r="O655" s="28" t="n">
        <f>3335</f>
        <v>3335.0</v>
      </c>
      <c r="P655" s="3" t="s">
        <v>1454</v>
      </c>
      <c r="Q655" s="26"/>
      <c r="R655" s="3" t="s">
        <v>1455</v>
      </c>
      <c r="S655" s="26" t="n">
        <f>2267971270</f>
        <v>2.26797127E9</v>
      </c>
      <c r="T655" s="26" t="n">
        <f>225323033</f>
        <v>2.25323033E8</v>
      </c>
      <c r="U655" s="5" t="s">
        <v>1071</v>
      </c>
      <c r="V655" s="28" t="n">
        <f>10790550000</f>
        <v>1.079055E10</v>
      </c>
      <c r="W655" s="5" t="s">
        <v>596</v>
      </c>
      <c r="X655" s="28" t="n">
        <f>458160000</f>
        <v>4.5816E8</v>
      </c>
      <c r="Y655" s="28" t="n">
        <f>234643</f>
        <v>234643.0</v>
      </c>
      <c r="Z655" s="26" t="n">
        <f>1272401</f>
        <v>1272401.0</v>
      </c>
      <c r="AA655" s="26" t="n">
        <f>35753</f>
        <v>35753.0</v>
      </c>
      <c r="AB655" s="4" t="s">
        <v>301</v>
      </c>
      <c r="AC655" s="27" t="n">
        <f>98940</f>
        <v>98940.0</v>
      </c>
      <c r="AD655" s="5" t="s">
        <v>179</v>
      </c>
      <c r="AE655" s="28" t="n">
        <f>7991</f>
        <v>7991.0</v>
      </c>
    </row>
    <row r="656">
      <c r="A656" s="20" t="s">
        <v>1373</v>
      </c>
      <c r="B656" s="21" t="s">
        <v>1374</v>
      </c>
      <c r="C656" s="22" t="s">
        <v>1124</v>
      </c>
      <c r="D656" s="23" t="s">
        <v>1125</v>
      </c>
      <c r="E656" s="24" t="s">
        <v>255</v>
      </c>
      <c r="F656" s="25" t="n">
        <f>245</f>
        <v>245.0</v>
      </c>
      <c r="G656" s="26" t="n">
        <f>1090223</f>
        <v>1090223.0</v>
      </c>
      <c r="H656" s="26"/>
      <c r="I656" s="26" t="n">
        <f>122334</f>
        <v>122334.0</v>
      </c>
      <c r="J656" s="26" t="n">
        <f>4450</f>
        <v>4450.0</v>
      </c>
      <c r="K656" s="26" t="n">
        <f>499</f>
        <v>499.0</v>
      </c>
      <c r="L656" s="4" t="s">
        <v>722</v>
      </c>
      <c r="M656" s="27" t="n">
        <f>11574</f>
        <v>11574.0</v>
      </c>
      <c r="N656" s="5" t="s">
        <v>589</v>
      </c>
      <c r="O656" s="28" t="n">
        <f>939</f>
        <v>939.0</v>
      </c>
      <c r="P656" s="3" t="s">
        <v>1456</v>
      </c>
      <c r="Q656" s="26"/>
      <c r="R656" s="3" t="s">
        <v>1457</v>
      </c>
      <c r="S656" s="26" t="n">
        <f>838836163</f>
        <v>8.38836163E8</v>
      </c>
      <c r="T656" s="26" t="n">
        <f>106968082</f>
        <v>1.06968082E8</v>
      </c>
      <c r="U656" s="5" t="s">
        <v>191</v>
      </c>
      <c r="V656" s="28" t="n">
        <f>5400650000</f>
        <v>5.40065E9</v>
      </c>
      <c r="W656" s="5" t="s">
        <v>702</v>
      </c>
      <c r="X656" s="28" t="n">
        <f>135510000</f>
        <v>1.3551E8</v>
      </c>
      <c r="Y656" s="28" t="n">
        <f>26108</f>
        <v>26108.0</v>
      </c>
      <c r="Z656" s="26" t="n">
        <f>495278</f>
        <v>495278.0</v>
      </c>
      <c r="AA656" s="26" t="n">
        <f>17054</f>
        <v>17054.0</v>
      </c>
      <c r="AB656" s="4" t="s">
        <v>1071</v>
      </c>
      <c r="AC656" s="27" t="n">
        <f>45086</f>
        <v>45086.0</v>
      </c>
      <c r="AD656" s="5" t="s">
        <v>179</v>
      </c>
      <c r="AE656" s="28" t="n">
        <f>3250</f>
        <v>3250.0</v>
      </c>
    </row>
    <row r="657">
      <c r="A657" s="20" t="s">
        <v>1373</v>
      </c>
      <c r="B657" s="21" t="s">
        <v>1374</v>
      </c>
      <c r="C657" s="22" t="s">
        <v>1128</v>
      </c>
      <c r="D657" s="23" t="s">
        <v>1129</v>
      </c>
      <c r="E657" s="24" t="s">
        <v>255</v>
      </c>
      <c r="F657" s="25" t="n">
        <f>245</f>
        <v>245.0</v>
      </c>
      <c r="G657" s="26" t="n">
        <f>898795</f>
        <v>898795.0</v>
      </c>
      <c r="H657" s="26"/>
      <c r="I657" s="26" t="n">
        <f>91500</f>
        <v>91500.0</v>
      </c>
      <c r="J657" s="26" t="n">
        <f>3669</f>
        <v>3669.0</v>
      </c>
      <c r="K657" s="26" t="n">
        <f>373</f>
        <v>373.0</v>
      </c>
      <c r="L657" s="4" t="s">
        <v>591</v>
      </c>
      <c r="M657" s="27" t="n">
        <f>9400</f>
        <v>9400.0</v>
      </c>
      <c r="N657" s="5" t="s">
        <v>565</v>
      </c>
      <c r="O657" s="28" t="n">
        <f>766</f>
        <v>766.0</v>
      </c>
      <c r="P657" s="3" t="s">
        <v>1458</v>
      </c>
      <c r="Q657" s="26"/>
      <c r="R657" s="3" t="s">
        <v>1459</v>
      </c>
      <c r="S657" s="26" t="n">
        <f>820446571</f>
        <v>8.20446571E8</v>
      </c>
      <c r="T657" s="26" t="n">
        <f>129405918</f>
        <v>1.29405918E8</v>
      </c>
      <c r="U657" s="5" t="s">
        <v>1071</v>
      </c>
      <c r="V657" s="28" t="n">
        <f>3573310000</f>
        <v>3.57331E9</v>
      </c>
      <c r="W657" s="5" t="s">
        <v>715</v>
      </c>
      <c r="X657" s="28" t="n">
        <f>175700000</f>
        <v>1.757E8</v>
      </c>
      <c r="Y657" s="28" t="n">
        <f>68497</f>
        <v>68497.0</v>
      </c>
      <c r="Z657" s="26" t="n">
        <f>318600</f>
        <v>318600.0</v>
      </c>
      <c r="AA657" s="26" t="n">
        <f>6370</f>
        <v>6370.0</v>
      </c>
      <c r="AB657" s="4" t="s">
        <v>191</v>
      </c>
      <c r="AC657" s="27" t="n">
        <f>29175</f>
        <v>29175.0</v>
      </c>
      <c r="AD657" s="5" t="s">
        <v>148</v>
      </c>
      <c r="AE657" s="28" t="n">
        <f>2855</f>
        <v>2855.0</v>
      </c>
    </row>
    <row r="658">
      <c r="A658" s="20" t="s">
        <v>1373</v>
      </c>
      <c r="B658" s="21" t="s">
        <v>1374</v>
      </c>
      <c r="C658" s="22" t="s">
        <v>1132</v>
      </c>
      <c r="D658" s="23" t="s">
        <v>1133</v>
      </c>
      <c r="E658" s="24" t="s">
        <v>255</v>
      </c>
      <c r="F658" s="25" t="n">
        <f>245</f>
        <v>245.0</v>
      </c>
      <c r="G658" s="26" t="n">
        <f>1989018</f>
        <v>1989018.0</v>
      </c>
      <c r="H658" s="26"/>
      <c r="I658" s="26" t="n">
        <f>213834</f>
        <v>213834.0</v>
      </c>
      <c r="J658" s="26" t="n">
        <f>8118</f>
        <v>8118.0</v>
      </c>
      <c r="K658" s="26" t="n">
        <f>873</f>
        <v>873.0</v>
      </c>
      <c r="L658" s="4" t="s">
        <v>815</v>
      </c>
      <c r="M658" s="27" t="n">
        <f>20479</f>
        <v>20479.0</v>
      </c>
      <c r="N658" s="5" t="s">
        <v>589</v>
      </c>
      <c r="O658" s="28" t="n">
        <f>1947</f>
        <v>1947.0</v>
      </c>
      <c r="P658" s="3" t="s">
        <v>1460</v>
      </c>
      <c r="Q658" s="26"/>
      <c r="R658" s="3" t="s">
        <v>1461</v>
      </c>
      <c r="S658" s="26" t="n">
        <f>1659282735</f>
        <v>1.659282735E9</v>
      </c>
      <c r="T658" s="26" t="n">
        <f>236374000</f>
        <v>2.36374E8</v>
      </c>
      <c r="U658" s="5" t="s">
        <v>191</v>
      </c>
      <c r="V658" s="28" t="n">
        <f>6030470000</f>
        <v>6.03047E9</v>
      </c>
      <c r="W658" s="5" t="s">
        <v>306</v>
      </c>
      <c r="X658" s="28" t="n">
        <f>382020000</f>
        <v>3.8202E8</v>
      </c>
      <c r="Y658" s="28" t="n">
        <f>94605</f>
        <v>94605.0</v>
      </c>
      <c r="Z658" s="26" t="n">
        <f>813878</f>
        <v>813878.0</v>
      </c>
      <c r="AA658" s="26" t="n">
        <f>23424</f>
        <v>23424.0</v>
      </c>
      <c r="AB658" s="4" t="s">
        <v>218</v>
      </c>
      <c r="AC658" s="27" t="n">
        <f>58070</f>
        <v>58070.0</v>
      </c>
      <c r="AD658" s="5" t="s">
        <v>179</v>
      </c>
      <c r="AE658" s="28" t="n">
        <f>6171</f>
        <v>6171.0</v>
      </c>
    </row>
    <row r="659">
      <c r="A659" s="20" t="s">
        <v>1373</v>
      </c>
      <c r="B659" s="21" t="s">
        <v>1374</v>
      </c>
      <c r="C659" s="22" t="s">
        <v>1124</v>
      </c>
      <c r="D659" s="23" t="s">
        <v>1125</v>
      </c>
      <c r="E659" s="24" t="s">
        <v>258</v>
      </c>
      <c r="F659" s="25" t="n">
        <f>246</f>
        <v>246.0</v>
      </c>
      <c r="G659" s="26" t="n">
        <f>1224823</f>
        <v>1224823.0</v>
      </c>
      <c r="H659" s="26"/>
      <c r="I659" s="26" t="n">
        <f>140155</f>
        <v>140155.0</v>
      </c>
      <c r="J659" s="26" t="n">
        <f>4979</f>
        <v>4979.0</v>
      </c>
      <c r="K659" s="26" t="n">
        <f>570</f>
        <v>570.0</v>
      </c>
      <c r="L659" s="4" t="s">
        <v>91</v>
      </c>
      <c r="M659" s="27" t="n">
        <f>19384</f>
        <v>19384.0</v>
      </c>
      <c r="N659" s="5" t="s">
        <v>1072</v>
      </c>
      <c r="O659" s="28" t="n">
        <f>913</f>
        <v>913.0</v>
      </c>
      <c r="P659" s="3" t="s">
        <v>1462</v>
      </c>
      <c r="Q659" s="26"/>
      <c r="R659" s="3" t="s">
        <v>1463</v>
      </c>
      <c r="S659" s="26" t="n">
        <f>752301545</f>
        <v>7.52301545E8</v>
      </c>
      <c r="T659" s="26" t="n">
        <f>119092236</f>
        <v>1.19092236E8</v>
      </c>
      <c r="U659" s="5" t="s">
        <v>91</v>
      </c>
      <c r="V659" s="28" t="n">
        <f>5004410000</f>
        <v>5.00441E9</v>
      </c>
      <c r="W659" s="5" t="s">
        <v>1072</v>
      </c>
      <c r="X659" s="28" t="n">
        <f>112540000</f>
        <v>1.1254E8</v>
      </c>
      <c r="Y659" s="28" t="n">
        <f>34071</f>
        <v>34071.0</v>
      </c>
      <c r="Z659" s="26" t="n">
        <f>548331</f>
        <v>548331.0</v>
      </c>
      <c r="AA659" s="26" t="n">
        <f>35628</f>
        <v>35628.0</v>
      </c>
      <c r="AB659" s="4" t="s">
        <v>1356</v>
      </c>
      <c r="AC659" s="27" t="n">
        <f>55343</f>
        <v>55343.0</v>
      </c>
      <c r="AD659" s="5" t="s">
        <v>469</v>
      </c>
      <c r="AE659" s="28" t="n">
        <f>5354</f>
        <v>5354.0</v>
      </c>
    </row>
    <row r="660">
      <c r="A660" s="20" t="s">
        <v>1373</v>
      </c>
      <c r="B660" s="21" t="s">
        <v>1374</v>
      </c>
      <c r="C660" s="22" t="s">
        <v>1128</v>
      </c>
      <c r="D660" s="23" t="s">
        <v>1129</v>
      </c>
      <c r="E660" s="24" t="s">
        <v>258</v>
      </c>
      <c r="F660" s="25" t="n">
        <f>246</f>
        <v>246.0</v>
      </c>
      <c r="G660" s="26" t="n">
        <f>802064</f>
        <v>802064.0</v>
      </c>
      <c r="H660" s="26"/>
      <c r="I660" s="26" t="n">
        <f>87814</f>
        <v>87814.0</v>
      </c>
      <c r="J660" s="26" t="n">
        <f>3260</f>
        <v>3260.0</v>
      </c>
      <c r="K660" s="26" t="n">
        <f>357</f>
        <v>357.0</v>
      </c>
      <c r="L660" s="4" t="s">
        <v>1207</v>
      </c>
      <c r="M660" s="27" t="n">
        <f>11116</f>
        <v>11116.0</v>
      </c>
      <c r="N660" s="5" t="s">
        <v>880</v>
      </c>
      <c r="O660" s="28" t="n">
        <f>745</f>
        <v>745.0</v>
      </c>
      <c r="P660" s="3" t="s">
        <v>1464</v>
      </c>
      <c r="Q660" s="26"/>
      <c r="R660" s="3" t="s">
        <v>1465</v>
      </c>
      <c r="S660" s="26" t="n">
        <f>638729065</f>
        <v>6.38729065E8</v>
      </c>
      <c r="T660" s="26" t="n">
        <f>105662317</f>
        <v>1.05662317E8</v>
      </c>
      <c r="U660" s="5" t="s">
        <v>1207</v>
      </c>
      <c r="V660" s="28" t="n">
        <f>2452920000</f>
        <v>2.45292E9</v>
      </c>
      <c r="W660" s="5" t="s">
        <v>542</v>
      </c>
      <c r="X660" s="28" t="n">
        <f>133880000</f>
        <v>1.3388E8</v>
      </c>
      <c r="Y660" s="28" t="n">
        <f>54514</f>
        <v>54514.0</v>
      </c>
      <c r="Z660" s="26" t="n">
        <f>287590</f>
        <v>287590.0</v>
      </c>
      <c r="AA660" s="26" t="n">
        <f>16049</f>
        <v>16049.0</v>
      </c>
      <c r="AB660" s="4" t="s">
        <v>191</v>
      </c>
      <c r="AC660" s="27" t="n">
        <f>32083</f>
        <v>32083.0</v>
      </c>
      <c r="AD660" s="5" t="s">
        <v>213</v>
      </c>
      <c r="AE660" s="28" t="n">
        <f>3057</f>
        <v>3057.0</v>
      </c>
    </row>
    <row r="661">
      <c r="A661" s="20" t="s">
        <v>1373</v>
      </c>
      <c r="B661" s="21" t="s">
        <v>1374</v>
      </c>
      <c r="C661" s="22" t="s">
        <v>1132</v>
      </c>
      <c r="D661" s="23" t="s">
        <v>1133</v>
      </c>
      <c r="E661" s="24" t="s">
        <v>258</v>
      </c>
      <c r="F661" s="25" t="n">
        <f>246</f>
        <v>246.0</v>
      </c>
      <c r="G661" s="26" t="n">
        <f>2026887</f>
        <v>2026887.0</v>
      </c>
      <c r="H661" s="26"/>
      <c r="I661" s="26" t="n">
        <f>227969</f>
        <v>227969.0</v>
      </c>
      <c r="J661" s="26" t="n">
        <f>8239</f>
        <v>8239.0</v>
      </c>
      <c r="K661" s="26" t="n">
        <f>927</f>
        <v>927.0</v>
      </c>
      <c r="L661" s="4" t="s">
        <v>91</v>
      </c>
      <c r="M661" s="27" t="n">
        <f>28139</f>
        <v>28139.0</v>
      </c>
      <c r="N661" s="5" t="s">
        <v>1072</v>
      </c>
      <c r="O661" s="28" t="n">
        <f>2016</f>
        <v>2016.0</v>
      </c>
      <c r="P661" s="3" t="s">
        <v>1466</v>
      </c>
      <c r="Q661" s="26"/>
      <c r="R661" s="3" t="s">
        <v>1467</v>
      </c>
      <c r="S661" s="26" t="n">
        <f>1391030610</f>
        <v>1.39103061E9</v>
      </c>
      <c r="T661" s="26" t="n">
        <f>224754553</f>
        <v>2.24754553E8</v>
      </c>
      <c r="U661" s="5" t="s">
        <v>91</v>
      </c>
      <c r="V661" s="28" t="n">
        <f>6559680000</f>
        <v>6.55968E9</v>
      </c>
      <c r="W661" s="5" t="s">
        <v>1072</v>
      </c>
      <c r="X661" s="28" t="n">
        <f>282260000</f>
        <v>2.8226E8</v>
      </c>
      <c r="Y661" s="28" t="n">
        <f>88585</f>
        <v>88585.0</v>
      </c>
      <c r="Z661" s="26" t="n">
        <f>835921</f>
        <v>835921.0</v>
      </c>
      <c r="AA661" s="26" t="n">
        <f>51677</f>
        <v>51677.0</v>
      </c>
      <c r="AB661" s="4" t="s">
        <v>310</v>
      </c>
      <c r="AC661" s="27" t="n">
        <f>72784</f>
        <v>72784.0</v>
      </c>
      <c r="AD661" s="5" t="s">
        <v>469</v>
      </c>
      <c r="AE661" s="28" t="n">
        <f>8846</f>
        <v>8846.0</v>
      </c>
    </row>
    <row r="662">
      <c r="A662" s="20" t="s">
        <v>1373</v>
      </c>
      <c r="B662" s="21" t="s">
        <v>1374</v>
      </c>
      <c r="C662" s="22" t="s">
        <v>1124</v>
      </c>
      <c r="D662" s="23" t="s">
        <v>1125</v>
      </c>
      <c r="E662" s="24" t="s">
        <v>261</v>
      </c>
      <c r="F662" s="25" t="n">
        <f>245</f>
        <v>245.0</v>
      </c>
      <c r="G662" s="26" t="n">
        <f>1444386</f>
        <v>1444386.0</v>
      </c>
      <c r="H662" s="26"/>
      <c r="I662" s="26" t="n">
        <f>155062</f>
        <v>155062.0</v>
      </c>
      <c r="J662" s="26" t="n">
        <f>5895</f>
        <v>5895.0</v>
      </c>
      <c r="K662" s="26" t="n">
        <f>633</f>
        <v>633.0</v>
      </c>
      <c r="L662" s="4" t="s">
        <v>389</v>
      </c>
      <c r="M662" s="27" t="n">
        <f>15365</f>
        <v>15365.0</v>
      </c>
      <c r="N662" s="5" t="s">
        <v>737</v>
      </c>
      <c r="O662" s="28" t="n">
        <f>875</f>
        <v>875.0</v>
      </c>
      <c r="P662" s="3" t="s">
        <v>1468</v>
      </c>
      <c r="Q662" s="26"/>
      <c r="R662" s="3" t="s">
        <v>1469</v>
      </c>
      <c r="S662" s="26" t="n">
        <f>645750163</f>
        <v>6.45750163E8</v>
      </c>
      <c r="T662" s="26" t="n">
        <f>83984122</f>
        <v>8.3984122E7</v>
      </c>
      <c r="U662" s="5" t="s">
        <v>389</v>
      </c>
      <c r="V662" s="28" t="n">
        <f>2286910000</f>
        <v>2.28691E9</v>
      </c>
      <c r="W662" s="5" t="s">
        <v>737</v>
      </c>
      <c r="X662" s="28" t="n">
        <f>65630000</f>
        <v>6.563E7</v>
      </c>
      <c r="Y662" s="28" t="n">
        <f>19898</f>
        <v>19898.0</v>
      </c>
      <c r="Z662" s="26" t="n">
        <f>381331</f>
        <v>381331.0</v>
      </c>
      <c r="AA662" s="26" t="n">
        <f>40985</f>
        <v>40985.0</v>
      </c>
      <c r="AB662" s="4" t="s">
        <v>1394</v>
      </c>
      <c r="AC662" s="27" t="n">
        <f>71392</f>
        <v>71392.0</v>
      </c>
      <c r="AD662" s="5" t="s">
        <v>473</v>
      </c>
      <c r="AE662" s="28" t="n">
        <f>9001</f>
        <v>9001.0</v>
      </c>
    </row>
    <row r="663">
      <c r="A663" s="20" t="s">
        <v>1373</v>
      </c>
      <c r="B663" s="21" t="s">
        <v>1374</v>
      </c>
      <c r="C663" s="22" t="s">
        <v>1128</v>
      </c>
      <c r="D663" s="23" t="s">
        <v>1129</v>
      </c>
      <c r="E663" s="24" t="s">
        <v>261</v>
      </c>
      <c r="F663" s="25" t="n">
        <f>245</f>
        <v>245.0</v>
      </c>
      <c r="G663" s="26" t="n">
        <f>760095</f>
        <v>760095.0</v>
      </c>
      <c r="H663" s="26"/>
      <c r="I663" s="26" t="n">
        <f>72576</f>
        <v>72576.0</v>
      </c>
      <c r="J663" s="26" t="n">
        <f>3102</f>
        <v>3102.0</v>
      </c>
      <c r="K663" s="26" t="n">
        <f>296</f>
        <v>296.0</v>
      </c>
      <c r="L663" s="4" t="s">
        <v>474</v>
      </c>
      <c r="M663" s="27" t="n">
        <f>11641</f>
        <v>11641.0</v>
      </c>
      <c r="N663" s="5" t="s">
        <v>402</v>
      </c>
      <c r="O663" s="28" t="n">
        <f>232</f>
        <v>232.0</v>
      </c>
      <c r="P663" s="3" t="s">
        <v>1470</v>
      </c>
      <c r="Q663" s="26"/>
      <c r="R663" s="3" t="s">
        <v>1471</v>
      </c>
      <c r="S663" s="26" t="n">
        <f>526748408</f>
        <v>5.26748408E8</v>
      </c>
      <c r="T663" s="26" t="n">
        <f>99694612</f>
        <v>9.9694612E7</v>
      </c>
      <c r="U663" s="5" t="s">
        <v>917</v>
      </c>
      <c r="V663" s="28" t="n">
        <f>3979130000</f>
        <v>3.97913E9</v>
      </c>
      <c r="W663" s="5" t="s">
        <v>402</v>
      </c>
      <c r="X663" s="28" t="n">
        <f>35910000</f>
        <v>3.591E7</v>
      </c>
      <c r="Y663" s="28" t="n">
        <f>75973</f>
        <v>75973.0</v>
      </c>
      <c r="Z663" s="26" t="n">
        <f>149357</f>
        <v>149357.0</v>
      </c>
      <c r="AA663" s="26" t="n">
        <f>7318</f>
        <v>7318.0</v>
      </c>
      <c r="AB663" s="4" t="s">
        <v>917</v>
      </c>
      <c r="AC663" s="27" t="n">
        <f>27417</f>
        <v>27417.0</v>
      </c>
      <c r="AD663" s="5" t="s">
        <v>184</v>
      </c>
      <c r="AE663" s="28" t="n">
        <f>3286</f>
        <v>3286.0</v>
      </c>
    </row>
    <row r="664">
      <c r="A664" s="20" t="s">
        <v>1373</v>
      </c>
      <c r="B664" s="21" t="s">
        <v>1374</v>
      </c>
      <c r="C664" s="22" t="s">
        <v>1132</v>
      </c>
      <c r="D664" s="23" t="s">
        <v>1133</v>
      </c>
      <c r="E664" s="24" t="s">
        <v>261</v>
      </c>
      <c r="F664" s="25" t="n">
        <f>245</f>
        <v>245.0</v>
      </c>
      <c r="G664" s="26" t="n">
        <f>2204481</f>
        <v>2204481.0</v>
      </c>
      <c r="H664" s="26"/>
      <c r="I664" s="26" t="n">
        <f>227638</f>
        <v>227638.0</v>
      </c>
      <c r="J664" s="26" t="n">
        <f>8998</f>
        <v>8998.0</v>
      </c>
      <c r="K664" s="26" t="n">
        <f>929</f>
        <v>929.0</v>
      </c>
      <c r="L664" s="4" t="s">
        <v>474</v>
      </c>
      <c r="M664" s="27" t="n">
        <f>22706</f>
        <v>22706.0</v>
      </c>
      <c r="N664" s="5" t="s">
        <v>737</v>
      </c>
      <c r="O664" s="28" t="n">
        <f>1862</f>
        <v>1862.0</v>
      </c>
      <c r="P664" s="3" t="s">
        <v>1472</v>
      </c>
      <c r="Q664" s="26"/>
      <c r="R664" s="3" t="s">
        <v>1473</v>
      </c>
      <c r="S664" s="26" t="n">
        <f>1172498571</f>
        <v>1.172498571E9</v>
      </c>
      <c r="T664" s="26" t="n">
        <f>183678735</f>
        <v>1.83678735E8</v>
      </c>
      <c r="U664" s="5" t="s">
        <v>917</v>
      </c>
      <c r="V664" s="28" t="n">
        <f>4493540000</f>
        <v>4.49354E9</v>
      </c>
      <c r="W664" s="5" t="s">
        <v>737</v>
      </c>
      <c r="X664" s="28" t="n">
        <f>146160000</f>
        <v>1.4616E8</v>
      </c>
      <c r="Y664" s="28" t="n">
        <f>95871</f>
        <v>95871.0</v>
      </c>
      <c r="Z664" s="26" t="n">
        <f>530688</f>
        <v>530688.0</v>
      </c>
      <c r="AA664" s="26" t="n">
        <f>48303</f>
        <v>48303.0</v>
      </c>
      <c r="AB664" s="4" t="s">
        <v>917</v>
      </c>
      <c r="AC664" s="27" t="n">
        <f>97847</f>
        <v>97847.0</v>
      </c>
      <c r="AD664" s="5" t="s">
        <v>157</v>
      </c>
      <c r="AE664" s="28" t="n">
        <f>12491</f>
        <v>12491.0</v>
      </c>
    </row>
    <row r="665">
      <c r="A665" s="20" t="s">
        <v>1373</v>
      </c>
      <c r="B665" s="21" t="s">
        <v>1374</v>
      </c>
      <c r="C665" s="22" t="s">
        <v>1124</v>
      </c>
      <c r="D665" s="23" t="s">
        <v>1125</v>
      </c>
      <c r="E665" s="24" t="s">
        <v>265</v>
      </c>
      <c r="F665" s="25" t="n">
        <f>245</f>
        <v>245.0</v>
      </c>
      <c r="G665" s="26" t="n">
        <f>952844</f>
        <v>952844.0</v>
      </c>
      <c r="H665" s="26"/>
      <c r="I665" s="26" t="n">
        <f>218205</f>
        <v>218205.0</v>
      </c>
      <c r="J665" s="26" t="n">
        <f>3889</f>
        <v>3889.0</v>
      </c>
      <c r="K665" s="26" t="n">
        <f>891</f>
        <v>891.0</v>
      </c>
      <c r="L665" s="4" t="s">
        <v>403</v>
      </c>
      <c r="M665" s="27" t="n">
        <f>17364</f>
        <v>17364.0</v>
      </c>
      <c r="N665" s="5" t="s">
        <v>1157</v>
      </c>
      <c r="O665" s="28" t="n">
        <f>564</f>
        <v>564.0</v>
      </c>
      <c r="P665" s="3" t="s">
        <v>1474</v>
      </c>
      <c r="Q665" s="26"/>
      <c r="R665" s="3" t="s">
        <v>1475</v>
      </c>
      <c r="S665" s="26" t="n">
        <f>677654449</f>
        <v>6.77654449E8</v>
      </c>
      <c r="T665" s="26" t="n">
        <f>201400612</f>
        <v>2.01400612E8</v>
      </c>
      <c r="U665" s="5" t="s">
        <v>727</v>
      </c>
      <c r="V665" s="28" t="n">
        <f>4164730000</f>
        <v>4.16473E9</v>
      </c>
      <c r="W665" s="5" t="s">
        <v>637</v>
      </c>
      <c r="X665" s="28" t="n">
        <f>64270000</f>
        <v>6.427E7</v>
      </c>
      <c r="Y665" s="28" t="n">
        <f>34363</f>
        <v>34363.0</v>
      </c>
      <c r="Z665" s="26" t="n">
        <f>389349</f>
        <v>389349.0</v>
      </c>
      <c r="AA665" s="26" t="n">
        <f>34674</f>
        <v>34674.0</v>
      </c>
      <c r="AB665" s="4" t="s">
        <v>1234</v>
      </c>
      <c r="AC665" s="27" t="n">
        <f>44511</f>
        <v>44511.0</v>
      </c>
      <c r="AD665" s="5" t="s">
        <v>673</v>
      </c>
      <c r="AE665" s="28" t="n">
        <f>2727</f>
        <v>2727.0</v>
      </c>
    </row>
    <row r="666">
      <c r="A666" s="20" t="s">
        <v>1373</v>
      </c>
      <c r="B666" s="21" t="s">
        <v>1374</v>
      </c>
      <c r="C666" s="22" t="s">
        <v>1128</v>
      </c>
      <c r="D666" s="23" t="s">
        <v>1129</v>
      </c>
      <c r="E666" s="24" t="s">
        <v>265</v>
      </c>
      <c r="F666" s="25" t="n">
        <f>245</f>
        <v>245.0</v>
      </c>
      <c r="G666" s="26" t="n">
        <f>497207</f>
        <v>497207.0</v>
      </c>
      <c r="H666" s="26"/>
      <c r="I666" s="26" t="n">
        <f>62974</f>
        <v>62974.0</v>
      </c>
      <c r="J666" s="26" t="n">
        <f>2029</f>
        <v>2029.0</v>
      </c>
      <c r="K666" s="26" t="n">
        <f>257</f>
        <v>257.0</v>
      </c>
      <c r="L666" s="4" t="s">
        <v>403</v>
      </c>
      <c r="M666" s="27" t="n">
        <f>11628</f>
        <v>11628.0</v>
      </c>
      <c r="N666" s="5" t="s">
        <v>1157</v>
      </c>
      <c r="O666" s="28" t="n">
        <f>191</f>
        <v>191.0</v>
      </c>
      <c r="P666" s="3" t="s">
        <v>1476</v>
      </c>
      <c r="Q666" s="26"/>
      <c r="R666" s="3" t="s">
        <v>1477</v>
      </c>
      <c r="S666" s="26" t="n">
        <f>403507265</f>
        <v>4.03507265E8</v>
      </c>
      <c r="T666" s="26" t="n">
        <f>63239102</f>
        <v>6.3239102E7</v>
      </c>
      <c r="U666" s="5" t="s">
        <v>403</v>
      </c>
      <c r="V666" s="28" t="n">
        <f>2462190000</f>
        <v>2.46219E9</v>
      </c>
      <c r="W666" s="5" t="s">
        <v>1157</v>
      </c>
      <c r="X666" s="28" t="n">
        <f>33920000</f>
        <v>3.392E7</v>
      </c>
      <c r="Y666" s="28" t="n">
        <f>42990</f>
        <v>42990.0</v>
      </c>
      <c r="Z666" s="26" t="n">
        <f>122586</f>
        <v>122586.0</v>
      </c>
      <c r="AA666" s="26" t="n">
        <f>12326</f>
        <v>12326.0</v>
      </c>
      <c r="AB666" s="4" t="s">
        <v>917</v>
      </c>
      <c r="AC666" s="27" t="n">
        <f>19387</f>
        <v>19387.0</v>
      </c>
      <c r="AD666" s="5" t="s">
        <v>673</v>
      </c>
      <c r="AE666" s="28" t="n">
        <f>1252</f>
        <v>1252.0</v>
      </c>
    </row>
    <row r="667">
      <c r="A667" s="20" t="s">
        <v>1373</v>
      </c>
      <c r="B667" s="21" t="s">
        <v>1374</v>
      </c>
      <c r="C667" s="22" t="s">
        <v>1132</v>
      </c>
      <c r="D667" s="23" t="s">
        <v>1133</v>
      </c>
      <c r="E667" s="24" t="s">
        <v>265</v>
      </c>
      <c r="F667" s="25" t="n">
        <f>245</f>
        <v>245.0</v>
      </c>
      <c r="G667" s="26" t="n">
        <f>1450051</f>
        <v>1450051.0</v>
      </c>
      <c r="H667" s="26"/>
      <c r="I667" s="26" t="n">
        <f>281179</f>
        <v>281179.0</v>
      </c>
      <c r="J667" s="26" t="n">
        <f>5919</f>
        <v>5919.0</v>
      </c>
      <c r="K667" s="26" t="n">
        <f>1148</f>
        <v>1148.0</v>
      </c>
      <c r="L667" s="4" t="s">
        <v>403</v>
      </c>
      <c r="M667" s="27" t="n">
        <f>28992</f>
        <v>28992.0</v>
      </c>
      <c r="N667" s="5" t="s">
        <v>1157</v>
      </c>
      <c r="O667" s="28" t="n">
        <f>755</f>
        <v>755.0</v>
      </c>
      <c r="P667" s="3" t="s">
        <v>1478</v>
      </c>
      <c r="Q667" s="26"/>
      <c r="R667" s="3" t="s">
        <v>1479</v>
      </c>
      <c r="S667" s="26" t="n">
        <f>1081161714</f>
        <v>1.081161714E9</v>
      </c>
      <c r="T667" s="26" t="n">
        <f>264639714</f>
        <v>2.64639714E8</v>
      </c>
      <c r="U667" s="5" t="s">
        <v>403</v>
      </c>
      <c r="V667" s="28" t="n">
        <f>6120520000</f>
        <v>6.12052E9</v>
      </c>
      <c r="W667" s="5" t="s">
        <v>1157</v>
      </c>
      <c r="X667" s="28" t="n">
        <f>103600000</f>
        <v>1.036E8</v>
      </c>
      <c r="Y667" s="28" t="n">
        <f>77353</f>
        <v>77353.0</v>
      </c>
      <c r="Z667" s="26" t="n">
        <f>511935</f>
        <v>511935.0</v>
      </c>
      <c r="AA667" s="26" t="n">
        <f>47000</f>
        <v>47000.0</v>
      </c>
      <c r="AB667" s="4" t="s">
        <v>917</v>
      </c>
      <c r="AC667" s="27" t="n">
        <f>59339</f>
        <v>59339.0</v>
      </c>
      <c r="AD667" s="5" t="s">
        <v>673</v>
      </c>
      <c r="AE667" s="28" t="n">
        <f>3979</f>
        <v>3979.0</v>
      </c>
    </row>
    <row r="668">
      <c r="A668" s="20" t="s">
        <v>1373</v>
      </c>
      <c r="B668" s="21" t="s">
        <v>1374</v>
      </c>
      <c r="C668" s="22" t="s">
        <v>1124</v>
      </c>
      <c r="D668" s="23" t="s">
        <v>1125</v>
      </c>
      <c r="E668" s="24" t="s">
        <v>48</v>
      </c>
      <c r="F668" s="25" t="n">
        <f>246</f>
        <v>246.0</v>
      </c>
      <c r="G668" s="26" t="n">
        <f>855397</f>
        <v>855397.0</v>
      </c>
      <c r="H668" s="26"/>
      <c r="I668" s="26" t="n">
        <f>121428</f>
        <v>121428.0</v>
      </c>
      <c r="J668" s="26" t="n">
        <f>3477</f>
        <v>3477.0</v>
      </c>
      <c r="K668" s="26" t="n">
        <f>494</f>
        <v>494.0</v>
      </c>
      <c r="L668" s="4" t="s">
        <v>503</v>
      </c>
      <c r="M668" s="27" t="n">
        <f>12777</f>
        <v>12777.0</v>
      </c>
      <c r="N668" s="5" t="s">
        <v>294</v>
      </c>
      <c r="O668" s="28" t="n">
        <f>638</f>
        <v>638.0</v>
      </c>
      <c r="P668" s="3" t="s">
        <v>1480</v>
      </c>
      <c r="Q668" s="26"/>
      <c r="R668" s="3" t="s">
        <v>1481</v>
      </c>
      <c r="S668" s="26" t="n">
        <f>328475407</f>
        <v>3.28475407E8</v>
      </c>
      <c r="T668" s="26" t="n">
        <f>55733780</f>
        <v>5.573378E7</v>
      </c>
      <c r="U668" s="5" t="s">
        <v>316</v>
      </c>
      <c r="V668" s="28" t="n">
        <f>1500770000</f>
        <v>1.50077E9</v>
      </c>
      <c r="W668" s="5" t="s">
        <v>294</v>
      </c>
      <c r="X668" s="28" t="n">
        <f>33130000</f>
        <v>3.313E7</v>
      </c>
      <c r="Y668" s="28" t="n">
        <f>8177</f>
        <v>8177.0</v>
      </c>
      <c r="Z668" s="26" t="n">
        <f>247701</f>
        <v>247701.0</v>
      </c>
      <c r="AA668" s="26" t="n">
        <f>38164</f>
        <v>38164.0</v>
      </c>
      <c r="AB668" s="4" t="s">
        <v>488</v>
      </c>
      <c r="AC668" s="27" t="n">
        <f>54250</f>
        <v>54250.0</v>
      </c>
      <c r="AD668" s="5" t="s">
        <v>673</v>
      </c>
      <c r="AE668" s="28" t="n">
        <f>9438</f>
        <v>9438.0</v>
      </c>
    </row>
    <row r="669">
      <c r="A669" s="20" t="s">
        <v>1373</v>
      </c>
      <c r="B669" s="21" t="s">
        <v>1374</v>
      </c>
      <c r="C669" s="22" t="s">
        <v>1128</v>
      </c>
      <c r="D669" s="23" t="s">
        <v>1129</v>
      </c>
      <c r="E669" s="24" t="s">
        <v>48</v>
      </c>
      <c r="F669" s="25" t="n">
        <f>246</f>
        <v>246.0</v>
      </c>
      <c r="G669" s="26" t="n">
        <f>331207</f>
        <v>331207.0</v>
      </c>
      <c r="H669" s="26"/>
      <c r="I669" s="26" t="n">
        <f>27793</f>
        <v>27793.0</v>
      </c>
      <c r="J669" s="26" t="n">
        <f>1346</f>
        <v>1346.0</v>
      </c>
      <c r="K669" s="26" t="n">
        <f>113</f>
        <v>113.0</v>
      </c>
      <c r="L669" s="4" t="s">
        <v>321</v>
      </c>
      <c r="M669" s="27" t="n">
        <f>5816</f>
        <v>5816.0</v>
      </c>
      <c r="N669" s="5" t="s">
        <v>262</v>
      </c>
      <c r="O669" s="28" t="n">
        <f>140</f>
        <v>140.0</v>
      </c>
      <c r="P669" s="3" t="s">
        <v>1482</v>
      </c>
      <c r="Q669" s="26"/>
      <c r="R669" s="3" t="s">
        <v>1483</v>
      </c>
      <c r="S669" s="26" t="n">
        <f>182853943</f>
        <v>1.82853943E8</v>
      </c>
      <c r="T669" s="26" t="n">
        <f>21492276</f>
        <v>2.1492276E7</v>
      </c>
      <c r="U669" s="5" t="s">
        <v>1307</v>
      </c>
      <c r="V669" s="28" t="n">
        <f>771650000</f>
        <v>7.7165E8</v>
      </c>
      <c r="W669" s="5" t="s">
        <v>201</v>
      </c>
      <c r="X669" s="28" t="n">
        <f>13460000</f>
        <v>1.346E7</v>
      </c>
      <c r="Y669" s="28" t="n">
        <f>40659</f>
        <v>40659.0</v>
      </c>
      <c r="Z669" s="26" t="n">
        <f>57392</f>
        <v>57392.0</v>
      </c>
      <c r="AA669" s="26" t="n">
        <f>6473</f>
        <v>6473.0</v>
      </c>
      <c r="AB669" s="4" t="s">
        <v>152</v>
      </c>
      <c r="AC669" s="27" t="n">
        <f>13330</f>
        <v>13330.0</v>
      </c>
      <c r="AD669" s="5" t="s">
        <v>524</v>
      </c>
      <c r="AE669" s="28" t="n">
        <f>1637</f>
        <v>1637.0</v>
      </c>
    </row>
    <row r="670">
      <c r="A670" s="20" t="s">
        <v>1373</v>
      </c>
      <c r="B670" s="21" t="s">
        <v>1374</v>
      </c>
      <c r="C670" s="22" t="s">
        <v>1132</v>
      </c>
      <c r="D670" s="23" t="s">
        <v>1133</v>
      </c>
      <c r="E670" s="24" t="s">
        <v>48</v>
      </c>
      <c r="F670" s="25" t="n">
        <f>246</f>
        <v>246.0</v>
      </c>
      <c r="G670" s="26" t="n">
        <f>1186604</f>
        <v>1186604.0</v>
      </c>
      <c r="H670" s="26"/>
      <c r="I670" s="26" t="n">
        <f>149221</f>
        <v>149221.0</v>
      </c>
      <c r="J670" s="26" t="n">
        <f>4824</f>
        <v>4824.0</v>
      </c>
      <c r="K670" s="26" t="n">
        <f>607</f>
        <v>607.0</v>
      </c>
      <c r="L670" s="4" t="s">
        <v>503</v>
      </c>
      <c r="M670" s="27" t="n">
        <f>15849</f>
        <v>15849.0</v>
      </c>
      <c r="N670" s="5" t="s">
        <v>294</v>
      </c>
      <c r="O670" s="28" t="n">
        <f>959</f>
        <v>959.0</v>
      </c>
      <c r="P670" s="3" t="s">
        <v>1484</v>
      </c>
      <c r="Q670" s="26"/>
      <c r="R670" s="3" t="s">
        <v>1485</v>
      </c>
      <c r="S670" s="26" t="n">
        <f>511329350</f>
        <v>5.1132935E8</v>
      </c>
      <c r="T670" s="26" t="n">
        <f>77226057</f>
        <v>7.7226057E7</v>
      </c>
      <c r="U670" s="5" t="s">
        <v>316</v>
      </c>
      <c r="V670" s="28" t="n">
        <f>1835120000</f>
        <v>1.83512E9</v>
      </c>
      <c r="W670" s="5" t="s">
        <v>294</v>
      </c>
      <c r="X670" s="28" t="n">
        <f>58850000</f>
        <v>5.885E7</v>
      </c>
      <c r="Y670" s="28" t="n">
        <f>48836</f>
        <v>48836.0</v>
      </c>
      <c r="Z670" s="26" t="n">
        <f>305093</f>
        <v>305093.0</v>
      </c>
      <c r="AA670" s="26" t="n">
        <f>44637</f>
        <v>44637.0</v>
      </c>
      <c r="AB670" s="4" t="s">
        <v>305</v>
      </c>
      <c r="AC670" s="27" t="n">
        <f>60090</f>
        <v>60090.0</v>
      </c>
      <c r="AD670" s="5" t="s">
        <v>673</v>
      </c>
      <c r="AE670" s="28" t="n">
        <f>13252</f>
        <v>13252.0</v>
      </c>
    </row>
    <row r="671">
      <c r="A671" s="20" t="s">
        <v>1373</v>
      </c>
      <c r="B671" s="21" t="s">
        <v>1374</v>
      </c>
      <c r="C671" s="22" t="s">
        <v>1124</v>
      </c>
      <c r="D671" s="23" t="s">
        <v>1125</v>
      </c>
      <c r="E671" s="24" t="s">
        <v>56</v>
      </c>
      <c r="F671" s="25" t="n">
        <f>245</f>
        <v>245.0</v>
      </c>
      <c r="G671" s="26" t="n">
        <f>711924</f>
        <v>711924.0</v>
      </c>
      <c r="H671" s="26"/>
      <c r="I671" s="26" t="n">
        <f>97344</f>
        <v>97344.0</v>
      </c>
      <c r="J671" s="26" t="n">
        <f>2906</f>
        <v>2906.0</v>
      </c>
      <c r="K671" s="26" t="n">
        <f>397</f>
        <v>397.0</v>
      </c>
      <c r="L671" s="4" t="s">
        <v>389</v>
      </c>
      <c r="M671" s="27" t="n">
        <f>11845</f>
        <v>11845.0</v>
      </c>
      <c r="N671" s="5" t="s">
        <v>136</v>
      </c>
      <c r="O671" s="28" t="n">
        <f>322</f>
        <v>322.0</v>
      </c>
      <c r="P671" s="3" t="s">
        <v>1486</v>
      </c>
      <c r="Q671" s="26"/>
      <c r="R671" s="3" t="s">
        <v>1487</v>
      </c>
      <c r="S671" s="26" t="n">
        <f>349379061</f>
        <v>3.49379061E8</v>
      </c>
      <c r="T671" s="26" t="n">
        <f>57968531</f>
        <v>5.7968531E7</v>
      </c>
      <c r="U671" s="5" t="s">
        <v>177</v>
      </c>
      <c r="V671" s="28" t="n">
        <f>2155190000</f>
        <v>2.15519E9</v>
      </c>
      <c r="W671" s="5" t="s">
        <v>136</v>
      </c>
      <c r="X671" s="28" t="n">
        <f>25480000</f>
        <v>2.548E7</v>
      </c>
      <c r="Y671" s="28" t="n">
        <f>6055</f>
        <v>6055.0</v>
      </c>
      <c r="Z671" s="26" t="n">
        <f>157663</f>
        <v>157663.0</v>
      </c>
      <c r="AA671" s="26" t="n">
        <f>6857</f>
        <v>6857.0</v>
      </c>
      <c r="AB671" s="4" t="s">
        <v>889</v>
      </c>
      <c r="AC671" s="27" t="n">
        <f>48245</f>
        <v>48245.0</v>
      </c>
      <c r="AD671" s="5" t="s">
        <v>1356</v>
      </c>
      <c r="AE671" s="28" t="n">
        <f>853</f>
        <v>853.0</v>
      </c>
    </row>
    <row r="672">
      <c r="A672" s="20" t="s">
        <v>1373</v>
      </c>
      <c r="B672" s="21" t="s">
        <v>1374</v>
      </c>
      <c r="C672" s="22" t="s">
        <v>1128</v>
      </c>
      <c r="D672" s="23" t="s">
        <v>1129</v>
      </c>
      <c r="E672" s="24" t="s">
        <v>56</v>
      </c>
      <c r="F672" s="25" t="n">
        <f>245</f>
        <v>245.0</v>
      </c>
      <c r="G672" s="26" t="n">
        <f>313322</f>
        <v>313322.0</v>
      </c>
      <c r="H672" s="26"/>
      <c r="I672" s="26" t="n">
        <f>34099</f>
        <v>34099.0</v>
      </c>
      <c r="J672" s="26" t="n">
        <f>1279</f>
        <v>1279.0</v>
      </c>
      <c r="K672" s="26" t="n">
        <f>139</f>
        <v>139.0</v>
      </c>
      <c r="L672" s="4" t="s">
        <v>560</v>
      </c>
      <c r="M672" s="27" t="n">
        <f>4883</f>
        <v>4883.0</v>
      </c>
      <c r="N672" s="5" t="s">
        <v>306</v>
      </c>
      <c r="O672" s="28" t="n">
        <f>65</f>
        <v>65.0</v>
      </c>
      <c r="P672" s="3" t="s">
        <v>1488</v>
      </c>
      <c r="Q672" s="26"/>
      <c r="R672" s="3" t="s">
        <v>1489</v>
      </c>
      <c r="S672" s="26" t="n">
        <f>218043224</f>
        <v>2.18043224E8</v>
      </c>
      <c r="T672" s="26" t="n">
        <f>27647796</f>
        <v>2.7647796E7</v>
      </c>
      <c r="U672" s="5" t="s">
        <v>722</v>
      </c>
      <c r="V672" s="28" t="n">
        <f>1391770000</f>
        <v>1.39177E9</v>
      </c>
      <c r="W672" s="5" t="s">
        <v>306</v>
      </c>
      <c r="X672" s="28" t="n">
        <f>8900000</f>
        <v>8900000.0</v>
      </c>
      <c r="Y672" s="28" t="n">
        <f>31859</f>
        <v>31859.0</v>
      </c>
      <c r="Z672" s="26" t="n">
        <f>52833</f>
        <v>52833.0</v>
      </c>
      <c r="AA672" s="26" t="n">
        <f>2164</f>
        <v>2164.0</v>
      </c>
      <c r="AB672" s="4" t="s">
        <v>704</v>
      </c>
      <c r="AC672" s="27" t="n">
        <f>12606</f>
        <v>12606.0</v>
      </c>
      <c r="AD672" s="5" t="s">
        <v>1356</v>
      </c>
      <c r="AE672" s="28" t="n">
        <f>207</f>
        <v>207.0</v>
      </c>
    </row>
    <row r="673">
      <c r="A673" s="20" t="s">
        <v>1373</v>
      </c>
      <c r="B673" s="21" t="s">
        <v>1374</v>
      </c>
      <c r="C673" s="22" t="s">
        <v>1132</v>
      </c>
      <c r="D673" s="23" t="s">
        <v>1133</v>
      </c>
      <c r="E673" s="24" t="s">
        <v>56</v>
      </c>
      <c r="F673" s="25" t="n">
        <f>245</f>
        <v>245.0</v>
      </c>
      <c r="G673" s="26" t="n">
        <f>1025246</f>
        <v>1025246.0</v>
      </c>
      <c r="H673" s="26"/>
      <c r="I673" s="26" t="n">
        <f>131443</f>
        <v>131443.0</v>
      </c>
      <c r="J673" s="26" t="n">
        <f>4185</f>
        <v>4185.0</v>
      </c>
      <c r="K673" s="26" t="n">
        <f>537</f>
        <v>537.0</v>
      </c>
      <c r="L673" s="4" t="s">
        <v>389</v>
      </c>
      <c r="M673" s="27" t="n">
        <f>13638</f>
        <v>13638.0</v>
      </c>
      <c r="N673" s="5" t="s">
        <v>591</v>
      </c>
      <c r="O673" s="28" t="n">
        <f>710</f>
        <v>710.0</v>
      </c>
      <c r="P673" s="3" t="s">
        <v>1490</v>
      </c>
      <c r="Q673" s="26"/>
      <c r="R673" s="3" t="s">
        <v>1491</v>
      </c>
      <c r="S673" s="26" t="n">
        <f>567422286</f>
        <v>5.67422286E8</v>
      </c>
      <c r="T673" s="26" t="n">
        <f>85616327</f>
        <v>8.5616327E7</v>
      </c>
      <c r="U673" s="5" t="s">
        <v>1492</v>
      </c>
      <c r="V673" s="28" t="n">
        <f>2763740000</f>
        <v>2.76374E9</v>
      </c>
      <c r="W673" s="5" t="s">
        <v>886</v>
      </c>
      <c r="X673" s="28" t="n">
        <f>57960000</f>
        <v>5.796E7</v>
      </c>
      <c r="Y673" s="28" t="n">
        <f>37914</f>
        <v>37914.0</v>
      </c>
      <c r="Z673" s="26" t="n">
        <f>210496</f>
        <v>210496.0</v>
      </c>
      <c r="AA673" s="26" t="n">
        <f>9021</f>
        <v>9021.0</v>
      </c>
      <c r="AB673" s="4" t="s">
        <v>889</v>
      </c>
      <c r="AC673" s="27" t="n">
        <f>56036</f>
        <v>56036.0</v>
      </c>
      <c r="AD673" s="5" t="s">
        <v>1356</v>
      </c>
      <c r="AE673" s="28" t="n">
        <f>1060</f>
        <v>1060.0</v>
      </c>
    </row>
    <row r="674">
      <c r="A674" s="20" t="s">
        <v>1373</v>
      </c>
      <c r="B674" s="21" t="s">
        <v>1374</v>
      </c>
      <c r="C674" s="22" t="s">
        <v>1124</v>
      </c>
      <c r="D674" s="23" t="s">
        <v>1125</v>
      </c>
      <c r="E674" s="24" t="s">
        <v>63</v>
      </c>
      <c r="F674" s="25" t="n">
        <f>245</f>
        <v>245.0</v>
      </c>
      <c r="G674" s="26" t="n">
        <f>645438</f>
        <v>645438.0</v>
      </c>
      <c r="H674" s="26"/>
      <c r="I674" s="26" t="n">
        <f>66990</f>
        <v>66990.0</v>
      </c>
      <c r="J674" s="26" t="n">
        <f>2634</f>
        <v>2634.0</v>
      </c>
      <c r="K674" s="26" t="n">
        <f>273</f>
        <v>273.0</v>
      </c>
      <c r="L674" s="4" t="s">
        <v>602</v>
      </c>
      <c r="M674" s="27" t="n">
        <f>11166</f>
        <v>11166.0</v>
      </c>
      <c r="N674" s="5" t="s">
        <v>50</v>
      </c>
      <c r="O674" s="28" t="n">
        <f>290</f>
        <v>290.0</v>
      </c>
      <c r="P674" s="3" t="s">
        <v>1493</v>
      </c>
      <c r="Q674" s="26"/>
      <c r="R674" s="3" t="s">
        <v>1494</v>
      </c>
      <c r="S674" s="26" t="n">
        <f>291126051</f>
        <v>2.91126051E8</v>
      </c>
      <c r="T674" s="26" t="n">
        <f>44170867</f>
        <v>4.4170867E7</v>
      </c>
      <c r="U674" s="5" t="s">
        <v>602</v>
      </c>
      <c r="V674" s="28" t="n">
        <f>4239850000</f>
        <v>4.23985E9</v>
      </c>
      <c r="W674" s="5" t="s">
        <v>85</v>
      </c>
      <c r="X674" s="28" t="n">
        <f>14030000</f>
        <v>1.403E7</v>
      </c>
      <c r="Y674" s="28" t="n">
        <f>18391</f>
        <v>18391.0</v>
      </c>
      <c r="Z674" s="26" t="n">
        <f>120111</f>
        <v>120111.0</v>
      </c>
      <c r="AA674" s="26" t="n">
        <f>12371</f>
        <v>12371.0</v>
      </c>
      <c r="AB674" s="4" t="s">
        <v>809</v>
      </c>
      <c r="AC674" s="27" t="n">
        <f>42242</f>
        <v>42242.0</v>
      </c>
      <c r="AD674" s="5" t="s">
        <v>196</v>
      </c>
      <c r="AE674" s="28" t="n">
        <f>8566</f>
        <v>8566.0</v>
      </c>
    </row>
    <row r="675">
      <c r="A675" s="20" t="s">
        <v>1373</v>
      </c>
      <c r="B675" s="21" t="s">
        <v>1374</v>
      </c>
      <c r="C675" s="22" t="s">
        <v>1128</v>
      </c>
      <c r="D675" s="23" t="s">
        <v>1129</v>
      </c>
      <c r="E675" s="24" t="s">
        <v>63</v>
      </c>
      <c r="F675" s="25" t="n">
        <f>245</f>
        <v>245.0</v>
      </c>
      <c r="G675" s="26" t="n">
        <f>279901</f>
        <v>279901.0</v>
      </c>
      <c r="H675" s="26"/>
      <c r="I675" s="26" t="n">
        <f>24215</f>
        <v>24215.0</v>
      </c>
      <c r="J675" s="26" t="n">
        <f>1142</f>
        <v>1142.0</v>
      </c>
      <c r="K675" s="26" t="n">
        <f>99</f>
        <v>99.0</v>
      </c>
      <c r="L675" s="4" t="s">
        <v>1314</v>
      </c>
      <c r="M675" s="27" t="n">
        <f>4819</f>
        <v>4819.0</v>
      </c>
      <c r="N675" s="5" t="s">
        <v>700</v>
      </c>
      <c r="O675" s="28" t="n">
        <f>68</f>
        <v>68.0</v>
      </c>
      <c r="P675" s="3" t="s">
        <v>1495</v>
      </c>
      <c r="Q675" s="26"/>
      <c r="R675" s="3" t="s">
        <v>1496</v>
      </c>
      <c r="S675" s="26" t="n">
        <f>161803153</f>
        <v>1.61803153E8</v>
      </c>
      <c r="T675" s="26" t="n">
        <f>14048867</f>
        <v>1.4048867E7</v>
      </c>
      <c r="U675" s="5" t="s">
        <v>62</v>
      </c>
      <c r="V675" s="28" t="n">
        <f>702620000</f>
        <v>7.0262E8</v>
      </c>
      <c r="W675" s="5" t="s">
        <v>50</v>
      </c>
      <c r="X675" s="28" t="n">
        <f>7160000</f>
        <v>7160000.0</v>
      </c>
      <c r="Y675" s="28" t="n">
        <f>15803</f>
        <v>15803.0</v>
      </c>
      <c r="Z675" s="26" t="n">
        <f>44608</f>
        <v>44608.0</v>
      </c>
      <c r="AA675" s="26" t="n">
        <f>1614</f>
        <v>1614.0</v>
      </c>
      <c r="AB675" s="4" t="s">
        <v>577</v>
      </c>
      <c r="AC675" s="27" t="n">
        <f>9719</f>
        <v>9719.0</v>
      </c>
      <c r="AD675" s="5" t="s">
        <v>191</v>
      </c>
      <c r="AE675" s="28" t="n">
        <f>703</f>
        <v>703.0</v>
      </c>
    </row>
    <row r="676">
      <c r="A676" s="20" t="s">
        <v>1373</v>
      </c>
      <c r="B676" s="21" t="s">
        <v>1374</v>
      </c>
      <c r="C676" s="22" t="s">
        <v>1132</v>
      </c>
      <c r="D676" s="23" t="s">
        <v>1133</v>
      </c>
      <c r="E676" s="24" t="s">
        <v>63</v>
      </c>
      <c r="F676" s="25" t="n">
        <f>245</f>
        <v>245.0</v>
      </c>
      <c r="G676" s="26" t="n">
        <f>925339</f>
        <v>925339.0</v>
      </c>
      <c r="H676" s="26"/>
      <c r="I676" s="26" t="n">
        <f>91205</f>
        <v>91205.0</v>
      </c>
      <c r="J676" s="26" t="n">
        <f>3777</f>
        <v>3777.0</v>
      </c>
      <c r="K676" s="26" t="n">
        <f>372</f>
        <v>372.0</v>
      </c>
      <c r="L676" s="4" t="s">
        <v>602</v>
      </c>
      <c r="M676" s="27" t="n">
        <f>14200</f>
        <v>14200.0</v>
      </c>
      <c r="N676" s="5" t="s">
        <v>50</v>
      </c>
      <c r="O676" s="28" t="n">
        <f>391</f>
        <v>391.0</v>
      </c>
      <c r="P676" s="3" t="s">
        <v>1497</v>
      </c>
      <c r="Q676" s="26"/>
      <c r="R676" s="3" t="s">
        <v>1498</v>
      </c>
      <c r="S676" s="26" t="n">
        <f>452929204</f>
        <v>4.52929204E8</v>
      </c>
      <c r="T676" s="26" t="n">
        <f>58219735</f>
        <v>5.8219735E7</v>
      </c>
      <c r="U676" s="5" t="s">
        <v>602</v>
      </c>
      <c r="V676" s="28" t="n">
        <f>4757270000</f>
        <v>4.75727E9</v>
      </c>
      <c r="W676" s="5" t="s">
        <v>521</v>
      </c>
      <c r="X676" s="28" t="n">
        <f>26500000</f>
        <v>2.65E7</v>
      </c>
      <c r="Y676" s="28" t="n">
        <f>34194</f>
        <v>34194.0</v>
      </c>
      <c r="Z676" s="26" t="n">
        <f>164719</f>
        <v>164719.0</v>
      </c>
      <c r="AA676" s="26" t="n">
        <f>13985</f>
        <v>13985.0</v>
      </c>
      <c r="AB676" s="4" t="s">
        <v>809</v>
      </c>
      <c r="AC676" s="27" t="n">
        <f>48482</f>
        <v>48482.0</v>
      </c>
      <c r="AD676" s="5" t="s">
        <v>191</v>
      </c>
      <c r="AE676" s="28" t="n">
        <f>9802</f>
        <v>9802.0</v>
      </c>
    </row>
    <row r="677">
      <c r="A677" s="20" t="s">
        <v>1373</v>
      </c>
      <c r="B677" s="21" t="s">
        <v>1374</v>
      </c>
      <c r="C677" s="22" t="s">
        <v>1124</v>
      </c>
      <c r="D677" s="23" t="s">
        <v>1125</v>
      </c>
      <c r="E677" s="24" t="s">
        <v>70</v>
      </c>
      <c r="F677" s="25" t="n">
        <f>245</f>
        <v>245.0</v>
      </c>
      <c r="G677" s="26" t="n">
        <f>560795</f>
        <v>560795.0</v>
      </c>
      <c r="H677" s="26"/>
      <c r="I677" s="26" t="n">
        <f>50814</f>
        <v>50814.0</v>
      </c>
      <c r="J677" s="26" t="n">
        <f>2289</f>
        <v>2289.0</v>
      </c>
      <c r="K677" s="26" t="n">
        <f>207</f>
        <v>207.0</v>
      </c>
      <c r="L677" s="4" t="s">
        <v>511</v>
      </c>
      <c r="M677" s="27" t="n">
        <f>9625</f>
        <v>9625.0</v>
      </c>
      <c r="N677" s="5" t="s">
        <v>549</v>
      </c>
      <c r="O677" s="28" t="n">
        <f>125</f>
        <v>125.0</v>
      </c>
      <c r="P677" s="3" t="s">
        <v>1499</v>
      </c>
      <c r="Q677" s="26"/>
      <c r="R677" s="3" t="s">
        <v>1500</v>
      </c>
      <c r="S677" s="26" t="n">
        <f>161526051</f>
        <v>1.61526051E8</v>
      </c>
      <c r="T677" s="26" t="n">
        <f>17285316</f>
        <v>1.7285316E7</v>
      </c>
      <c r="U677" s="5" t="s">
        <v>313</v>
      </c>
      <c r="V677" s="28" t="n">
        <f>1028740000</f>
        <v>1.02874E9</v>
      </c>
      <c r="W677" s="5" t="s">
        <v>294</v>
      </c>
      <c r="X677" s="28" t="n">
        <f>8640000</f>
        <v>8640000.0</v>
      </c>
      <c r="Y677" s="28" t="n">
        <f>21929</f>
        <v>21929.0</v>
      </c>
      <c r="Z677" s="26" t="n">
        <f>86920</f>
        <v>86920.0</v>
      </c>
      <c r="AA677" s="26" t="n">
        <f>10616</f>
        <v>10616.0</v>
      </c>
      <c r="AB677" s="4" t="s">
        <v>58</v>
      </c>
      <c r="AC677" s="27" t="n">
        <f>39120</f>
        <v>39120.0</v>
      </c>
      <c r="AD677" s="5" t="s">
        <v>310</v>
      </c>
      <c r="AE677" s="28" t="n">
        <f>8521</f>
        <v>8521.0</v>
      </c>
    </row>
    <row r="678">
      <c r="A678" s="20" t="s">
        <v>1373</v>
      </c>
      <c r="B678" s="21" t="s">
        <v>1374</v>
      </c>
      <c r="C678" s="22" t="s">
        <v>1128</v>
      </c>
      <c r="D678" s="23" t="s">
        <v>1129</v>
      </c>
      <c r="E678" s="24" t="s">
        <v>70</v>
      </c>
      <c r="F678" s="25" t="n">
        <f>245</f>
        <v>245.0</v>
      </c>
      <c r="G678" s="26" t="n">
        <f>301568</f>
        <v>301568.0</v>
      </c>
      <c r="H678" s="26"/>
      <c r="I678" s="26" t="n">
        <f>19584</f>
        <v>19584.0</v>
      </c>
      <c r="J678" s="26" t="n">
        <f>1231</f>
        <v>1231.0</v>
      </c>
      <c r="K678" s="26" t="n">
        <f>80</f>
        <v>80.0</v>
      </c>
      <c r="L678" s="4" t="s">
        <v>321</v>
      </c>
      <c r="M678" s="27" t="n">
        <f>4617</f>
        <v>4617.0</v>
      </c>
      <c r="N678" s="5" t="s">
        <v>809</v>
      </c>
      <c r="O678" s="28" t="n">
        <f>86</f>
        <v>86.0</v>
      </c>
      <c r="P678" s="3" t="s">
        <v>1501</v>
      </c>
      <c r="Q678" s="26"/>
      <c r="R678" s="3" t="s">
        <v>1502</v>
      </c>
      <c r="S678" s="26" t="n">
        <f>135585837</f>
        <v>1.35585837E8</v>
      </c>
      <c r="T678" s="26" t="n">
        <f>8283429</f>
        <v>8283429.0</v>
      </c>
      <c r="U678" s="5" t="s">
        <v>330</v>
      </c>
      <c r="V678" s="28" t="n">
        <f>584220000</f>
        <v>5.8422E8</v>
      </c>
      <c r="W678" s="5" t="s">
        <v>85</v>
      </c>
      <c r="X678" s="28" t="n">
        <f>12130000</f>
        <v>1.213E7</v>
      </c>
      <c r="Y678" s="28" t="n">
        <f>21114</f>
        <v>21114.0</v>
      </c>
      <c r="Z678" s="26" t="n">
        <f>35774</f>
        <v>35774.0</v>
      </c>
      <c r="AA678" s="26" t="n">
        <f>5141</f>
        <v>5141.0</v>
      </c>
      <c r="AB678" s="4" t="s">
        <v>1418</v>
      </c>
      <c r="AC678" s="27" t="n">
        <f>11050</f>
        <v>11050.0</v>
      </c>
      <c r="AD678" s="5" t="s">
        <v>310</v>
      </c>
      <c r="AE678" s="28" t="n">
        <f>1208</f>
        <v>1208.0</v>
      </c>
    </row>
    <row r="679">
      <c r="A679" s="20" t="s">
        <v>1373</v>
      </c>
      <c r="B679" s="21" t="s">
        <v>1374</v>
      </c>
      <c r="C679" s="22" t="s">
        <v>1132</v>
      </c>
      <c r="D679" s="23" t="s">
        <v>1133</v>
      </c>
      <c r="E679" s="24" t="s">
        <v>70</v>
      </c>
      <c r="F679" s="25" t="n">
        <f>245</f>
        <v>245.0</v>
      </c>
      <c r="G679" s="26" t="n">
        <f>862363</f>
        <v>862363.0</v>
      </c>
      <c r="H679" s="26"/>
      <c r="I679" s="26" t="n">
        <f>70398</f>
        <v>70398.0</v>
      </c>
      <c r="J679" s="26" t="n">
        <f>3520</f>
        <v>3520.0</v>
      </c>
      <c r="K679" s="26" t="n">
        <f>287</f>
        <v>287.0</v>
      </c>
      <c r="L679" s="4" t="s">
        <v>511</v>
      </c>
      <c r="M679" s="27" t="n">
        <f>12164</f>
        <v>12164.0</v>
      </c>
      <c r="N679" s="5" t="s">
        <v>549</v>
      </c>
      <c r="O679" s="28" t="n">
        <f>388</f>
        <v>388.0</v>
      </c>
      <c r="P679" s="3" t="s">
        <v>1503</v>
      </c>
      <c r="Q679" s="26"/>
      <c r="R679" s="3" t="s">
        <v>1504</v>
      </c>
      <c r="S679" s="26" t="n">
        <f>297111888</f>
        <v>2.97111888E8</v>
      </c>
      <c r="T679" s="26" t="n">
        <f>25568745</f>
        <v>2.5568745E7</v>
      </c>
      <c r="U679" s="5" t="s">
        <v>313</v>
      </c>
      <c r="V679" s="28" t="n">
        <f>1238430000</f>
        <v>1.23843E9</v>
      </c>
      <c r="W679" s="5" t="s">
        <v>549</v>
      </c>
      <c r="X679" s="28" t="n">
        <f>29660000</f>
        <v>2.966E7</v>
      </c>
      <c r="Y679" s="28" t="n">
        <f>43043</f>
        <v>43043.0</v>
      </c>
      <c r="Z679" s="26" t="n">
        <f>122694</f>
        <v>122694.0</v>
      </c>
      <c r="AA679" s="26" t="n">
        <f>15757</f>
        <v>15757.0</v>
      </c>
      <c r="AB679" s="4" t="s">
        <v>58</v>
      </c>
      <c r="AC679" s="27" t="n">
        <f>47346</f>
        <v>47346.0</v>
      </c>
      <c r="AD679" s="5" t="s">
        <v>310</v>
      </c>
      <c r="AE679" s="28" t="n">
        <f>9729</f>
        <v>9729.0</v>
      </c>
    </row>
    <row r="680">
      <c r="A680" s="20" t="s">
        <v>1373</v>
      </c>
      <c r="B680" s="21" t="s">
        <v>1374</v>
      </c>
      <c r="C680" s="22" t="s">
        <v>1124</v>
      </c>
      <c r="D680" s="23" t="s">
        <v>1125</v>
      </c>
      <c r="E680" s="24" t="s">
        <v>76</v>
      </c>
      <c r="F680" s="25" t="n">
        <f>244</f>
        <v>244.0</v>
      </c>
      <c r="G680" s="26" t="n">
        <f>452352</f>
        <v>452352.0</v>
      </c>
      <c r="H680" s="26"/>
      <c r="I680" s="26" t="n">
        <f>48338</f>
        <v>48338.0</v>
      </c>
      <c r="J680" s="26" t="n">
        <f>1854</f>
        <v>1854.0</v>
      </c>
      <c r="K680" s="26" t="n">
        <f>198</f>
        <v>198.0</v>
      </c>
      <c r="L680" s="4" t="s">
        <v>798</v>
      </c>
      <c r="M680" s="27" t="n">
        <f>9108</f>
        <v>9108.0</v>
      </c>
      <c r="N680" s="5" t="s">
        <v>875</v>
      </c>
      <c r="O680" s="28" t="n">
        <f>253</f>
        <v>253.0</v>
      </c>
      <c r="P680" s="3" t="s">
        <v>1505</v>
      </c>
      <c r="Q680" s="26"/>
      <c r="R680" s="3" t="s">
        <v>1506</v>
      </c>
      <c r="S680" s="26" t="n">
        <f>158740881</f>
        <v>1.58740881E8</v>
      </c>
      <c r="T680" s="26" t="n">
        <f>19606742</f>
        <v>1.9606742E7</v>
      </c>
      <c r="U680" s="5" t="s">
        <v>514</v>
      </c>
      <c r="V680" s="28" t="n">
        <f>2005180000</f>
        <v>2.00518E9</v>
      </c>
      <c r="W680" s="5" t="s">
        <v>499</v>
      </c>
      <c r="X680" s="28" t="n">
        <f>5740000</f>
        <v>5740000.0</v>
      </c>
      <c r="Y680" s="28" t="n">
        <f>6404</f>
        <v>6404.0</v>
      </c>
      <c r="Z680" s="26" t="n">
        <f>87528</f>
        <v>87528.0</v>
      </c>
      <c r="AA680" s="26" t="n">
        <f>6126</f>
        <v>6126.0</v>
      </c>
      <c r="AB680" s="4" t="s">
        <v>967</v>
      </c>
      <c r="AC680" s="27" t="n">
        <f>26542</f>
        <v>26542.0</v>
      </c>
      <c r="AD680" s="5" t="s">
        <v>310</v>
      </c>
      <c r="AE680" s="28" t="n">
        <f>4082</f>
        <v>4082.0</v>
      </c>
    </row>
    <row r="681">
      <c r="A681" s="20" t="s">
        <v>1373</v>
      </c>
      <c r="B681" s="21" t="s">
        <v>1374</v>
      </c>
      <c r="C681" s="22" t="s">
        <v>1128</v>
      </c>
      <c r="D681" s="23" t="s">
        <v>1129</v>
      </c>
      <c r="E681" s="24" t="s">
        <v>76</v>
      </c>
      <c r="F681" s="25" t="n">
        <f>244</f>
        <v>244.0</v>
      </c>
      <c r="G681" s="26" t="n">
        <f>257068</f>
        <v>257068.0</v>
      </c>
      <c r="H681" s="26"/>
      <c r="I681" s="26" t="n">
        <f>13467</f>
        <v>13467.0</v>
      </c>
      <c r="J681" s="26" t="n">
        <f>1054</f>
        <v>1054.0</v>
      </c>
      <c r="K681" s="26" t="n">
        <f>55</f>
        <v>55.0</v>
      </c>
      <c r="L681" s="4" t="s">
        <v>1398</v>
      </c>
      <c r="M681" s="27" t="n">
        <f>4408</f>
        <v>4408.0</v>
      </c>
      <c r="N681" s="5" t="s">
        <v>1507</v>
      </c>
      <c r="O681" s="28" t="n">
        <f>68</f>
        <v>68.0</v>
      </c>
      <c r="P681" s="3" t="s">
        <v>1508</v>
      </c>
      <c r="Q681" s="26"/>
      <c r="R681" s="3" t="s">
        <v>1509</v>
      </c>
      <c r="S681" s="26" t="n">
        <f>110825154</f>
        <v>1.10825154E8</v>
      </c>
      <c r="T681" s="26" t="n">
        <f>6766342</f>
        <v>6766342.0</v>
      </c>
      <c r="U681" s="5" t="s">
        <v>380</v>
      </c>
      <c r="V681" s="28" t="n">
        <f>776985000</f>
        <v>7.76985E8</v>
      </c>
      <c r="W681" s="5" t="s">
        <v>804</v>
      </c>
      <c r="X681" s="28" t="n">
        <f>4420000</f>
        <v>4420000.0</v>
      </c>
      <c r="Y681" s="28" t="n">
        <f>28366</f>
        <v>28366.0</v>
      </c>
      <c r="Z681" s="26" t="n">
        <f>27979</f>
        <v>27979.0</v>
      </c>
      <c r="AA681" s="26" t="n">
        <f>2647</f>
        <v>2647.0</v>
      </c>
      <c r="AB681" s="4" t="s">
        <v>67</v>
      </c>
      <c r="AC681" s="27" t="n">
        <f>13408</f>
        <v>13408.0</v>
      </c>
      <c r="AD681" s="5" t="s">
        <v>58</v>
      </c>
      <c r="AE681" s="28" t="n">
        <f>2082</f>
        <v>2082.0</v>
      </c>
    </row>
    <row r="682">
      <c r="A682" s="20" t="s">
        <v>1373</v>
      </c>
      <c r="B682" s="21" t="s">
        <v>1374</v>
      </c>
      <c r="C682" s="22" t="s">
        <v>1132</v>
      </c>
      <c r="D682" s="23" t="s">
        <v>1133</v>
      </c>
      <c r="E682" s="24" t="s">
        <v>76</v>
      </c>
      <c r="F682" s="25" t="n">
        <f>244</f>
        <v>244.0</v>
      </c>
      <c r="G682" s="26" t="n">
        <f>709420</f>
        <v>709420.0</v>
      </c>
      <c r="H682" s="26"/>
      <c r="I682" s="26" t="n">
        <f>61805</f>
        <v>61805.0</v>
      </c>
      <c r="J682" s="26" t="n">
        <f>2907</f>
        <v>2907.0</v>
      </c>
      <c r="K682" s="26" t="n">
        <f>253</f>
        <v>253.0</v>
      </c>
      <c r="L682" s="4" t="s">
        <v>798</v>
      </c>
      <c r="M682" s="27" t="n">
        <f>12846</f>
        <v>12846.0</v>
      </c>
      <c r="N682" s="5" t="s">
        <v>479</v>
      </c>
      <c r="O682" s="28" t="n">
        <f>488</f>
        <v>488.0</v>
      </c>
      <c r="P682" s="3" t="s">
        <v>1510</v>
      </c>
      <c r="Q682" s="26"/>
      <c r="R682" s="3" t="s">
        <v>1511</v>
      </c>
      <c r="S682" s="26" t="n">
        <f>269566035</f>
        <v>2.69566035E8</v>
      </c>
      <c r="T682" s="26" t="n">
        <f>26373084</f>
        <v>2.6373084E7</v>
      </c>
      <c r="U682" s="5" t="s">
        <v>514</v>
      </c>
      <c r="V682" s="28" t="n">
        <f>2348490000</f>
        <v>2.34849E9</v>
      </c>
      <c r="W682" s="5" t="s">
        <v>254</v>
      </c>
      <c r="X682" s="28" t="n">
        <f>27460000</f>
        <v>2.746E7</v>
      </c>
      <c r="Y682" s="28" t="n">
        <f>34770</f>
        <v>34770.0</v>
      </c>
      <c r="Z682" s="26" t="n">
        <f>115507</f>
        <v>115507.0</v>
      </c>
      <c r="AA682" s="26" t="n">
        <f>8773</f>
        <v>8773.0</v>
      </c>
      <c r="AB682" s="4" t="s">
        <v>67</v>
      </c>
      <c r="AC682" s="27" t="n">
        <f>39273</f>
        <v>39273.0</v>
      </c>
      <c r="AD682" s="5" t="s">
        <v>185</v>
      </c>
      <c r="AE682" s="28" t="n">
        <f>7039</f>
        <v>7039.0</v>
      </c>
    </row>
    <row r="683">
      <c r="A683" s="20" t="s">
        <v>1373</v>
      </c>
      <c r="B683" s="21" t="s">
        <v>1374</v>
      </c>
      <c r="C683" s="22" t="s">
        <v>1124</v>
      </c>
      <c r="D683" s="23" t="s">
        <v>1125</v>
      </c>
      <c r="E683" s="24" t="s">
        <v>81</v>
      </c>
      <c r="F683" s="25" t="n">
        <f>241</f>
        <v>241.0</v>
      </c>
      <c r="G683" s="26" t="n">
        <f>333588</f>
        <v>333588.0</v>
      </c>
      <c r="H683" s="26"/>
      <c r="I683" s="26" t="n">
        <f>27842</f>
        <v>27842.0</v>
      </c>
      <c r="J683" s="26" t="n">
        <f>1384</f>
        <v>1384.0</v>
      </c>
      <c r="K683" s="26" t="n">
        <f>116</f>
        <v>116.0</v>
      </c>
      <c r="L683" s="4" t="s">
        <v>69</v>
      </c>
      <c r="M683" s="27" t="n">
        <f>5778</f>
        <v>5778.0</v>
      </c>
      <c r="N683" s="5" t="s">
        <v>791</v>
      </c>
      <c r="O683" s="28" t="n">
        <f>51</f>
        <v>51.0</v>
      </c>
      <c r="P683" s="3" t="s">
        <v>1512</v>
      </c>
      <c r="Q683" s="26"/>
      <c r="R683" s="3" t="s">
        <v>1513</v>
      </c>
      <c r="S683" s="26" t="n">
        <f>161157500</f>
        <v>1.611575E8</v>
      </c>
      <c r="T683" s="26" t="n">
        <f>15706214</f>
        <v>1.5706214E7</v>
      </c>
      <c r="U683" s="5" t="s">
        <v>69</v>
      </c>
      <c r="V683" s="28" t="n">
        <f>1455550000</f>
        <v>1.45555E9</v>
      </c>
      <c r="W683" s="5" t="s">
        <v>141</v>
      </c>
      <c r="X683" s="28" t="n">
        <f>10350000</f>
        <v>1.035E7</v>
      </c>
      <c r="Y683" s="28" t="n">
        <f>12219</f>
        <v>12219.0</v>
      </c>
      <c r="Z683" s="26" t="n">
        <f>60032</f>
        <v>60032.0</v>
      </c>
      <c r="AA683" s="26" t="n">
        <f>280</f>
        <v>280.0</v>
      </c>
      <c r="AB683" s="4" t="s">
        <v>1037</v>
      </c>
      <c r="AC683" s="27" t="n">
        <f>18117</f>
        <v>18117.0</v>
      </c>
      <c r="AD683" s="5" t="s">
        <v>209</v>
      </c>
      <c r="AE683" s="28" t="n">
        <f>280</f>
        <v>280.0</v>
      </c>
    </row>
    <row r="684">
      <c r="A684" s="20" t="s">
        <v>1373</v>
      </c>
      <c r="B684" s="21" t="s">
        <v>1374</v>
      </c>
      <c r="C684" s="22" t="s">
        <v>1128</v>
      </c>
      <c r="D684" s="23" t="s">
        <v>1129</v>
      </c>
      <c r="E684" s="24" t="s">
        <v>81</v>
      </c>
      <c r="F684" s="25" t="n">
        <f>241</f>
        <v>241.0</v>
      </c>
      <c r="G684" s="26" t="n">
        <f>310796</f>
        <v>310796.0</v>
      </c>
      <c r="H684" s="26"/>
      <c r="I684" s="26" t="n">
        <f>28485</f>
        <v>28485.0</v>
      </c>
      <c r="J684" s="26" t="n">
        <f>1290</f>
        <v>1290.0</v>
      </c>
      <c r="K684" s="26" t="n">
        <f>118</f>
        <v>118.0</v>
      </c>
      <c r="L684" s="4" t="s">
        <v>672</v>
      </c>
      <c r="M684" s="27" t="n">
        <f>5982</f>
        <v>5982.0</v>
      </c>
      <c r="N684" s="5" t="s">
        <v>425</v>
      </c>
      <c r="O684" s="28" t="n">
        <f>58</f>
        <v>58.0</v>
      </c>
      <c r="P684" s="3" t="s">
        <v>1514</v>
      </c>
      <c r="Q684" s="26"/>
      <c r="R684" s="3" t="s">
        <v>1515</v>
      </c>
      <c r="S684" s="26" t="n">
        <f>159879855</f>
        <v>1.59879855E8</v>
      </c>
      <c r="T684" s="26" t="n">
        <f>19183963</f>
        <v>1.9183963E7</v>
      </c>
      <c r="U684" s="5" t="s">
        <v>434</v>
      </c>
      <c r="V684" s="28" t="n">
        <f>715860000</f>
        <v>7.1586E8</v>
      </c>
      <c r="W684" s="5" t="s">
        <v>791</v>
      </c>
      <c r="X684" s="28" t="n">
        <f>8320000</f>
        <v>8320000.0</v>
      </c>
      <c r="Y684" s="28" t="n">
        <f>25076</f>
        <v>25076.0</v>
      </c>
      <c r="Z684" s="26" t="n">
        <f>65931</f>
        <v>65931.0</v>
      </c>
      <c r="AA684" s="26" t="n">
        <f>117</f>
        <v>117.0</v>
      </c>
      <c r="AB684" s="4" t="s">
        <v>1020</v>
      </c>
      <c r="AC684" s="27" t="n">
        <f>15855</f>
        <v>15855.0</v>
      </c>
      <c r="AD684" s="5" t="s">
        <v>209</v>
      </c>
      <c r="AE684" s="28" t="n">
        <f>117</f>
        <v>117.0</v>
      </c>
    </row>
    <row r="685">
      <c r="A685" s="20" t="s">
        <v>1373</v>
      </c>
      <c r="B685" s="21" t="s">
        <v>1374</v>
      </c>
      <c r="C685" s="22" t="s">
        <v>1132</v>
      </c>
      <c r="D685" s="23" t="s">
        <v>1133</v>
      </c>
      <c r="E685" s="24" t="s">
        <v>81</v>
      </c>
      <c r="F685" s="25" t="n">
        <f>241</f>
        <v>241.0</v>
      </c>
      <c r="G685" s="26" t="n">
        <f>644384</f>
        <v>644384.0</v>
      </c>
      <c r="H685" s="26"/>
      <c r="I685" s="26" t="n">
        <f>56327</f>
        <v>56327.0</v>
      </c>
      <c r="J685" s="26" t="n">
        <f>2674</f>
        <v>2674.0</v>
      </c>
      <c r="K685" s="26" t="n">
        <f>234</f>
        <v>234.0</v>
      </c>
      <c r="L685" s="4" t="s">
        <v>69</v>
      </c>
      <c r="M685" s="27" t="n">
        <f>8514</f>
        <v>8514.0</v>
      </c>
      <c r="N685" s="5" t="s">
        <v>791</v>
      </c>
      <c r="O685" s="28" t="n">
        <f>144</f>
        <v>144.0</v>
      </c>
      <c r="P685" s="3" t="s">
        <v>1516</v>
      </c>
      <c r="Q685" s="26"/>
      <c r="R685" s="3" t="s">
        <v>1517</v>
      </c>
      <c r="S685" s="26" t="n">
        <f>321037355</f>
        <v>3.21037355E8</v>
      </c>
      <c r="T685" s="26" t="n">
        <f>34890176</f>
        <v>3.4890176E7</v>
      </c>
      <c r="U685" s="5" t="s">
        <v>69</v>
      </c>
      <c r="V685" s="28" t="n">
        <f>1690990000</f>
        <v>1.69099E9</v>
      </c>
      <c r="W685" s="5" t="s">
        <v>791</v>
      </c>
      <c r="X685" s="28" t="n">
        <f>19090000</f>
        <v>1.909E7</v>
      </c>
      <c r="Y685" s="28" t="n">
        <f>37295</f>
        <v>37295.0</v>
      </c>
      <c r="Z685" s="26" t="n">
        <f>125963</f>
        <v>125963.0</v>
      </c>
      <c r="AA685" s="26" t="n">
        <f>397</f>
        <v>397.0</v>
      </c>
      <c r="AB685" s="4" t="s">
        <v>1037</v>
      </c>
      <c r="AC685" s="27" t="n">
        <f>25725</f>
        <v>25725.0</v>
      </c>
      <c r="AD685" s="5" t="s">
        <v>209</v>
      </c>
      <c r="AE685" s="28" t="n">
        <f>397</f>
        <v>397.0</v>
      </c>
    </row>
    <row r="686">
      <c r="A686" s="20" t="s">
        <v>1373</v>
      </c>
      <c r="B686" s="21" t="s">
        <v>1374</v>
      </c>
      <c r="C686" s="22" t="s">
        <v>1124</v>
      </c>
      <c r="D686" s="23" t="s">
        <v>1125</v>
      </c>
      <c r="E686" s="24" t="s">
        <v>87</v>
      </c>
      <c r="F686" s="25" t="n">
        <f>245</f>
        <v>245.0</v>
      </c>
      <c r="G686" s="26" t="n">
        <f>129102</f>
        <v>129102.0</v>
      </c>
      <c r="H686" s="26"/>
      <c r="I686" s="26" t="n">
        <f>12541</f>
        <v>12541.0</v>
      </c>
      <c r="J686" s="26" t="n">
        <f>527</f>
        <v>527.0</v>
      </c>
      <c r="K686" s="26" t="n">
        <f>51</f>
        <v>51.0</v>
      </c>
      <c r="L686" s="4" t="s">
        <v>569</v>
      </c>
      <c r="M686" s="27" t="n">
        <f>2379</f>
        <v>2379.0</v>
      </c>
      <c r="N686" s="5" t="s">
        <v>542</v>
      </c>
      <c r="O686" s="28" t="n">
        <f>11</f>
        <v>11.0</v>
      </c>
      <c r="P686" s="3" t="s">
        <v>1518</v>
      </c>
      <c r="Q686" s="26"/>
      <c r="R686" s="3" t="s">
        <v>1519</v>
      </c>
      <c r="S686" s="26" t="n">
        <f>46670878</f>
        <v>4.6670878E7</v>
      </c>
      <c r="T686" s="26" t="n">
        <f>4903980</f>
        <v>4903980.0</v>
      </c>
      <c r="U686" s="5" t="s">
        <v>560</v>
      </c>
      <c r="V686" s="28" t="n">
        <f>282240000</f>
        <v>2.8224E8</v>
      </c>
      <c r="W686" s="5" t="s">
        <v>169</v>
      </c>
      <c r="X686" s="28" t="n">
        <f>250000</f>
        <v>250000.0</v>
      </c>
      <c r="Y686" s="28" t="n">
        <f>9003</f>
        <v>9003.0</v>
      </c>
      <c r="Z686" s="26" t="n">
        <f>17881</f>
        <v>17881.0</v>
      </c>
      <c r="AA686" s="26" t="n">
        <f>793</f>
        <v>793.0</v>
      </c>
      <c r="AB686" s="4" t="s">
        <v>1020</v>
      </c>
      <c r="AC686" s="27" t="n">
        <f>6645</f>
        <v>6645.0</v>
      </c>
      <c r="AD686" s="5" t="s">
        <v>191</v>
      </c>
      <c r="AE686" s="28" t="n">
        <f>277</f>
        <v>277.0</v>
      </c>
    </row>
    <row r="687">
      <c r="A687" s="20" t="s">
        <v>1373</v>
      </c>
      <c r="B687" s="21" t="s">
        <v>1374</v>
      </c>
      <c r="C687" s="22" t="s">
        <v>1128</v>
      </c>
      <c r="D687" s="23" t="s">
        <v>1129</v>
      </c>
      <c r="E687" s="24" t="s">
        <v>87</v>
      </c>
      <c r="F687" s="25" t="n">
        <f>245</f>
        <v>245.0</v>
      </c>
      <c r="G687" s="26" t="n">
        <f>117331</f>
        <v>117331.0</v>
      </c>
      <c r="H687" s="26"/>
      <c r="I687" s="26" t="n">
        <f>14378</f>
        <v>14378.0</v>
      </c>
      <c r="J687" s="26" t="n">
        <f>479</f>
        <v>479.0</v>
      </c>
      <c r="K687" s="26" t="n">
        <f>59</f>
        <v>59.0</v>
      </c>
      <c r="L687" s="4" t="s">
        <v>560</v>
      </c>
      <c r="M687" s="27" t="n">
        <f>2705</f>
        <v>2705.0</v>
      </c>
      <c r="N687" s="5" t="s">
        <v>826</v>
      </c>
      <c r="O687" s="28" t="n">
        <f>25</f>
        <v>25.0</v>
      </c>
      <c r="P687" s="3" t="s">
        <v>1520</v>
      </c>
      <c r="Q687" s="26"/>
      <c r="R687" s="3" t="s">
        <v>1521</v>
      </c>
      <c r="S687" s="26" t="n">
        <f>44266051</f>
        <v>4.4266051E7</v>
      </c>
      <c r="T687" s="26" t="n">
        <f>6013480</f>
        <v>6013480.0</v>
      </c>
      <c r="U687" s="5" t="s">
        <v>560</v>
      </c>
      <c r="V687" s="28" t="n">
        <f>211340000</f>
        <v>2.1134E8</v>
      </c>
      <c r="W687" s="5" t="s">
        <v>169</v>
      </c>
      <c r="X687" s="28" t="n">
        <f>640000</f>
        <v>640000.0</v>
      </c>
      <c r="Y687" s="28" t="n">
        <f>4867</f>
        <v>4867.0</v>
      </c>
      <c r="Z687" s="26" t="n">
        <f>21566</f>
        <v>21566.0</v>
      </c>
      <c r="AA687" s="26" t="n">
        <f>241</f>
        <v>241.0</v>
      </c>
      <c r="AB687" s="4" t="s">
        <v>920</v>
      </c>
      <c r="AC687" s="27" t="n">
        <f>6620</f>
        <v>6620.0</v>
      </c>
      <c r="AD687" s="5" t="s">
        <v>557</v>
      </c>
      <c r="AE687" s="28" t="n">
        <f>214</f>
        <v>214.0</v>
      </c>
    </row>
    <row r="688">
      <c r="A688" s="20" t="s">
        <v>1373</v>
      </c>
      <c r="B688" s="21" t="s">
        <v>1374</v>
      </c>
      <c r="C688" s="22" t="s">
        <v>1132</v>
      </c>
      <c r="D688" s="23" t="s">
        <v>1133</v>
      </c>
      <c r="E688" s="24" t="s">
        <v>87</v>
      </c>
      <c r="F688" s="25" t="n">
        <f>245</f>
        <v>245.0</v>
      </c>
      <c r="G688" s="26" t="n">
        <f>246433</f>
        <v>246433.0</v>
      </c>
      <c r="H688" s="26"/>
      <c r="I688" s="26" t="n">
        <f>26919</f>
        <v>26919.0</v>
      </c>
      <c r="J688" s="26" t="n">
        <f>1006</f>
        <v>1006.0</v>
      </c>
      <c r="K688" s="26" t="n">
        <f>110</f>
        <v>110.0</v>
      </c>
      <c r="L688" s="4" t="s">
        <v>560</v>
      </c>
      <c r="M688" s="27" t="n">
        <f>4624</f>
        <v>4624.0</v>
      </c>
      <c r="N688" s="5" t="s">
        <v>169</v>
      </c>
      <c r="O688" s="28" t="n">
        <f>56</f>
        <v>56.0</v>
      </c>
      <c r="P688" s="3" t="s">
        <v>1522</v>
      </c>
      <c r="Q688" s="26"/>
      <c r="R688" s="3" t="s">
        <v>1523</v>
      </c>
      <c r="S688" s="26" t="n">
        <f>90936929</f>
        <v>9.0936929E7</v>
      </c>
      <c r="T688" s="26" t="n">
        <f>10917459</f>
        <v>1.0917459E7</v>
      </c>
      <c r="U688" s="5" t="s">
        <v>560</v>
      </c>
      <c r="V688" s="28" t="n">
        <f>493580000</f>
        <v>4.9358E8</v>
      </c>
      <c r="W688" s="5" t="s">
        <v>169</v>
      </c>
      <c r="X688" s="28" t="n">
        <f>890000</f>
        <v>890000.0</v>
      </c>
      <c r="Y688" s="28" t="n">
        <f>13870</f>
        <v>13870.0</v>
      </c>
      <c r="Z688" s="26" t="n">
        <f>39447</f>
        <v>39447.0</v>
      </c>
      <c r="AA688" s="26" t="n">
        <f>1034</f>
        <v>1034.0</v>
      </c>
      <c r="AB688" s="4" t="s">
        <v>920</v>
      </c>
      <c r="AC688" s="27" t="n">
        <f>11959</f>
        <v>11959.0</v>
      </c>
      <c r="AD688" s="5" t="s">
        <v>889</v>
      </c>
      <c r="AE688" s="28" t="n">
        <f>807</f>
        <v>807.0</v>
      </c>
    </row>
    <row r="689">
      <c r="A689" s="20" t="s">
        <v>1373</v>
      </c>
      <c r="B689" s="21" t="s">
        <v>1374</v>
      </c>
      <c r="C689" s="22" t="s">
        <v>1124</v>
      </c>
      <c r="D689" s="23" t="s">
        <v>1125</v>
      </c>
      <c r="E689" s="24" t="s">
        <v>92</v>
      </c>
      <c r="F689" s="25" t="n">
        <f>244</f>
        <v>244.0</v>
      </c>
      <c r="G689" s="26" t="n">
        <f>85259</f>
        <v>85259.0</v>
      </c>
      <c r="H689" s="26"/>
      <c r="I689" s="26" t="n">
        <f>10526</f>
        <v>10526.0</v>
      </c>
      <c r="J689" s="26" t="n">
        <f>349</f>
        <v>349.0</v>
      </c>
      <c r="K689" s="26" t="n">
        <f>43</f>
        <v>43.0</v>
      </c>
      <c r="L689" s="4" t="s">
        <v>960</v>
      </c>
      <c r="M689" s="27" t="n">
        <f>1583</f>
        <v>1583.0</v>
      </c>
      <c r="N689" s="5" t="s">
        <v>324</v>
      </c>
      <c r="O689" s="28" t="n">
        <f>9</f>
        <v>9.0</v>
      </c>
      <c r="P689" s="3" t="s">
        <v>1524</v>
      </c>
      <c r="Q689" s="26"/>
      <c r="R689" s="3" t="s">
        <v>1525</v>
      </c>
      <c r="S689" s="26" t="n">
        <f>29950225</f>
        <v>2.9950225E7</v>
      </c>
      <c r="T689" s="26" t="n">
        <f>5467971</f>
        <v>5467971.0</v>
      </c>
      <c r="U689" s="5" t="s">
        <v>627</v>
      </c>
      <c r="V689" s="28" t="n">
        <f>181600000</f>
        <v>1.816E8</v>
      </c>
      <c r="W689" s="5" t="s">
        <v>324</v>
      </c>
      <c r="X689" s="28" t="n">
        <f>510000</f>
        <v>510000.0</v>
      </c>
      <c r="Y689" s="28" t="n">
        <f>6519</f>
        <v>6519.0</v>
      </c>
      <c r="Z689" s="26" t="n">
        <f>19981</f>
        <v>19981.0</v>
      </c>
      <c r="AA689" s="26" t="n">
        <f>147</f>
        <v>147.0</v>
      </c>
      <c r="AB689" s="4" t="s">
        <v>1400</v>
      </c>
      <c r="AC689" s="27" t="n">
        <f>5590</f>
        <v>5590.0</v>
      </c>
      <c r="AD689" s="5" t="s">
        <v>209</v>
      </c>
      <c r="AE689" s="28" t="n">
        <f>147</f>
        <v>147.0</v>
      </c>
    </row>
    <row r="690">
      <c r="A690" s="20" t="s">
        <v>1373</v>
      </c>
      <c r="B690" s="21" t="s">
        <v>1374</v>
      </c>
      <c r="C690" s="22" t="s">
        <v>1128</v>
      </c>
      <c r="D690" s="23" t="s">
        <v>1129</v>
      </c>
      <c r="E690" s="24" t="s">
        <v>92</v>
      </c>
      <c r="F690" s="25" t="n">
        <f>244</f>
        <v>244.0</v>
      </c>
      <c r="G690" s="26" t="n">
        <f>74879</f>
        <v>74879.0</v>
      </c>
      <c r="H690" s="26"/>
      <c r="I690" s="26" t="n">
        <f>5544</f>
        <v>5544.0</v>
      </c>
      <c r="J690" s="26" t="n">
        <f>307</f>
        <v>307.0</v>
      </c>
      <c r="K690" s="26" t="n">
        <f>23</f>
        <v>23.0</v>
      </c>
      <c r="L690" s="4" t="s">
        <v>1400</v>
      </c>
      <c r="M690" s="27" t="n">
        <f>1989</f>
        <v>1989.0</v>
      </c>
      <c r="N690" s="5" t="s">
        <v>57</v>
      </c>
      <c r="O690" s="28" t="n">
        <f>2</f>
        <v>2.0</v>
      </c>
      <c r="P690" s="3" t="s">
        <v>1526</v>
      </c>
      <c r="Q690" s="26"/>
      <c r="R690" s="3" t="s">
        <v>1527</v>
      </c>
      <c r="S690" s="26" t="n">
        <f>28130799</f>
        <v>2.8130799E7</v>
      </c>
      <c r="T690" s="26" t="n">
        <f>3213381</f>
        <v>3213381.0</v>
      </c>
      <c r="U690" s="5" t="s">
        <v>127</v>
      </c>
      <c r="V690" s="28" t="n">
        <f>236550000</f>
        <v>2.3655E8</v>
      </c>
      <c r="W690" s="5" t="s">
        <v>57</v>
      </c>
      <c r="X690" s="28" t="n">
        <f>40000</f>
        <v>40000.0</v>
      </c>
      <c r="Y690" s="28" t="n">
        <f>4176</f>
        <v>4176.0</v>
      </c>
      <c r="Z690" s="26" t="n">
        <f>9574</f>
        <v>9574.0</v>
      </c>
      <c r="AA690" s="26" t="n">
        <f>754</f>
        <v>754.0</v>
      </c>
      <c r="AB690" s="4" t="s">
        <v>809</v>
      </c>
      <c r="AC690" s="27" t="n">
        <f>3742</f>
        <v>3742.0</v>
      </c>
      <c r="AD690" s="5" t="s">
        <v>185</v>
      </c>
      <c r="AE690" s="28" t="n">
        <f>104</f>
        <v>104.0</v>
      </c>
    </row>
    <row r="691">
      <c r="A691" s="20" t="s">
        <v>1373</v>
      </c>
      <c r="B691" s="21" t="s">
        <v>1374</v>
      </c>
      <c r="C691" s="22" t="s">
        <v>1132</v>
      </c>
      <c r="D691" s="23" t="s">
        <v>1133</v>
      </c>
      <c r="E691" s="24" t="s">
        <v>92</v>
      </c>
      <c r="F691" s="25" t="n">
        <f>244</f>
        <v>244.0</v>
      </c>
      <c r="G691" s="26" t="n">
        <f>160138</f>
        <v>160138.0</v>
      </c>
      <c r="H691" s="26"/>
      <c r="I691" s="26" t="n">
        <f>16070</f>
        <v>16070.0</v>
      </c>
      <c r="J691" s="26" t="n">
        <f>656</f>
        <v>656.0</v>
      </c>
      <c r="K691" s="26" t="n">
        <f>66</f>
        <v>66.0</v>
      </c>
      <c r="L691" s="4" t="s">
        <v>818</v>
      </c>
      <c r="M691" s="27" t="n">
        <f>2839</f>
        <v>2839.0</v>
      </c>
      <c r="N691" s="5" t="s">
        <v>57</v>
      </c>
      <c r="O691" s="28" t="n">
        <f>23</f>
        <v>23.0</v>
      </c>
      <c r="P691" s="3" t="s">
        <v>1528</v>
      </c>
      <c r="Q691" s="26"/>
      <c r="R691" s="3" t="s">
        <v>1529</v>
      </c>
      <c r="S691" s="26" t="n">
        <f>58081025</f>
        <v>5.8081025E7</v>
      </c>
      <c r="T691" s="26" t="n">
        <f>8681352</f>
        <v>8681352.0</v>
      </c>
      <c r="U691" s="5" t="s">
        <v>127</v>
      </c>
      <c r="V691" s="28" t="n">
        <f>280090000</f>
        <v>2.8009E8</v>
      </c>
      <c r="W691" s="5" t="s">
        <v>57</v>
      </c>
      <c r="X691" s="28" t="n">
        <f>2600000</f>
        <v>2600000.0</v>
      </c>
      <c r="Y691" s="28" t="n">
        <f>10695</f>
        <v>10695.0</v>
      </c>
      <c r="Z691" s="26" t="n">
        <f>29555</f>
        <v>29555.0</v>
      </c>
      <c r="AA691" s="26" t="n">
        <f>901</f>
        <v>901.0</v>
      </c>
      <c r="AB691" s="4" t="s">
        <v>809</v>
      </c>
      <c r="AC691" s="27" t="n">
        <f>8361</f>
        <v>8361.0</v>
      </c>
      <c r="AD691" s="5" t="s">
        <v>185</v>
      </c>
      <c r="AE691" s="28" t="n">
        <f>405</f>
        <v>405.0</v>
      </c>
    </row>
    <row r="692">
      <c r="A692" s="20" t="s">
        <v>1373</v>
      </c>
      <c r="B692" s="21" t="s">
        <v>1374</v>
      </c>
      <c r="C692" s="22" t="s">
        <v>1124</v>
      </c>
      <c r="D692" s="23" t="s">
        <v>1125</v>
      </c>
      <c r="E692" s="24" t="s">
        <v>98</v>
      </c>
      <c r="F692" s="25" t="n">
        <f>245</f>
        <v>245.0</v>
      </c>
      <c r="G692" s="26" t="n">
        <f>44404</f>
        <v>44404.0</v>
      </c>
      <c r="H692" s="26"/>
      <c r="I692" s="26" t="n">
        <f>6073</f>
        <v>6073.0</v>
      </c>
      <c r="J692" s="26" t="n">
        <f>181</f>
        <v>181.0</v>
      </c>
      <c r="K692" s="26" t="n">
        <f>25</f>
        <v>25.0</v>
      </c>
      <c r="L692" s="4" t="s">
        <v>1244</v>
      </c>
      <c r="M692" s="27" t="n">
        <f>1455</f>
        <v>1455.0</v>
      </c>
      <c r="N692" s="5" t="s">
        <v>678</v>
      </c>
      <c r="O692" s="28" t="str">
        <f>"－"</f>
        <v>－</v>
      </c>
      <c r="P692" s="3" t="s">
        <v>1530</v>
      </c>
      <c r="Q692" s="26"/>
      <c r="R692" s="3" t="s">
        <v>1531</v>
      </c>
      <c r="S692" s="26" t="n">
        <f>28615765</f>
        <v>2.8615765E7</v>
      </c>
      <c r="T692" s="26" t="n">
        <f>6941969</f>
        <v>6941969.0</v>
      </c>
      <c r="U692" s="5" t="s">
        <v>659</v>
      </c>
      <c r="V692" s="28" t="n">
        <f>324180000</f>
        <v>3.2418E8</v>
      </c>
      <c r="W692" s="5" t="s">
        <v>678</v>
      </c>
      <c r="X692" s="28" t="str">
        <f>"－"</f>
        <v>－</v>
      </c>
      <c r="Y692" s="28" t="n">
        <f>3723</f>
        <v>3723.0</v>
      </c>
      <c r="Z692" s="26" t="n">
        <f>8384</f>
        <v>8384.0</v>
      </c>
      <c r="AA692" s="26" t="n">
        <f>629</f>
        <v>629.0</v>
      </c>
      <c r="AB692" s="4" t="s">
        <v>1418</v>
      </c>
      <c r="AC692" s="27" t="n">
        <f>3265</f>
        <v>3265.0</v>
      </c>
      <c r="AD692" s="5" t="s">
        <v>947</v>
      </c>
      <c r="AE692" s="28" t="n">
        <f>105</f>
        <v>105.0</v>
      </c>
    </row>
    <row r="693">
      <c r="A693" s="20" t="s">
        <v>1373</v>
      </c>
      <c r="B693" s="21" t="s">
        <v>1374</v>
      </c>
      <c r="C693" s="22" t="s">
        <v>1128</v>
      </c>
      <c r="D693" s="23" t="s">
        <v>1129</v>
      </c>
      <c r="E693" s="24" t="s">
        <v>98</v>
      </c>
      <c r="F693" s="25" t="n">
        <f>245</f>
        <v>245.0</v>
      </c>
      <c r="G693" s="26" t="n">
        <f>31329</f>
        <v>31329.0</v>
      </c>
      <c r="H693" s="26"/>
      <c r="I693" s="26" t="n">
        <f>6591</f>
        <v>6591.0</v>
      </c>
      <c r="J693" s="26" t="n">
        <f>128</f>
        <v>128.0</v>
      </c>
      <c r="K693" s="26" t="n">
        <f>27</f>
        <v>27.0</v>
      </c>
      <c r="L693" s="4" t="s">
        <v>131</v>
      </c>
      <c r="M693" s="27" t="n">
        <f>726</f>
        <v>726.0</v>
      </c>
      <c r="N693" s="5" t="s">
        <v>818</v>
      </c>
      <c r="O693" s="28" t="str">
        <f>"－"</f>
        <v>－</v>
      </c>
      <c r="P693" s="3" t="s">
        <v>1532</v>
      </c>
      <c r="Q693" s="26"/>
      <c r="R693" s="3" t="s">
        <v>1533</v>
      </c>
      <c r="S693" s="26" t="n">
        <f>21847500</f>
        <v>2.18475E7</v>
      </c>
      <c r="T693" s="26" t="n">
        <f>4630847</f>
        <v>4630847.0</v>
      </c>
      <c r="U693" s="5" t="s">
        <v>115</v>
      </c>
      <c r="V693" s="28" t="n">
        <f>235260000</f>
        <v>2.3526E8</v>
      </c>
      <c r="W693" s="5" t="s">
        <v>818</v>
      </c>
      <c r="X693" s="28" t="str">
        <f>"－"</f>
        <v>－</v>
      </c>
      <c r="Y693" s="28" t="n">
        <f>4304</f>
        <v>4304.0</v>
      </c>
      <c r="Z693" s="26" t="n">
        <f>12770</f>
        <v>12770.0</v>
      </c>
      <c r="AA693" s="26" t="n">
        <f>100</f>
        <v>100.0</v>
      </c>
      <c r="AB693" s="4" t="s">
        <v>1394</v>
      </c>
      <c r="AC693" s="27" t="n">
        <f>2581</f>
        <v>2581.0</v>
      </c>
      <c r="AD693" s="5" t="s">
        <v>185</v>
      </c>
      <c r="AE693" s="28" t="n">
        <f>4</f>
        <v>4.0</v>
      </c>
    </row>
    <row r="694">
      <c r="A694" s="20" t="s">
        <v>1373</v>
      </c>
      <c r="B694" s="21" t="s">
        <v>1374</v>
      </c>
      <c r="C694" s="22" t="s">
        <v>1132</v>
      </c>
      <c r="D694" s="23" t="s">
        <v>1133</v>
      </c>
      <c r="E694" s="24" t="s">
        <v>98</v>
      </c>
      <c r="F694" s="25" t="n">
        <f>245</f>
        <v>245.0</v>
      </c>
      <c r="G694" s="26" t="n">
        <f>75733</f>
        <v>75733.0</v>
      </c>
      <c r="H694" s="26"/>
      <c r="I694" s="26" t="n">
        <f>12664</f>
        <v>12664.0</v>
      </c>
      <c r="J694" s="26" t="n">
        <f>309</f>
        <v>309.0</v>
      </c>
      <c r="K694" s="26" t="n">
        <f>52</f>
        <v>52.0</v>
      </c>
      <c r="L694" s="4" t="s">
        <v>1244</v>
      </c>
      <c r="M694" s="27" t="n">
        <f>1856</f>
        <v>1856.0</v>
      </c>
      <c r="N694" s="5" t="s">
        <v>562</v>
      </c>
      <c r="O694" s="28" t="n">
        <f>3</f>
        <v>3.0</v>
      </c>
      <c r="P694" s="3" t="s">
        <v>1534</v>
      </c>
      <c r="Q694" s="26"/>
      <c r="R694" s="3" t="s">
        <v>1535</v>
      </c>
      <c r="S694" s="26" t="n">
        <f>50463265</f>
        <v>5.0463265E7</v>
      </c>
      <c r="T694" s="26" t="n">
        <f>11572816</f>
        <v>1.1572816E7</v>
      </c>
      <c r="U694" s="5" t="s">
        <v>61</v>
      </c>
      <c r="V694" s="28" t="n">
        <f>427390000</f>
        <v>4.2739E8</v>
      </c>
      <c r="W694" s="5" t="s">
        <v>562</v>
      </c>
      <c r="X694" s="28" t="n">
        <f>270000</f>
        <v>270000.0</v>
      </c>
      <c r="Y694" s="28" t="n">
        <f>8027</f>
        <v>8027.0</v>
      </c>
      <c r="Z694" s="26" t="n">
        <f>21154</f>
        <v>21154.0</v>
      </c>
      <c r="AA694" s="26" t="n">
        <f>729</f>
        <v>729.0</v>
      </c>
      <c r="AB694" s="4" t="s">
        <v>218</v>
      </c>
      <c r="AC694" s="27" t="n">
        <f>5466</f>
        <v>5466.0</v>
      </c>
      <c r="AD694" s="5" t="s">
        <v>1536</v>
      </c>
      <c r="AE694" s="28" t="n">
        <f>269</f>
        <v>269.0</v>
      </c>
    </row>
    <row r="695">
      <c r="A695" s="20" t="s">
        <v>1373</v>
      </c>
      <c r="B695" s="21" t="s">
        <v>1374</v>
      </c>
      <c r="C695" s="22" t="s">
        <v>1124</v>
      </c>
      <c r="D695" s="23" t="s">
        <v>1125</v>
      </c>
      <c r="E695" s="24" t="s">
        <v>103</v>
      </c>
      <c r="F695" s="25" t="n">
        <f>244</f>
        <v>244.0</v>
      </c>
      <c r="G695" s="26" t="n">
        <f>58311</f>
        <v>58311.0</v>
      </c>
      <c r="H695" s="26"/>
      <c r="I695" s="26" t="n">
        <f>31146</f>
        <v>31146.0</v>
      </c>
      <c r="J695" s="26" t="n">
        <f>239</f>
        <v>239.0</v>
      </c>
      <c r="K695" s="26" t="n">
        <f>128</f>
        <v>128.0</v>
      </c>
      <c r="L695" s="4" t="s">
        <v>733</v>
      </c>
      <c r="M695" s="27" t="n">
        <f>1532</f>
        <v>1532.0</v>
      </c>
      <c r="N695" s="5" t="s">
        <v>875</v>
      </c>
      <c r="O695" s="28" t="str">
        <f>"－"</f>
        <v>－</v>
      </c>
      <c r="P695" s="3" t="s">
        <v>1537</v>
      </c>
      <c r="Q695" s="26"/>
      <c r="R695" s="3" t="s">
        <v>1538</v>
      </c>
      <c r="S695" s="26" t="n">
        <f>49665133</f>
        <v>4.9665133E7</v>
      </c>
      <c r="T695" s="26" t="n">
        <f>30613248</f>
        <v>3.0613248E7</v>
      </c>
      <c r="U695" s="5" t="s">
        <v>733</v>
      </c>
      <c r="V695" s="28" t="n">
        <f>407300000</f>
        <v>4.073E8</v>
      </c>
      <c r="W695" s="5" t="s">
        <v>875</v>
      </c>
      <c r="X695" s="28" t="str">
        <f>"－"</f>
        <v>－</v>
      </c>
      <c r="Y695" s="28" t="n">
        <f>5785</f>
        <v>5785.0</v>
      </c>
      <c r="Z695" s="26" t="n">
        <f>47018</f>
        <v>47018.0</v>
      </c>
      <c r="AA695" s="26" t="n">
        <f>1045</f>
        <v>1045.0</v>
      </c>
      <c r="AB695" s="4" t="s">
        <v>1418</v>
      </c>
      <c r="AC695" s="27" t="n">
        <f>4460</f>
        <v>4460.0</v>
      </c>
      <c r="AD695" s="5" t="s">
        <v>798</v>
      </c>
      <c r="AE695" s="28" t="n">
        <f>60</f>
        <v>60.0</v>
      </c>
    </row>
    <row r="696">
      <c r="A696" s="20" t="s">
        <v>1373</v>
      </c>
      <c r="B696" s="21" t="s">
        <v>1374</v>
      </c>
      <c r="C696" s="22" t="s">
        <v>1128</v>
      </c>
      <c r="D696" s="23" t="s">
        <v>1129</v>
      </c>
      <c r="E696" s="24" t="s">
        <v>103</v>
      </c>
      <c r="F696" s="25" t="n">
        <f>244</f>
        <v>244.0</v>
      </c>
      <c r="G696" s="26" t="n">
        <f>27130</f>
        <v>27130.0</v>
      </c>
      <c r="H696" s="26"/>
      <c r="I696" s="26" t="n">
        <f>10384</f>
        <v>10384.0</v>
      </c>
      <c r="J696" s="26" t="n">
        <f>111</f>
        <v>111.0</v>
      </c>
      <c r="K696" s="26" t="n">
        <f>43</f>
        <v>43.0</v>
      </c>
      <c r="L696" s="4" t="s">
        <v>301</v>
      </c>
      <c r="M696" s="27" t="n">
        <f>1095</f>
        <v>1095.0</v>
      </c>
      <c r="N696" s="5" t="s">
        <v>174</v>
      </c>
      <c r="O696" s="28" t="str">
        <f>"－"</f>
        <v>－</v>
      </c>
      <c r="P696" s="3" t="s">
        <v>1539</v>
      </c>
      <c r="Q696" s="26"/>
      <c r="R696" s="3" t="s">
        <v>1540</v>
      </c>
      <c r="S696" s="26" t="n">
        <f>23742223</f>
        <v>2.3742223E7</v>
      </c>
      <c r="T696" s="26" t="n">
        <f>10018658</f>
        <v>1.0018658E7</v>
      </c>
      <c r="U696" s="5" t="s">
        <v>1443</v>
      </c>
      <c r="V696" s="28" t="n">
        <f>182590000</f>
        <v>1.8259E8</v>
      </c>
      <c r="W696" s="5" t="s">
        <v>174</v>
      </c>
      <c r="X696" s="28" t="str">
        <f>"－"</f>
        <v>－</v>
      </c>
      <c r="Y696" s="28" t="n">
        <f>4373</f>
        <v>4373.0</v>
      </c>
      <c r="Z696" s="26" t="n">
        <f>14186</f>
        <v>14186.0</v>
      </c>
      <c r="AA696" s="26" t="n">
        <f>312</f>
        <v>312.0</v>
      </c>
      <c r="AB696" s="4" t="s">
        <v>301</v>
      </c>
      <c r="AC696" s="27" t="n">
        <f>3052</f>
        <v>3052.0</v>
      </c>
      <c r="AD696" s="5" t="s">
        <v>798</v>
      </c>
      <c r="AE696" s="28" t="n">
        <f>1</f>
        <v>1.0</v>
      </c>
    </row>
    <row r="697">
      <c r="A697" s="20" t="s">
        <v>1373</v>
      </c>
      <c r="B697" s="21" t="s">
        <v>1374</v>
      </c>
      <c r="C697" s="22" t="s">
        <v>1132</v>
      </c>
      <c r="D697" s="23" t="s">
        <v>1133</v>
      </c>
      <c r="E697" s="24" t="s">
        <v>103</v>
      </c>
      <c r="F697" s="25" t="n">
        <f>244</f>
        <v>244.0</v>
      </c>
      <c r="G697" s="26" t="n">
        <f>85441</f>
        <v>85441.0</v>
      </c>
      <c r="H697" s="26"/>
      <c r="I697" s="26" t="n">
        <f>41530</f>
        <v>41530.0</v>
      </c>
      <c r="J697" s="26" t="n">
        <f>350</f>
        <v>350.0</v>
      </c>
      <c r="K697" s="26" t="n">
        <f>170</f>
        <v>170.0</v>
      </c>
      <c r="L697" s="4" t="s">
        <v>733</v>
      </c>
      <c r="M697" s="27" t="n">
        <f>1810</f>
        <v>1810.0</v>
      </c>
      <c r="N697" s="5" t="s">
        <v>91</v>
      </c>
      <c r="O697" s="28" t="n">
        <f>7</f>
        <v>7.0</v>
      </c>
      <c r="P697" s="3" t="s">
        <v>1541</v>
      </c>
      <c r="Q697" s="26"/>
      <c r="R697" s="3" t="s">
        <v>1542</v>
      </c>
      <c r="S697" s="26" t="n">
        <f>73407357</f>
        <v>7.3407357E7</v>
      </c>
      <c r="T697" s="26" t="n">
        <f>40631906</f>
        <v>4.0631906E7</v>
      </c>
      <c r="U697" s="5" t="s">
        <v>733</v>
      </c>
      <c r="V697" s="28" t="n">
        <f>500550000</f>
        <v>5.0055E8</v>
      </c>
      <c r="W697" s="5" t="s">
        <v>91</v>
      </c>
      <c r="X697" s="28" t="n">
        <f>1190000</f>
        <v>1190000.0</v>
      </c>
      <c r="Y697" s="28" t="n">
        <f>10158</f>
        <v>10158.0</v>
      </c>
      <c r="Z697" s="26" t="n">
        <f>61204</f>
        <v>61204.0</v>
      </c>
      <c r="AA697" s="26" t="n">
        <f>1357</f>
        <v>1357.0</v>
      </c>
      <c r="AB697" s="4" t="s">
        <v>301</v>
      </c>
      <c r="AC697" s="27" t="n">
        <f>6358</f>
        <v>6358.0</v>
      </c>
      <c r="AD697" s="5" t="s">
        <v>798</v>
      </c>
      <c r="AE697" s="28" t="n">
        <f>61</f>
        <v>61.0</v>
      </c>
    </row>
    <row r="698">
      <c r="A698" s="20" t="s">
        <v>1543</v>
      </c>
      <c r="B698" s="21" t="s">
        <v>1544</v>
      </c>
      <c r="C698" s="22" t="s">
        <v>1124</v>
      </c>
      <c r="D698" s="23" t="s">
        <v>1125</v>
      </c>
      <c r="E698" s="24" t="s">
        <v>199</v>
      </c>
      <c r="F698" s="25" t="n">
        <f>171</f>
        <v>171.0</v>
      </c>
      <c r="G698" s="26" t="n">
        <f>26303</f>
        <v>26303.0</v>
      </c>
      <c r="H698" s="26"/>
      <c r="I698" s="26" t="str">
        <f>"－"</f>
        <v>－</v>
      </c>
      <c r="J698" s="26" t="n">
        <f>154</f>
        <v>154.0</v>
      </c>
      <c r="K698" s="26" t="str">
        <f>"－"</f>
        <v>－</v>
      </c>
      <c r="L698" s="4" t="s">
        <v>1057</v>
      </c>
      <c r="M698" s="27" t="n">
        <f>3037</f>
        <v>3037.0</v>
      </c>
      <c r="N698" s="5" t="s">
        <v>119</v>
      </c>
      <c r="O698" s="28" t="n">
        <f>1</f>
        <v>1.0</v>
      </c>
      <c r="P698" s="3" t="s">
        <v>1545</v>
      </c>
      <c r="Q698" s="26"/>
      <c r="R698" s="3" t="s">
        <v>160</v>
      </c>
      <c r="S698" s="26" t="n">
        <f>8255643</f>
        <v>8255643.0</v>
      </c>
      <c r="T698" s="26" t="str">
        <f>"－"</f>
        <v>－</v>
      </c>
      <c r="U698" s="5" t="s">
        <v>162</v>
      </c>
      <c r="V698" s="28" t="n">
        <f>74695000</f>
        <v>7.4695E7</v>
      </c>
      <c r="W698" s="5" t="s">
        <v>306</v>
      </c>
      <c r="X698" s="28" t="n">
        <f>5000</f>
        <v>5000.0</v>
      </c>
      <c r="Y698" s="28" t="n">
        <f>2972</f>
        <v>2972.0</v>
      </c>
      <c r="Z698" s="26" t="str">
        <f>"－"</f>
        <v>－</v>
      </c>
      <c r="AA698" s="26" t="n">
        <f>3558</f>
        <v>3558.0</v>
      </c>
      <c r="AB698" s="4" t="s">
        <v>541</v>
      </c>
      <c r="AC698" s="27" t="n">
        <f>5981</f>
        <v>5981.0</v>
      </c>
      <c r="AD698" s="5" t="s">
        <v>960</v>
      </c>
      <c r="AE698" s="28" t="n">
        <f>172</f>
        <v>172.0</v>
      </c>
    </row>
    <row r="699">
      <c r="A699" s="20" t="s">
        <v>1543</v>
      </c>
      <c r="B699" s="21" t="s">
        <v>1544</v>
      </c>
      <c r="C699" s="22" t="s">
        <v>1128</v>
      </c>
      <c r="D699" s="23" t="s">
        <v>1129</v>
      </c>
      <c r="E699" s="24" t="s">
        <v>199</v>
      </c>
      <c r="F699" s="25" t="n">
        <f>171</f>
        <v>171.0</v>
      </c>
      <c r="G699" s="26" t="n">
        <f>49496</f>
        <v>49496.0</v>
      </c>
      <c r="H699" s="26"/>
      <c r="I699" s="26" t="str">
        <f>"－"</f>
        <v>－</v>
      </c>
      <c r="J699" s="26" t="n">
        <f>289</f>
        <v>289.0</v>
      </c>
      <c r="K699" s="26" t="str">
        <f>"－"</f>
        <v>－</v>
      </c>
      <c r="L699" s="4" t="s">
        <v>433</v>
      </c>
      <c r="M699" s="27" t="n">
        <f>3564</f>
        <v>3564.0</v>
      </c>
      <c r="N699" s="5" t="s">
        <v>149</v>
      </c>
      <c r="O699" s="28" t="n">
        <f>1</f>
        <v>1.0</v>
      </c>
      <c r="P699" s="3" t="s">
        <v>1546</v>
      </c>
      <c r="Q699" s="26"/>
      <c r="R699" s="3" t="s">
        <v>160</v>
      </c>
      <c r="S699" s="26" t="n">
        <f>13752971</f>
        <v>1.3752971E7</v>
      </c>
      <c r="T699" s="26" t="str">
        <f>"－"</f>
        <v>－</v>
      </c>
      <c r="U699" s="5" t="s">
        <v>1536</v>
      </c>
      <c r="V699" s="28" t="n">
        <f>149671500</f>
        <v>1.496715E8</v>
      </c>
      <c r="W699" s="5" t="s">
        <v>828</v>
      </c>
      <c r="X699" s="28" t="n">
        <f>6000</f>
        <v>6000.0</v>
      </c>
      <c r="Y699" s="28" t="n">
        <f>809</f>
        <v>809.0</v>
      </c>
      <c r="Z699" s="26" t="str">
        <f>"－"</f>
        <v>－</v>
      </c>
      <c r="AA699" s="26" t="n">
        <f>191</f>
        <v>191.0</v>
      </c>
      <c r="AB699" s="4" t="s">
        <v>902</v>
      </c>
      <c r="AC699" s="27" t="n">
        <f>11780</f>
        <v>11780.0</v>
      </c>
      <c r="AD699" s="5" t="s">
        <v>182</v>
      </c>
      <c r="AE699" s="28" t="n">
        <f>48</f>
        <v>48.0</v>
      </c>
    </row>
    <row r="700">
      <c r="A700" s="20" t="s">
        <v>1543</v>
      </c>
      <c r="B700" s="21" t="s">
        <v>1544</v>
      </c>
      <c r="C700" s="22" t="s">
        <v>1132</v>
      </c>
      <c r="D700" s="23" t="s">
        <v>1133</v>
      </c>
      <c r="E700" s="24" t="s">
        <v>199</v>
      </c>
      <c r="F700" s="25" t="n">
        <f>171</f>
        <v>171.0</v>
      </c>
      <c r="G700" s="26" t="n">
        <f>75799</f>
        <v>75799.0</v>
      </c>
      <c r="H700" s="26"/>
      <c r="I700" s="26" t="str">
        <f>"－"</f>
        <v>－</v>
      </c>
      <c r="J700" s="26" t="n">
        <f>443</f>
        <v>443.0</v>
      </c>
      <c r="K700" s="26" t="str">
        <f>"－"</f>
        <v>－</v>
      </c>
      <c r="L700" s="4" t="s">
        <v>433</v>
      </c>
      <c r="M700" s="27" t="n">
        <f>4989</f>
        <v>4989.0</v>
      </c>
      <c r="N700" s="5" t="s">
        <v>566</v>
      </c>
      <c r="O700" s="28" t="n">
        <f>4</f>
        <v>4.0</v>
      </c>
      <c r="P700" s="3" t="s">
        <v>1547</v>
      </c>
      <c r="Q700" s="26"/>
      <c r="R700" s="3" t="s">
        <v>160</v>
      </c>
      <c r="S700" s="26" t="n">
        <f>22008614</f>
        <v>2.2008614E7</v>
      </c>
      <c r="T700" s="26" t="str">
        <f>"－"</f>
        <v>－</v>
      </c>
      <c r="U700" s="5" t="s">
        <v>1536</v>
      </c>
      <c r="V700" s="28" t="n">
        <f>163713000</f>
        <v>1.63713E8</v>
      </c>
      <c r="W700" s="5" t="s">
        <v>828</v>
      </c>
      <c r="X700" s="28" t="n">
        <f>32500</f>
        <v>32500.0</v>
      </c>
      <c r="Y700" s="28" t="n">
        <f>3781</f>
        <v>3781.0</v>
      </c>
      <c r="Z700" s="26" t="str">
        <f>"－"</f>
        <v>－</v>
      </c>
      <c r="AA700" s="26" t="n">
        <f>3749</f>
        <v>3749.0</v>
      </c>
      <c r="AB700" s="4" t="s">
        <v>902</v>
      </c>
      <c r="AC700" s="27" t="n">
        <f>17496</f>
        <v>17496.0</v>
      </c>
      <c r="AD700" s="5" t="s">
        <v>75</v>
      </c>
      <c r="AE700" s="28" t="n">
        <f>584</f>
        <v>584.0</v>
      </c>
    </row>
    <row r="701">
      <c r="A701" s="20" t="s">
        <v>1543</v>
      </c>
      <c r="B701" s="21" t="s">
        <v>1544</v>
      </c>
      <c r="C701" s="22" t="s">
        <v>1124</v>
      </c>
      <c r="D701" s="23" t="s">
        <v>1125</v>
      </c>
      <c r="E701" s="24" t="s">
        <v>205</v>
      </c>
      <c r="F701" s="25" t="n">
        <f>247</f>
        <v>247.0</v>
      </c>
      <c r="G701" s="26" t="n">
        <f>54707</f>
        <v>54707.0</v>
      </c>
      <c r="H701" s="26"/>
      <c r="I701" s="26" t="str">
        <f>"－"</f>
        <v>－</v>
      </c>
      <c r="J701" s="26" t="n">
        <f>221</f>
        <v>221.0</v>
      </c>
      <c r="K701" s="26" t="str">
        <f>"－"</f>
        <v>－</v>
      </c>
      <c r="L701" s="4" t="s">
        <v>695</v>
      </c>
      <c r="M701" s="27" t="n">
        <f>2808</f>
        <v>2808.0</v>
      </c>
      <c r="N701" s="5" t="s">
        <v>399</v>
      </c>
      <c r="O701" s="28" t="n">
        <f>1</f>
        <v>1.0</v>
      </c>
      <c r="P701" s="3" t="s">
        <v>1548</v>
      </c>
      <c r="Q701" s="26"/>
      <c r="R701" s="3" t="s">
        <v>160</v>
      </c>
      <c r="S701" s="26" t="n">
        <f>10126877</f>
        <v>1.0126877E7</v>
      </c>
      <c r="T701" s="26" t="str">
        <f>"－"</f>
        <v>－</v>
      </c>
      <c r="U701" s="5" t="s">
        <v>695</v>
      </c>
      <c r="V701" s="28" t="n">
        <f>120952750</f>
        <v>1.2095275E8</v>
      </c>
      <c r="W701" s="5" t="s">
        <v>177</v>
      </c>
      <c r="X701" s="28" t="n">
        <f>2000</f>
        <v>2000.0</v>
      </c>
      <c r="Y701" s="28" t="n">
        <f>3528</f>
        <v>3528.0</v>
      </c>
      <c r="Z701" s="26" t="str">
        <f>"－"</f>
        <v>－</v>
      </c>
      <c r="AA701" s="26" t="n">
        <f>5081</f>
        <v>5081.0</v>
      </c>
      <c r="AB701" s="4" t="s">
        <v>61</v>
      </c>
      <c r="AC701" s="27" t="n">
        <f>6028</f>
        <v>6028.0</v>
      </c>
      <c r="AD701" s="5" t="s">
        <v>127</v>
      </c>
      <c r="AE701" s="28" t="n">
        <f>1029</f>
        <v>1029.0</v>
      </c>
    </row>
    <row r="702">
      <c r="A702" s="20" t="s">
        <v>1543</v>
      </c>
      <c r="B702" s="21" t="s">
        <v>1544</v>
      </c>
      <c r="C702" s="22" t="s">
        <v>1128</v>
      </c>
      <c r="D702" s="23" t="s">
        <v>1129</v>
      </c>
      <c r="E702" s="24" t="s">
        <v>205</v>
      </c>
      <c r="F702" s="25" t="n">
        <f>247</f>
        <v>247.0</v>
      </c>
      <c r="G702" s="26" t="n">
        <f>62971</f>
        <v>62971.0</v>
      </c>
      <c r="H702" s="26"/>
      <c r="I702" s="26" t="str">
        <f>"－"</f>
        <v>－</v>
      </c>
      <c r="J702" s="26" t="n">
        <f>255</f>
        <v>255.0</v>
      </c>
      <c r="K702" s="26" t="str">
        <f>"－"</f>
        <v>－</v>
      </c>
      <c r="L702" s="4" t="s">
        <v>676</v>
      </c>
      <c r="M702" s="27" t="n">
        <f>6286</f>
        <v>6286.0</v>
      </c>
      <c r="N702" s="5" t="s">
        <v>179</v>
      </c>
      <c r="O702" s="28" t="n">
        <f>1</f>
        <v>1.0</v>
      </c>
      <c r="P702" s="3" t="s">
        <v>1549</v>
      </c>
      <c r="Q702" s="26"/>
      <c r="R702" s="3" t="s">
        <v>160</v>
      </c>
      <c r="S702" s="26" t="n">
        <f>5332364</f>
        <v>5332364.0</v>
      </c>
      <c r="T702" s="26" t="str">
        <f>"－"</f>
        <v>－</v>
      </c>
      <c r="U702" s="5" t="s">
        <v>169</v>
      </c>
      <c r="V702" s="28" t="n">
        <f>71622000</f>
        <v>7.1622E7</v>
      </c>
      <c r="W702" s="5" t="s">
        <v>616</v>
      </c>
      <c r="X702" s="28" t="n">
        <f>2000</f>
        <v>2000.0</v>
      </c>
      <c r="Y702" s="28" t="n">
        <f>5754</f>
        <v>5754.0</v>
      </c>
      <c r="Z702" s="26" t="str">
        <f>"－"</f>
        <v>－</v>
      </c>
      <c r="AA702" s="26" t="n">
        <f>6218</f>
        <v>6218.0</v>
      </c>
      <c r="AB702" s="4" t="s">
        <v>68</v>
      </c>
      <c r="AC702" s="27" t="n">
        <f>11534</f>
        <v>11534.0</v>
      </c>
      <c r="AD702" s="5" t="s">
        <v>994</v>
      </c>
      <c r="AE702" s="28" t="n">
        <f>189</f>
        <v>189.0</v>
      </c>
    </row>
    <row r="703">
      <c r="A703" s="20" t="s">
        <v>1543</v>
      </c>
      <c r="B703" s="21" t="s">
        <v>1544</v>
      </c>
      <c r="C703" s="22" t="s">
        <v>1132</v>
      </c>
      <c r="D703" s="23" t="s">
        <v>1133</v>
      </c>
      <c r="E703" s="24" t="s">
        <v>205</v>
      </c>
      <c r="F703" s="25" t="n">
        <f>247</f>
        <v>247.0</v>
      </c>
      <c r="G703" s="26" t="n">
        <f>117678</f>
        <v>117678.0</v>
      </c>
      <c r="H703" s="26"/>
      <c r="I703" s="26" t="str">
        <f>"－"</f>
        <v>－</v>
      </c>
      <c r="J703" s="26" t="n">
        <f>476</f>
        <v>476.0</v>
      </c>
      <c r="K703" s="26" t="str">
        <f>"－"</f>
        <v>－</v>
      </c>
      <c r="L703" s="4" t="s">
        <v>676</v>
      </c>
      <c r="M703" s="27" t="n">
        <f>6646</f>
        <v>6646.0</v>
      </c>
      <c r="N703" s="5" t="s">
        <v>179</v>
      </c>
      <c r="O703" s="28" t="n">
        <f>2</f>
        <v>2.0</v>
      </c>
      <c r="P703" s="3" t="s">
        <v>1550</v>
      </c>
      <c r="Q703" s="26"/>
      <c r="R703" s="3" t="s">
        <v>160</v>
      </c>
      <c r="S703" s="26" t="n">
        <f>15459241</f>
        <v>1.5459241E7</v>
      </c>
      <c r="T703" s="26" t="str">
        <f>"－"</f>
        <v>－</v>
      </c>
      <c r="U703" s="5" t="s">
        <v>695</v>
      </c>
      <c r="V703" s="28" t="n">
        <f>131760250</f>
        <v>1.3176025E8</v>
      </c>
      <c r="W703" s="5" t="s">
        <v>1214</v>
      </c>
      <c r="X703" s="28" t="n">
        <f>33000</f>
        <v>33000.0</v>
      </c>
      <c r="Y703" s="28" t="n">
        <f>9282</f>
        <v>9282.0</v>
      </c>
      <c r="Z703" s="26" t="str">
        <f>"－"</f>
        <v>－</v>
      </c>
      <c r="AA703" s="26" t="n">
        <f>11299</f>
        <v>11299.0</v>
      </c>
      <c r="AB703" s="4" t="s">
        <v>68</v>
      </c>
      <c r="AC703" s="27" t="n">
        <f>17429</f>
        <v>17429.0</v>
      </c>
      <c r="AD703" s="5" t="s">
        <v>462</v>
      </c>
      <c r="AE703" s="28" t="n">
        <f>2175</f>
        <v>2175.0</v>
      </c>
    </row>
    <row r="704">
      <c r="A704" s="20" t="s">
        <v>1543</v>
      </c>
      <c r="B704" s="21" t="s">
        <v>1544</v>
      </c>
      <c r="C704" s="22" t="s">
        <v>1124</v>
      </c>
      <c r="D704" s="23" t="s">
        <v>1125</v>
      </c>
      <c r="E704" s="24" t="s">
        <v>210</v>
      </c>
      <c r="F704" s="25" t="n">
        <f>246</f>
        <v>246.0</v>
      </c>
      <c r="G704" s="26" t="n">
        <f>196808</f>
        <v>196808.0</v>
      </c>
      <c r="H704" s="26"/>
      <c r="I704" s="26" t="str">
        <f>"－"</f>
        <v>－</v>
      </c>
      <c r="J704" s="26" t="n">
        <f>800</f>
        <v>800.0</v>
      </c>
      <c r="K704" s="26" t="str">
        <f>"－"</f>
        <v>－</v>
      </c>
      <c r="L704" s="4" t="s">
        <v>350</v>
      </c>
      <c r="M704" s="27" t="n">
        <f>27272</f>
        <v>27272.0</v>
      </c>
      <c r="N704" s="5" t="s">
        <v>181</v>
      </c>
      <c r="O704" s="28" t="n">
        <f>1</f>
        <v>1.0</v>
      </c>
      <c r="P704" s="3" t="s">
        <v>1551</v>
      </c>
      <c r="Q704" s="26"/>
      <c r="R704" s="3" t="s">
        <v>160</v>
      </c>
      <c r="S704" s="26" t="n">
        <f>43900797</f>
        <v>4.3900797E7</v>
      </c>
      <c r="T704" s="26" t="str">
        <f>"－"</f>
        <v>－</v>
      </c>
      <c r="U704" s="5" t="s">
        <v>663</v>
      </c>
      <c r="V704" s="28" t="n">
        <f>781841000</f>
        <v>7.81841E8</v>
      </c>
      <c r="W704" s="5" t="s">
        <v>181</v>
      </c>
      <c r="X704" s="28" t="n">
        <f>9000</f>
        <v>9000.0</v>
      </c>
      <c r="Y704" s="28" t="n">
        <f>17396</f>
        <v>17396.0</v>
      </c>
      <c r="Z704" s="26" t="str">
        <f>"－"</f>
        <v>－</v>
      </c>
      <c r="AA704" s="26" t="n">
        <f>48019</f>
        <v>48019.0</v>
      </c>
      <c r="AB704" s="4" t="s">
        <v>350</v>
      </c>
      <c r="AC704" s="27" t="n">
        <f>52748</f>
        <v>52748.0</v>
      </c>
      <c r="AD704" s="5" t="s">
        <v>541</v>
      </c>
      <c r="AE704" s="28" t="n">
        <f>3744</f>
        <v>3744.0</v>
      </c>
    </row>
    <row r="705">
      <c r="A705" s="20" t="s">
        <v>1543</v>
      </c>
      <c r="B705" s="21" t="s">
        <v>1544</v>
      </c>
      <c r="C705" s="22" t="s">
        <v>1128</v>
      </c>
      <c r="D705" s="23" t="s">
        <v>1129</v>
      </c>
      <c r="E705" s="24" t="s">
        <v>210</v>
      </c>
      <c r="F705" s="25" t="n">
        <f>246</f>
        <v>246.0</v>
      </c>
      <c r="G705" s="26" t="n">
        <f>126964</f>
        <v>126964.0</v>
      </c>
      <c r="H705" s="26"/>
      <c r="I705" s="26" t="str">
        <f>"－"</f>
        <v>－</v>
      </c>
      <c r="J705" s="26" t="n">
        <f>516</f>
        <v>516.0</v>
      </c>
      <c r="K705" s="26" t="str">
        <f>"－"</f>
        <v>－</v>
      </c>
      <c r="L705" s="4" t="s">
        <v>350</v>
      </c>
      <c r="M705" s="27" t="n">
        <f>26358</f>
        <v>26358.0</v>
      </c>
      <c r="N705" s="5" t="s">
        <v>196</v>
      </c>
      <c r="O705" s="28" t="str">
        <f>"－"</f>
        <v>－</v>
      </c>
      <c r="P705" s="3" t="s">
        <v>1552</v>
      </c>
      <c r="Q705" s="26"/>
      <c r="R705" s="3" t="s">
        <v>160</v>
      </c>
      <c r="S705" s="26" t="n">
        <f>27005790</f>
        <v>2.700579E7</v>
      </c>
      <c r="T705" s="26" t="str">
        <f>"－"</f>
        <v>－</v>
      </c>
      <c r="U705" s="5" t="s">
        <v>735</v>
      </c>
      <c r="V705" s="28" t="n">
        <f>884588500</f>
        <v>8.845885E8</v>
      </c>
      <c r="W705" s="5" t="s">
        <v>196</v>
      </c>
      <c r="X705" s="28" t="str">
        <f>"－"</f>
        <v>－</v>
      </c>
      <c r="Y705" s="28" t="n">
        <f>16580</f>
        <v>16580.0</v>
      </c>
      <c r="Z705" s="26" t="str">
        <f>"－"</f>
        <v>－</v>
      </c>
      <c r="AA705" s="26" t="n">
        <f>35523</f>
        <v>35523.0</v>
      </c>
      <c r="AB705" s="4" t="s">
        <v>417</v>
      </c>
      <c r="AC705" s="27" t="n">
        <f>35528</f>
        <v>35528.0</v>
      </c>
      <c r="AD705" s="5" t="s">
        <v>61</v>
      </c>
      <c r="AE705" s="28" t="n">
        <f>2048</f>
        <v>2048.0</v>
      </c>
    </row>
    <row r="706">
      <c r="A706" s="20" t="s">
        <v>1543</v>
      </c>
      <c r="B706" s="21" t="s">
        <v>1544</v>
      </c>
      <c r="C706" s="22" t="s">
        <v>1132</v>
      </c>
      <c r="D706" s="23" t="s">
        <v>1133</v>
      </c>
      <c r="E706" s="24" t="s">
        <v>210</v>
      </c>
      <c r="F706" s="25" t="n">
        <f>246</f>
        <v>246.0</v>
      </c>
      <c r="G706" s="26" t="n">
        <f>323772</f>
        <v>323772.0</v>
      </c>
      <c r="H706" s="26"/>
      <c r="I706" s="26" t="str">
        <f>"－"</f>
        <v>－</v>
      </c>
      <c r="J706" s="26" t="n">
        <f>1316</f>
        <v>1316.0</v>
      </c>
      <c r="K706" s="26" t="str">
        <f>"－"</f>
        <v>－</v>
      </c>
      <c r="L706" s="4" t="s">
        <v>350</v>
      </c>
      <c r="M706" s="27" t="n">
        <f>53630</f>
        <v>53630.0</v>
      </c>
      <c r="N706" s="5" t="s">
        <v>549</v>
      </c>
      <c r="O706" s="28" t="n">
        <f>3</f>
        <v>3.0</v>
      </c>
      <c r="P706" s="3" t="s">
        <v>1553</v>
      </c>
      <c r="Q706" s="26"/>
      <c r="R706" s="3" t="s">
        <v>160</v>
      </c>
      <c r="S706" s="26" t="n">
        <f>70906587</f>
        <v>7.0906587E7</v>
      </c>
      <c r="T706" s="26" t="str">
        <f>"－"</f>
        <v>－</v>
      </c>
      <c r="U706" s="5" t="s">
        <v>735</v>
      </c>
      <c r="V706" s="28" t="n">
        <f>1584738500</f>
        <v>1.5847385E9</v>
      </c>
      <c r="W706" s="5" t="s">
        <v>289</v>
      </c>
      <c r="X706" s="28" t="n">
        <f>34000</f>
        <v>34000.0</v>
      </c>
      <c r="Y706" s="28" t="n">
        <f>33976</f>
        <v>33976.0</v>
      </c>
      <c r="Z706" s="26" t="str">
        <f>"－"</f>
        <v>－</v>
      </c>
      <c r="AA706" s="26" t="n">
        <f>83542</f>
        <v>83542.0</v>
      </c>
      <c r="AB706" s="4" t="s">
        <v>350</v>
      </c>
      <c r="AC706" s="27" t="n">
        <f>87253</f>
        <v>87253.0</v>
      </c>
      <c r="AD706" s="5" t="s">
        <v>541</v>
      </c>
      <c r="AE706" s="28" t="n">
        <f>9328</f>
        <v>9328.0</v>
      </c>
    </row>
    <row r="707">
      <c r="A707" s="20" t="s">
        <v>1543</v>
      </c>
      <c r="B707" s="21" t="s">
        <v>1544</v>
      </c>
      <c r="C707" s="22" t="s">
        <v>1124</v>
      </c>
      <c r="D707" s="23" t="s">
        <v>1125</v>
      </c>
      <c r="E707" s="24" t="s">
        <v>214</v>
      </c>
      <c r="F707" s="25" t="n">
        <f>246</f>
        <v>246.0</v>
      </c>
      <c r="G707" s="26" t="n">
        <f>135343</f>
        <v>135343.0</v>
      </c>
      <c r="H707" s="26"/>
      <c r="I707" s="26" t="str">
        <f>"－"</f>
        <v>－</v>
      </c>
      <c r="J707" s="26" t="n">
        <f>550</f>
        <v>550.0</v>
      </c>
      <c r="K707" s="26" t="str">
        <f>"－"</f>
        <v>－</v>
      </c>
      <c r="L707" s="4" t="s">
        <v>1072</v>
      </c>
      <c r="M707" s="27" t="n">
        <f>9186</f>
        <v>9186.0</v>
      </c>
      <c r="N707" s="5" t="s">
        <v>97</v>
      </c>
      <c r="O707" s="28" t="str">
        <f>"－"</f>
        <v>－</v>
      </c>
      <c r="P707" s="3" t="s">
        <v>1554</v>
      </c>
      <c r="Q707" s="26"/>
      <c r="R707" s="3" t="s">
        <v>160</v>
      </c>
      <c r="S707" s="26" t="n">
        <f>46341322</f>
        <v>4.6341322E7</v>
      </c>
      <c r="T707" s="26" t="str">
        <f>"－"</f>
        <v>－</v>
      </c>
      <c r="U707" s="5" t="s">
        <v>472</v>
      </c>
      <c r="V707" s="28" t="n">
        <f>1088195000</f>
        <v>1.088195E9</v>
      </c>
      <c r="W707" s="5" t="s">
        <v>97</v>
      </c>
      <c r="X707" s="28" t="str">
        <f>"－"</f>
        <v>－</v>
      </c>
      <c r="Y707" s="28" t="n">
        <f>48777</f>
        <v>48777.0</v>
      </c>
      <c r="Z707" s="26" t="str">
        <f>"－"</f>
        <v>－</v>
      </c>
      <c r="AA707" s="26" t="n">
        <f>10278</f>
        <v>10278.0</v>
      </c>
      <c r="AB707" s="4" t="s">
        <v>619</v>
      </c>
      <c r="AC707" s="27" t="n">
        <f>50712</f>
        <v>50712.0</v>
      </c>
      <c r="AD707" s="5" t="s">
        <v>74</v>
      </c>
      <c r="AE707" s="28" t="n">
        <f>4909</f>
        <v>4909.0</v>
      </c>
    </row>
    <row r="708">
      <c r="A708" s="20" t="s">
        <v>1543</v>
      </c>
      <c r="B708" s="21" t="s">
        <v>1544</v>
      </c>
      <c r="C708" s="22" t="s">
        <v>1128</v>
      </c>
      <c r="D708" s="23" t="s">
        <v>1129</v>
      </c>
      <c r="E708" s="24" t="s">
        <v>214</v>
      </c>
      <c r="F708" s="25" t="n">
        <f>246</f>
        <v>246.0</v>
      </c>
      <c r="G708" s="26" t="n">
        <f>146924</f>
        <v>146924.0</v>
      </c>
      <c r="H708" s="26"/>
      <c r="I708" s="26" t="str">
        <f>"－"</f>
        <v>－</v>
      </c>
      <c r="J708" s="26" t="n">
        <f>597</f>
        <v>597.0</v>
      </c>
      <c r="K708" s="26" t="str">
        <f>"－"</f>
        <v>－</v>
      </c>
      <c r="L708" s="4" t="s">
        <v>1072</v>
      </c>
      <c r="M708" s="27" t="n">
        <f>9136</f>
        <v>9136.0</v>
      </c>
      <c r="N708" s="5" t="s">
        <v>165</v>
      </c>
      <c r="O708" s="28" t="str">
        <f>"－"</f>
        <v>－</v>
      </c>
      <c r="P708" s="3" t="s">
        <v>1555</v>
      </c>
      <c r="Q708" s="26"/>
      <c r="R708" s="3" t="s">
        <v>160</v>
      </c>
      <c r="S708" s="26" t="n">
        <f>27552271</f>
        <v>2.7552271E7</v>
      </c>
      <c r="T708" s="26" t="str">
        <f>"－"</f>
        <v>－</v>
      </c>
      <c r="U708" s="5" t="s">
        <v>217</v>
      </c>
      <c r="V708" s="28" t="n">
        <f>580023400</f>
        <v>5.800234E8</v>
      </c>
      <c r="W708" s="5" t="s">
        <v>165</v>
      </c>
      <c r="X708" s="28" t="str">
        <f>"－"</f>
        <v>－</v>
      </c>
      <c r="Y708" s="28" t="n">
        <f>23875</f>
        <v>23875.0</v>
      </c>
      <c r="Z708" s="26" t="str">
        <f>"－"</f>
        <v>－</v>
      </c>
      <c r="AA708" s="26" t="n">
        <f>7913</f>
        <v>7913.0</v>
      </c>
      <c r="AB708" s="4" t="s">
        <v>619</v>
      </c>
      <c r="AC708" s="27" t="n">
        <f>36380</f>
        <v>36380.0</v>
      </c>
      <c r="AD708" s="5" t="s">
        <v>74</v>
      </c>
      <c r="AE708" s="28" t="n">
        <f>3098</f>
        <v>3098.0</v>
      </c>
    </row>
    <row r="709">
      <c r="A709" s="20" t="s">
        <v>1543</v>
      </c>
      <c r="B709" s="21" t="s">
        <v>1544</v>
      </c>
      <c r="C709" s="22" t="s">
        <v>1132</v>
      </c>
      <c r="D709" s="23" t="s">
        <v>1133</v>
      </c>
      <c r="E709" s="24" t="s">
        <v>214</v>
      </c>
      <c r="F709" s="25" t="n">
        <f>246</f>
        <v>246.0</v>
      </c>
      <c r="G709" s="26" t="n">
        <f>282267</f>
        <v>282267.0</v>
      </c>
      <c r="H709" s="26"/>
      <c r="I709" s="26" t="str">
        <f>"－"</f>
        <v>－</v>
      </c>
      <c r="J709" s="26" t="n">
        <f>1147</f>
        <v>1147.0</v>
      </c>
      <c r="K709" s="26" t="str">
        <f>"－"</f>
        <v>－</v>
      </c>
      <c r="L709" s="4" t="s">
        <v>1072</v>
      </c>
      <c r="M709" s="27" t="n">
        <f>18322</f>
        <v>18322.0</v>
      </c>
      <c r="N709" s="5" t="s">
        <v>1556</v>
      </c>
      <c r="O709" s="28" t="n">
        <f>4</f>
        <v>4.0</v>
      </c>
      <c r="P709" s="3" t="s">
        <v>1557</v>
      </c>
      <c r="Q709" s="26"/>
      <c r="R709" s="3" t="s">
        <v>160</v>
      </c>
      <c r="S709" s="26" t="n">
        <f>73893593</f>
        <v>7.3893593E7</v>
      </c>
      <c r="T709" s="26" t="str">
        <f>"－"</f>
        <v>－</v>
      </c>
      <c r="U709" s="5" t="s">
        <v>472</v>
      </c>
      <c r="V709" s="28" t="n">
        <f>1091527500</f>
        <v>1.0915275E9</v>
      </c>
      <c r="W709" s="5" t="s">
        <v>1556</v>
      </c>
      <c r="X709" s="28" t="n">
        <f>118000</f>
        <v>118000.0</v>
      </c>
      <c r="Y709" s="28" t="n">
        <f>72652</f>
        <v>72652.0</v>
      </c>
      <c r="Z709" s="26" t="str">
        <f>"－"</f>
        <v>－</v>
      </c>
      <c r="AA709" s="26" t="n">
        <f>18191</f>
        <v>18191.0</v>
      </c>
      <c r="AB709" s="4" t="s">
        <v>619</v>
      </c>
      <c r="AC709" s="27" t="n">
        <f>87092</f>
        <v>87092.0</v>
      </c>
      <c r="AD709" s="5" t="s">
        <v>74</v>
      </c>
      <c r="AE709" s="28" t="n">
        <f>8007</f>
        <v>8007.0</v>
      </c>
    </row>
    <row r="710">
      <c r="A710" s="20" t="s">
        <v>1543</v>
      </c>
      <c r="B710" s="21" t="s">
        <v>1544</v>
      </c>
      <c r="C710" s="22" t="s">
        <v>1124</v>
      </c>
      <c r="D710" s="23" t="s">
        <v>1125</v>
      </c>
      <c r="E710" s="24" t="s">
        <v>219</v>
      </c>
      <c r="F710" s="25" t="n">
        <f>245</f>
        <v>245.0</v>
      </c>
      <c r="G710" s="26" t="n">
        <f>115374</f>
        <v>115374.0</v>
      </c>
      <c r="H710" s="26"/>
      <c r="I710" s="26" t="str">
        <f>"－"</f>
        <v>－</v>
      </c>
      <c r="J710" s="26" t="n">
        <f>471</f>
        <v>471.0</v>
      </c>
      <c r="K710" s="26" t="str">
        <f>"－"</f>
        <v>－</v>
      </c>
      <c r="L710" s="4" t="s">
        <v>977</v>
      </c>
      <c r="M710" s="27" t="n">
        <f>4737</f>
        <v>4737.0</v>
      </c>
      <c r="N710" s="5" t="s">
        <v>611</v>
      </c>
      <c r="O710" s="28" t="str">
        <f>"－"</f>
        <v>－</v>
      </c>
      <c r="P710" s="3" t="s">
        <v>1558</v>
      </c>
      <c r="Q710" s="26"/>
      <c r="R710" s="3" t="s">
        <v>160</v>
      </c>
      <c r="S710" s="26" t="n">
        <f>15161247</f>
        <v>1.5161247E7</v>
      </c>
      <c r="T710" s="26" t="str">
        <f>"－"</f>
        <v>－</v>
      </c>
      <c r="U710" s="5" t="s">
        <v>670</v>
      </c>
      <c r="V710" s="28" t="n">
        <f>356738000</f>
        <v>3.56738E8</v>
      </c>
      <c r="W710" s="5" t="s">
        <v>611</v>
      </c>
      <c r="X710" s="28" t="str">
        <f>"－"</f>
        <v>－</v>
      </c>
      <c r="Y710" s="28" t="n">
        <f>24246</f>
        <v>24246.0</v>
      </c>
      <c r="Z710" s="26" t="str">
        <f>"－"</f>
        <v>－</v>
      </c>
      <c r="AA710" s="26" t="n">
        <f>5113</f>
        <v>5113.0</v>
      </c>
      <c r="AB710" s="4" t="s">
        <v>977</v>
      </c>
      <c r="AC710" s="27" t="n">
        <f>28807</f>
        <v>28807.0</v>
      </c>
      <c r="AD710" s="5" t="s">
        <v>164</v>
      </c>
      <c r="AE710" s="28" t="n">
        <f>1035</f>
        <v>1035.0</v>
      </c>
    </row>
    <row r="711">
      <c r="A711" s="20" t="s">
        <v>1543</v>
      </c>
      <c r="B711" s="21" t="s">
        <v>1544</v>
      </c>
      <c r="C711" s="22" t="s">
        <v>1128</v>
      </c>
      <c r="D711" s="23" t="s">
        <v>1129</v>
      </c>
      <c r="E711" s="24" t="s">
        <v>219</v>
      </c>
      <c r="F711" s="25" t="n">
        <f>245</f>
        <v>245.0</v>
      </c>
      <c r="G711" s="26" t="n">
        <f>283682</f>
        <v>283682.0</v>
      </c>
      <c r="H711" s="26"/>
      <c r="I711" s="26" t="str">
        <f>"－"</f>
        <v>－</v>
      </c>
      <c r="J711" s="26" t="n">
        <f>1158</f>
        <v>1158.0</v>
      </c>
      <c r="K711" s="26" t="str">
        <f>"－"</f>
        <v>－</v>
      </c>
      <c r="L711" s="4" t="s">
        <v>140</v>
      </c>
      <c r="M711" s="27" t="n">
        <f>25823</f>
        <v>25823.0</v>
      </c>
      <c r="N711" s="5" t="s">
        <v>462</v>
      </c>
      <c r="O711" s="28" t="str">
        <f>"－"</f>
        <v>－</v>
      </c>
      <c r="P711" s="3" t="s">
        <v>1559</v>
      </c>
      <c r="Q711" s="26"/>
      <c r="R711" s="3" t="s">
        <v>160</v>
      </c>
      <c r="S711" s="26" t="n">
        <f>26522273</f>
        <v>2.6522273E7</v>
      </c>
      <c r="T711" s="26" t="str">
        <f>"－"</f>
        <v>－</v>
      </c>
      <c r="U711" s="5" t="s">
        <v>737</v>
      </c>
      <c r="V711" s="28" t="n">
        <f>861999500</f>
        <v>8.619995E8</v>
      </c>
      <c r="W711" s="5" t="s">
        <v>462</v>
      </c>
      <c r="X711" s="28" t="str">
        <f>"－"</f>
        <v>－</v>
      </c>
      <c r="Y711" s="28" t="n">
        <f>19930</f>
        <v>19930.0</v>
      </c>
      <c r="Z711" s="26" t="str">
        <f>"－"</f>
        <v>－</v>
      </c>
      <c r="AA711" s="26" t="n">
        <f>9149</f>
        <v>9149.0</v>
      </c>
      <c r="AB711" s="4" t="s">
        <v>140</v>
      </c>
      <c r="AC711" s="27" t="n">
        <f>82319</f>
        <v>82319.0</v>
      </c>
      <c r="AD711" s="5" t="s">
        <v>164</v>
      </c>
      <c r="AE711" s="28" t="n">
        <f>4756</f>
        <v>4756.0</v>
      </c>
    </row>
    <row r="712">
      <c r="A712" s="20" t="s">
        <v>1543</v>
      </c>
      <c r="B712" s="21" t="s">
        <v>1544</v>
      </c>
      <c r="C712" s="22" t="s">
        <v>1132</v>
      </c>
      <c r="D712" s="23" t="s">
        <v>1133</v>
      </c>
      <c r="E712" s="24" t="s">
        <v>219</v>
      </c>
      <c r="F712" s="25" t="n">
        <f>245</f>
        <v>245.0</v>
      </c>
      <c r="G712" s="26" t="n">
        <f>399056</f>
        <v>399056.0</v>
      </c>
      <c r="H712" s="26"/>
      <c r="I712" s="26" t="str">
        <f>"－"</f>
        <v>－</v>
      </c>
      <c r="J712" s="26" t="n">
        <f>1629</f>
        <v>1629.0</v>
      </c>
      <c r="K712" s="26" t="str">
        <f>"－"</f>
        <v>－</v>
      </c>
      <c r="L712" s="4" t="s">
        <v>140</v>
      </c>
      <c r="M712" s="27" t="n">
        <f>26570</f>
        <v>26570.0</v>
      </c>
      <c r="N712" s="5" t="s">
        <v>462</v>
      </c>
      <c r="O712" s="28" t="str">
        <f>"－"</f>
        <v>－</v>
      </c>
      <c r="P712" s="3" t="s">
        <v>1560</v>
      </c>
      <c r="Q712" s="26"/>
      <c r="R712" s="3" t="s">
        <v>160</v>
      </c>
      <c r="S712" s="26" t="n">
        <f>41683520</f>
        <v>4.168352E7</v>
      </c>
      <c r="T712" s="26" t="str">
        <f>"－"</f>
        <v>－</v>
      </c>
      <c r="U712" s="5" t="s">
        <v>737</v>
      </c>
      <c r="V712" s="28" t="n">
        <f>862804500</f>
        <v>8.628045E8</v>
      </c>
      <c r="W712" s="5" t="s">
        <v>462</v>
      </c>
      <c r="X712" s="28" t="str">
        <f>"－"</f>
        <v>－</v>
      </c>
      <c r="Y712" s="28" t="n">
        <f>44176</f>
        <v>44176.0</v>
      </c>
      <c r="Z712" s="26" t="str">
        <f>"－"</f>
        <v>－</v>
      </c>
      <c r="AA712" s="26" t="n">
        <f>14262</f>
        <v>14262.0</v>
      </c>
      <c r="AB712" s="4" t="s">
        <v>678</v>
      </c>
      <c r="AC712" s="27" t="n">
        <f>96033</f>
        <v>96033.0</v>
      </c>
      <c r="AD712" s="5" t="s">
        <v>164</v>
      </c>
      <c r="AE712" s="28" t="n">
        <f>5791</f>
        <v>5791.0</v>
      </c>
    </row>
    <row r="713">
      <c r="A713" s="20" t="s">
        <v>1543</v>
      </c>
      <c r="B713" s="21" t="s">
        <v>1544</v>
      </c>
      <c r="C713" s="22" t="s">
        <v>1124</v>
      </c>
      <c r="D713" s="23" t="s">
        <v>1125</v>
      </c>
      <c r="E713" s="24" t="s">
        <v>223</v>
      </c>
      <c r="F713" s="25" t="n">
        <f>246</f>
        <v>246.0</v>
      </c>
      <c r="G713" s="26" t="n">
        <f>85177</f>
        <v>85177.0</v>
      </c>
      <c r="H713" s="26"/>
      <c r="I713" s="26" t="str">
        <f>"－"</f>
        <v>－</v>
      </c>
      <c r="J713" s="26" t="n">
        <f>346</f>
        <v>346.0</v>
      </c>
      <c r="K713" s="26" t="str">
        <f>"－"</f>
        <v>－</v>
      </c>
      <c r="L713" s="4" t="s">
        <v>775</v>
      </c>
      <c r="M713" s="27" t="n">
        <f>4527</f>
        <v>4527.0</v>
      </c>
      <c r="N713" s="5" t="s">
        <v>431</v>
      </c>
      <c r="O713" s="28" t="str">
        <f>"－"</f>
        <v>－</v>
      </c>
      <c r="P713" s="3" t="s">
        <v>1561</v>
      </c>
      <c r="Q713" s="26"/>
      <c r="R713" s="3" t="s">
        <v>160</v>
      </c>
      <c r="S713" s="26" t="n">
        <f>5764868</f>
        <v>5764868.0</v>
      </c>
      <c r="T713" s="26" t="str">
        <f>"－"</f>
        <v>－</v>
      </c>
      <c r="U713" s="5" t="s">
        <v>638</v>
      </c>
      <c r="V713" s="28" t="n">
        <f>99685000</f>
        <v>9.9685E7</v>
      </c>
      <c r="W713" s="5" t="s">
        <v>431</v>
      </c>
      <c r="X713" s="28" t="str">
        <f>"－"</f>
        <v>－</v>
      </c>
      <c r="Y713" s="28" t="n">
        <f>23120</f>
        <v>23120.0</v>
      </c>
      <c r="Z713" s="26" t="str">
        <f>"－"</f>
        <v>－</v>
      </c>
      <c r="AA713" s="26" t="n">
        <f>5536</f>
        <v>5536.0</v>
      </c>
      <c r="AB713" s="4" t="s">
        <v>499</v>
      </c>
      <c r="AC713" s="27" t="n">
        <f>23094</f>
        <v>23094.0</v>
      </c>
      <c r="AD713" s="5" t="s">
        <v>277</v>
      </c>
      <c r="AE713" s="28" t="n">
        <f>965</f>
        <v>965.0</v>
      </c>
    </row>
    <row r="714">
      <c r="A714" s="20" t="s">
        <v>1543</v>
      </c>
      <c r="B714" s="21" t="s">
        <v>1544</v>
      </c>
      <c r="C714" s="22" t="s">
        <v>1128</v>
      </c>
      <c r="D714" s="23" t="s">
        <v>1129</v>
      </c>
      <c r="E714" s="24" t="s">
        <v>223</v>
      </c>
      <c r="F714" s="25" t="n">
        <f>246</f>
        <v>246.0</v>
      </c>
      <c r="G714" s="26" t="n">
        <f>215584</f>
        <v>215584.0</v>
      </c>
      <c r="H714" s="26"/>
      <c r="I714" s="26" t="str">
        <f>"－"</f>
        <v>－</v>
      </c>
      <c r="J714" s="26" t="n">
        <f>876</f>
        <v>876.0</v>
      </c>
      <c r="K714" s="26" t="str">
        <f>"－"</f>
        <v>－</v>
      </c>
      <c r="L714" s="4" t="s">
        <v>567</v>
      </c>
      <c r="M714" s="27" t="n">
        <f>13081</f>
        <v>13081.0</v>
      </c>
      <c r="N714" s="5" t="s">
        <v>994</v>
      </c>
      <c r="O714" s="28" t="str">
        <f>"－"</f>
        <v>－</v>
      </c>
      <c r="P714" s="3" t="s">
        <v>1562</v>
      </c>
      <c r="Q714" s="26"/>
      <c r="R714" s="3" t="s">
        <v>160</v>
      </c>
      <c r="S714" s="26" t="n">
        <f>7705263</f>
        <v>7705263.0</v>
      </c>
      <c r="T714" s="26" t="str">
        <f>"－"</f>
        <v>－</v>
      </c>
      <c r="U714" s="5" t="s">
        <v>818</v>
      </c>
      <c r="V714" s="28" t="n">
        <f>248285000</f>
        <v>2.48285E8</v>
      </c>
      <c r="W714" s="5" t="s">
        <v>994</v>
      </c>
      <c r="X714" s="28" t="str">
        <f>"－"</f>
        <v>－</v>
      </c>
      <c r="Y714" s="28" t="n">
        <f>16685</f>
        <v>16685.0</v>
      </c>
      <c r="Z714" s="26" t="str">
        <f>"－"</f>
        <v>－</v>
      </c>
      <c r="AA714" s="26" t="n">
        <f>7503</f>
        <v>7503.0</v>
      </c>
      <c r="AB714" s="4" t="s">
        <v>144</v>
      </c>
      <c r="AC714" s="27" t="n">
        <f>50683</f>
        <v>50683.0</v>
      </c>
      <c r="AD714" s="5" t="s">
        <v>85</v>
      </c>
      <c r="AE714" s="28" t="n">
        <f>2076</f>
        <v>2076.0</v>
      </c>
    </row>
    <row r="715">
      <c r="A715" s="20" t="s">
        <v>1543</v>
      </c>
      <c r="B715" s="21" t="s">
        <v>1544</v>
      </c>
      <c r="C715" s="22" t="s">
        <v>1132</v>
      </c>
      <c r="D715" s="23" t="s">
        <v>1133</v>
      </c>
      <c r="E715" s="24" t="s">
        <v>223</v>
      </c>
      <c r="F715" s="25" t="n">
        <f>246</f>
        <v>246.0</v>
      </c>
      <c r="G715" s="26" t="n">
        <f>300761</f>
        <v>300761.0</v>
      </c>
      <c r="H715" s="26"/>
      <c r="I715" s="26" t="str">
        <f>"－"</f>
        <v>－</v>
      </c>
      <c r="J715" s="26" t="n">
        <f>1223</f>
        <v>1223.0</v>
      </c>
      <c r="K715" s="26" t="str">
        <f>"－"</f>
        <v>－</v>
      </c>
      <c r="L715" s="4" t="s">
        <v>567</v>
      </c>
      <c r="M715" s="27" t="n">
        <f>13520</f>
        <v>13520.0</v>
      </c>
      <c r="N715" s="5" t="s">
        <v>1402</v>
      </c>
      <c r="O715" s="28" t="str">
        <f>"－"</f>
        <v>－</v>
      </c>
      <c r="P715" s="3" t="s">
        <v>1563</v>
      </c>
      <c r="Q715" s="26"/>
      <c r="R715" s="3" t="s">
        <v>160</v>
      </c>
      <c r="S715" s="26" t="n">
        <f>13470130</f>
        <v>1.347013E7</v>
      </c>
      <c r="T715" s="26" t="str">
        <f>"－"</f>
        <v>－</v>
      </c>
      <c r="U715" s="5" t="s">
        <v>818</v>
      </c>
      <c r="V715" s="28" t="n">
        <f>269095000</f>
        <v>2.69095E8</v>
      </c>
      <c r="W715" s="5" t="s">
        <v>1402</v>
      </c>
      <c r="X715" s="28" t="str">
        <f>"－"</f>
        <v>－</v>
      </c>
      <c r="Y715" s="28" t="n">
        <f>39805</f>
        <v>39805.0</v>
      </c>
      <c r="Z715" s="26" t="str">
        <f>"－"</f>
        <v>－</v>
      </c>
      <c r="AA715" s="26" t="n">
        <f>13039</f>
        <v>13039.0</v>
      </c>
      <c r="AB715" s="4" t="s">
        <v>317</v>
      </c>
      <c r="AC715" s="27" t="n">
        <f>60779</f>
        <v>60779.0</v>
      </c>
      <c r="AD715" s="5" t="s">
        <v>85</v>
      </c>
      <c r="AE715" s="28" t="n">
        <f>5537</f>
        <v>5537.0</v>
      </c>
    </row>
    <row r="716">
      <c r="A716" s="20" t="s">
        <v>1543</v>
      </c>
      <c r="B716" s="21" t="s">
        <v>1544</v>
      </c>
      <c r="C716" s="22" t="s">
        <v>1124</v>
      </c>
      <c r="D716" s="23" t="s">
        <v>1125</v>
      </c>
      <c r="E716" s="24" t="s">
        <v>227</v>
      </c>
      <c r="F716" s="25" t="n">
        <f>248</f>
        <v>248.0</v>
      </c>
      <c r="G716" s="26" t="n">
        <f>93062</f>
        <v>93062.0</v>
      </c>
      <c r="H716" s="26"/>
      <c r="I716" s="26" t="str">
        <f>"－"</f>
        <v>－</v>
      </c>
      <c r="J716" s="26" t="n">
        <f>375</f>
        <v>375.0</v>
      </c>
      <c r="K716" s="26" t="str">
        <f>"－"</f>
        <v>－</v>
      </c>
      <c r="L716" s="4" t="s">
        <v>201</v>
      </c>
      <c r="M716" s="27" t="n">
        <f>15555</f>
        <v>15555.0</v>
      </c>
      <c r="N716" s="5" t="s">
        <v>388</v>
      </c>
      <c r="O716" s="28" t="str">
        <f>"－"</f>
        <v>－</v>
      </c>
      <c r="P716" s="3" t="s">
        <v>1564</v>
      </c>
      <c r="Q716" s="26"/>
      <c r="R716" s="3" t="s">
        <v>160</v>
      </c>
      <c r="S716" s="26" t="n">
        <f>3026642</f>
        <v>3026642.0</v>
      </c>
      <c r="T716" s="26" t="str">
        <f>"－"</f>
        <v>－</v>
      </c>
      <c r="U716" s="5" t="s">
        <v>571</v>
      </c>
      <c r="V716" s="28" t="n">
        <f>120966550</f>
        <v>1.2096655E8</v>
      </c>
      <c r="W716" s="5" t="s">
        <v>388</v>
      </c>
      <c r="X716" s="28" t="str">
        <f>"－"</f>
        <v>－</v>
      </c>
      <c r="Y716" s="28" t="n">
        <f>7852</f>
        <v>7852.0</v>
      </c>
      <c r="Z716" s="26" t="str">
        <f>"－"</f>
        <v>－</v>
      </c>
      <c r="AA716" s="26" t="n">
        <f>4046</f>
        <v>4046.0</v>
      </c>
      <c r="AB716" s="4" t="s">
        <v>818</v>
      </c>
      <c r="AC716" s="27" t="n">
        <f>23663</f>
        <v>23663.0</v>
      </c>
      <c r="AD716" s="5" t="s">
        <v>75</v>
      </c>
      <c r="AE716" s="28" t="n">
        <f>1622</f>
        <v>1622.0</v>
      </c>
    </row>
    <row r="717">
      <c r="A717" s="20" t="s">
        <v>1543</v>
      </c>
      <c r="B717" s="21" t="s">
        <v>1544</v>
      </c>
      <c r="C717" s="22" t="s">
        <v>1128</v>
      </c>
      <c r="D717" s="23" t="s">
        <v>1129</v>
      </c>
      <c r="E717" s="24" t="s">
        <v>227</v>
      </c>
      <c r="F717" s="25" t="n">
        <f>248</f>
        <v>248.0</v>
      </c>
      <c r="G717" s="26" t="n">
        <f>203076</f>
        <v>203076.0</v>
      </c>
      <c r="H717" s="26"/>
      <c r="I717" s="26" t="str">
        <f>"－"</f>
        <v>－</v>
      </c>
      <c r="J717" s="26" t="n">
        <f>819</f>
        <v>819.0</v>
      </c>
      <c r="K717" s="26" t="str">
        <f>"－"</f>
        <v>－</v>
      </c>
      <c r="L717" s="4" t="s">
        <v>1314</v>
      </c>
      <c r="M717" s="27" t="n">
        <f>23520</f>
        <v>23520.0</v>
      </c>
      <c r="N717" s="5" t="s">
        <v>1400</v>
      </c>
      <c r="O717" s="28" t="str">
        <f>"－"</f>
        <v>－</v>
      </c>
      <c r="P717" s="3" t="s">
        <v>1565</v>
      </c>
      <c r="Q717" s="26"/>
      <c r="R717" s="3" t="s">
        <v>160</v>
      </c>
      <c r="S717" s="26" t="n">
        <f>8065484</f>
        <v>8065484.0</v>
      </c>
      <c r="T717" s="26" t="str">
        <f>"－"</f>
        <v>－</v>
      </c>
      <c r="U717" s="5" t="s">
        <v>1314</v>
      </c>
      <c r="V717" s="28" t="n">
        <f>408671500</f>
        <v>4.086715E8</v>
      </c>
      <c r="W717" s="5" t="s">
        <v>1400</v>
      </c>
      <c r="X717" s="28" t="str">
        <f>"－"</f>
        <v>－</v>
      </c>
      <c r="Y717" s="28" t="n">
        <f>28066</f>
        <v>28066.0</v>
      </c>
      <c r="Z717" s="26" t="str">
        <f>"－"</f>
        <v>－</v>
      </c>
      <c r="AA717" s="26" t="n">
        <f>37456</f>
        <v>37456.0</v>
      </c>
      <c r="AB717" s="4" t="s">
        <v>231</v>
      </c>
      <c r="AC717" s="27" t="n">
        <f>46039</f>
        <v>46039.0</v>
      </c>
      <c r="AD717" s="5" t="s">
        <v>243</v>
      </c>
      <c r="AE717" s="28" t="n">
        <f>4340</f>
        <v>4340.0</v>
      </c>
    </row>
    <row r="718">
      <c r="A718" s="20" t="s">
        <v>1543</v>
      </c>
      <c r="B718" s="21" t="s">
        <v>1544</v>
      </c>
      <c r="C718" s="22" t="s">
        <v>1132</v>
      </c>
      <c r="D718" s="23" t="s">
        <v>1133</v>
      </c>
      <c r="E718" s="24" t="s">
        <v>227</v>
      </c>
      <c r="F718" s="25" t="n">
        <f>248</f>
        <v>248.0</v>
      </c>
      <c r="G718" s="26" t="n">
        <f>296138</f>
        <v>296138.0</v>
      </c>
      <c r="H718" s="26"/>
      <c r="I718" s="26" t="str">
        <f>"－"</f>
        <v>－</v>
      </c>
      <c r="J718" s="26" t="n">
        <f>1194</f>
        <v>1194.0</v>
      </c>
      <c r="K718" s="26" t="str">
        <f>"－"</f>
        <v>－</v>
      </c>
      <c r="L718" s="4" t="s">
        <v>201</v>
      </c>
      <c r="M718" s="27" t="n">
        <f>30684</f>
        <v>30684.0</v>
      </c>
      <c r="N718" s="5" t="s">
        <v>937</v>
      </c>
      <c r="O718" s="28" t="str">
        <f>"－"</f>
        <v>－</v>
      </c>
      <c r="P718" s="3" t="s">
        <v>1566</v>
      </c>
      <c r="Q718" s="26"/>
      <c r="R718" s="3" t="s">
        <v>160</v>
      </c>
      <c r="S718" s="26" t="n">
        <f>11092126</f>
        <v>1.1092126E7</v>
      </c>
      <c r="T718" s="26" t="str">
        <f>"－"</f>
        <v>－</v>
      </c>
      <c r="U718" s="5" t="s">
        <v>1314</v>
      </c>
      <c r="V718" s="28" t="n">
        <f>412021500</f>
        <v>4.120215E8</v>
      </c>
      <c r="W718" s="5" t="s">
        <v>937</v>
      </c>
      <c r="X718" s="28" t="str">
        <f>"－"</f>
        <v>－</v>
      </c>
      <c r="Y718" s="28" t="n">
        <f>35918</f>
        <v>35918.0</v>
      </c>
      <c r="Z718" s="26" t="str">
        <f>"－"</f>
        <v>－</v>
      </c>
      <c r="AA718" s="26" t="n">
        <f>41502</f>
        <v>41502.0</v>
      </c>
      <c r="AB718" s="4" t="s">
        <v>499</v>
      </c>
      <c r="AC718" s="27" t="n">
        <f>61327</f>
        <v>61327.0</v>
      </c>
      <c r="AD718" s="5" t="s">
        <v>243</v>
      </c>
      <c r="AE718" s="28" t="n">
        <f>7823</f>
        <v>7823.0</v>
      </c>
    </row>
    <row r="719">
      <c r="A719" s="20" t="s">
        <v>1543</v>
      </c>
      <c r="B719" s="21" t="s">
        <v>1544</v>
      </c>
      <c r="C719" s="22" t="s">
        <v>1124</v>
      </c>
      <c r="D719" s="23" t="s">
        <v>1125</v>
      </c>
      <c r="E719" s="24" t="s">
        <v>230</v>
      </c>
      <c r="F719" s="25" t="n">
        <f>245</f>
        <v>245.0</v>
      </c>
      <c r="G719" s="26" t="n">
        <f>109775</f>
        <v>109775.0</v>
      </c>
      <c r="H719" s="26"/>
      <c r="I719" s="26" t="str">
        <f>"－"</f>
        <v>－</v>
      </c>
      <c r="J719" s="26" t="n">
        <f>448</f>
        <v>448.0</v>
      </c>
      <c r="K719" s="26" t="str">
        <f>"－"</f>
        <v>－</v>
      </c>
      <c r="L719" s="4" t="s">
        <v>61</v>
      </c>
      <c r="M719" s="27" t="n">
        <f>29536</f>
        <v>29536.0</v>
      </c>
      <c r="N719" s="5" t="s">
        <v>680</v>
      </c>
      <c r="O719" s="28" t="str">
        <f>"－"</f>
        <v>－</v>
      </c>
      <c r="P719" s="3" t="s">
        <v>1567</v>
      </c>
      <c r="Q719" s="26"/>
      <c r="R719" s="3" t="s">
        <v>160</v>
      </c>
      <c r="S719" s="26" t="n">
        <f>7372251</f>
        <v>7372251.0</v>
      </c>
      <c r="T719" s="26" t="str">
        <f>"－"</f>
        <v>－</v>
      </c>
      <c r="U719" s="5" t="s">
        <v>614</v>
      </c>
      <c r="V719" s="28" t="n">
        <f>815874000</f>
        <v>8.15874E8</v>
      </c>
      <c r="W719" s="5" t="s">
        <v>680</v>
      </c>
      <c r="X719" s="28" t="str">
        <f>"－"</f>
        <v>－</v>
      </c>
      <c r="Y719" s="28" t="n">
        <f>7737</f>
        <v>7737.0</v>
      </c>
      <c r="Z719" s="26" t="str">
        <f>"－"</f>
        <v>－</v>
      </c>
      <c r="AA719" s="26" t="n">
        <f>19541</f>
        <v>19541.0</v>
      </c>
      <c r="AB719" s="4" t="s">
        <v>594</v>
      </c>
      <c r="AC719" s="27" t="n">
        <f>23203</f>
        <v>23203.0</v>
      </c>
      <c r="AD719" s="5" t="s">
        <v>541</v>
      </c>
      <c r="AE719" s="28" t="n">
        <f>720</f>
        <v>720.0</v>
      </c>
    </row>
    <row r="720">
      <c r="A720" s="20" t="s">
        <v>1543</v>
      </c>
      <c r="B720" s="21" t="s">
        <v>1544</v>
      </c>
      <c r="C720" s="22" t="s">
        <v>1128</v>
      </c>
      <c r="D720" s="23" t="s">
        <v>1129</v>
      </c>
      <c r="E720" s="24" t="s">
        <v>230</v>
      </c>
      <c r="F720" s="25" t="n">
        <f>245</f>
        <v>245.0</v>
      </c>
      <c r="G720" s="26" t="n">
        <f>92617</f>
        <v>92617.0</v>
      </c>
      <c r="H720" s="26"/>
      <c r="I720" s="26" t="str">
        <f>"－"</f>
        <v>－</v>
      </c>
      <c r="J720" s="26" t="n">
        <f>378</f>
        <v>378.0</v>
      </c>
      <c r="K720" s="26" t="str">
        <f>"－"</f>
        <v>－</v>
      </c>
      <c r="L720" s="4" t="s">
        <v>61</v>
      </c>
      <c r="M720" s="27" t="n">
        <f>29536</f>
        <v>29536.0</v>
      </c>
      <c r="N720" s="5" t="s">
        <v>598</v>
      </c>
      <c r="O720" s="28" t="str">
        <f>"－"</f>
        <v>－</v>
      </c>
      <c r="P720" s="3" t="s">
        <v>1568</v>
      </c>
      <c r="Q720" s="26"/>
      <c r="R720" s="3" t="s">
        <v>160</v>
      </c>
      <c r="S720" s="26" t="n">
        <f>12464613</f>
        <v>1.2464613E7</v>
      </c>
      <c r="T720" s="26" t="str">
        <f>"－"</f>
        <v>－</v>
      </c>
      <c r="U720" s="5" t="s">
        <v>61</v>
      </c>
      <c r="V720" s="28" t="n">
        <f>1652917000</f>
        <v>1.652917E9</v>
      </c>
      <c r="W720" s="5" t="s">
        <v>598</v>
      </c>
      <c r="X720" s="28" t="str">
        <f>"－"</f>
        <v>－</v>
      </c>
      <c r="Y720" s="28" t="n">
        <f>7294</f>
        <v>7294.0</v>
      </c>
      <c r="Z720" s="26" t="str">
        <f>"－"</f>
        <v>－</v>
      </c>
      <c r="AA720" s="26" t="n">
        <f>18130</f>
        <v>18130.0</v>
      </c>
      <c r="AB720" s="4" t="s">
        <v>517</v>
      </c>
      <c r="AC720" s="27" t="n">
        <f>50088</f>
        <v>50088.0</v>
      </c>
      <c r="AD720" s="5" t="s">
        <v>541</v>
      </c>
      <c r="AE720" s="28" t="n">
        <f>1944</f>
        <v>1944.0</v>
      </c>
    </row>
    <row r="721">
      <c r="A721" s="20" t="s">
        <v>1543</v>
      </c>
      <c r="B721" s="21" t="s">
        <v>1544</v>
      </c>
      <c r="C721" s="22" t="s">
        <v>1132</v>
      </c>
      <c r="D721" s="23" t="s">
        <v>1133</v>
      </c>
      <c r="E721" s="24" t="s">
        <v>230</v>
      </c>
      <c r="F721" s="25" t="n">
        <f>245</f>
        <v>245.0</v>
      </c>
      <c r="G721" s="26" t="n">
        <f>202392</f>
        <v>202392.0</v>
      </c>
      <c r="H721" s="26"/>
      <c r="I721" s="26" t="str">
        <f>"－"</f>
        <v>－</v>
      </c>
      <c r="J721" s="26" t="n">
        <f>826</f>
        <v>826.0</v>
      </c>
      <c r="K721" s="26" t="str">
        <f>"－"</f>
        <v>－</v>
      </c>
      <c r="L721" s="4" t="s">
        <v>61</v>
      </c>
      <c r="M721" s="27" t="n">
        <f>59072</f>
        <v>59072.0</v>
      </c>
      <c r="N721" s="5" t="s">
        <v>680</v>
      </c>
      <c r="O721" s="28" t="str">
        <f>"－"</f>
        <v>－</v>
      </c>
      <c r="P721" s="3" t="s">
        <v>1569</v>
      </c>
      <c r="Q721" s="26"/>
      <c r="R721" s="3" t="s">
        <v>160</v>
      </c>
      <c r="S721" s="26" t="n">
        <f>19836864</f>
        <v>1.9836864E7</v>
      </c>
      <c r="T721" s="26" t="str">
        <f>"－"</f>
        <v>－</v>
      </c>
      <c r="U721" s="5" t="s">
        <v>61</v>
      </c>
      <c r="V721" s="28" t="n">
        <f>1876887000</f>
        <v>1.876887E9</v>
      </c>
      <c r="W721" s="5" t="s">
        <v>680</v>
      </c>
      <c r="X721" s="28" t="str">
        <f>"－"</f>
        <v>－</v>
      </c>
      <c r="Y721" s="28" t="n">
        <f>15031</f>
        <v>15031.0</v>
      </c>
      <c r="Z721" s="26" t="str">
        <f>"－"</f>
        <v>－</v>
      </c>
      <c r="AA721" s="26" t="n">
        <f>37671</f>
        <v>37671.0</v>
      </c>
      <c r="AB721" s="4" t="s">
        <v>826</v>
      </c>
      <c r="AC721" s="27" t="n">
        <f>60890</f>
        <v>60890.0</v>
      </c>
      <c r="AD721" s="5" t="s">
        <v>541</v>
      </c>
      <c r="AE721" s="28" t="n">
        <f>2664</f>
        <v>2664.0</v>
      </c>
    </row>
    <row r="722">
      <c r="A722" s="20" t="s">
        <v>1543</v>
      </c>
      <c r="B722" s="21" t="s">
        <v>1544</v>
      </c>
      <c r="C722" s="22" t="s">
        <v>1124</v>
      </c>
      <c r="D722" s="23" t="s">
        <v>1125</v>
      </c>
      <c r="E722" s="24" t="s">
        <v>235</v>
      </c>
      <c r="F722" s="25" t="n">
        <f>246</f>
        <v>246.0</v>
      </c>
      <c r="G722" s="26" t="n">
        <f>97616</f>
        <v>97616.0</v>
      </c>
      <c r="H722" s="26"/>
      <c r="I722" s="26" t="str">
        <f>"－"</f>
        <v>－</v>
      </c>
      <c r="J722" s="26" t="n">
        <f>397</f>
        <v>397.0</v>
      </c>
      <c r="K722" s="26" t="str">
        <f>"－"</f>
        <v>－</v>
      </c>
      <c r="L722" s="4" t="s">
        <v>474</v>
      </c>
      <c r="M722" s="27" t="n">
        <f>15004</f>
        <v>15004.0</v>
      </c>
      <c r="N722" s="5" t="s">
        <v>448</v>
      </c>
      <c r="O722" s="28" t="str">
        <f>"－"</f>
        <v>－</v>
      </c>
      <c r="P722" s="3" t="s">
        <v>1570</v>
      </c>
      <c r="Q722" s="26"/>
      <c r="R722" s="3" t="s">
        <v>160</v>
      </c>
      <c r="S722" s="26" t="n">
        <f>4277481</f>
        <v>4277481.0</v>
      </c>
      <c r="T722" s="26" t="str">
        <f>"－"</f>
        <v>－</v>
      </c>
      <c r="U722" s="5" t="s">
        <v>643</v>
      </c>
      <c r="V722" s="28" t="n">
        <f>90000000</f>
        <v>9.0E7</v>
      </c>
      <c r="W722" s="5" t="s">
        <v>448</v>
      </c>
      <c r="X722" s="28" t="str">
        <f>"－"</f>
        <v>－</v>
      </c>
      <c r="Y722" s="28" t="n">
        <f>5547</f>
        <v>5547.0</v>
      </c>
      <c r="Z722" s="26" t="str">
        <f>"－"</f>
        <v>－</v>
      </c>
      <c r="AA722" s="26" t="n">
        <f>10216</f>
        <v>10216.0</v>
      </c>
      <c r="AB722" s="4" t="s">
        <v>403</v>
      </c>
      <c r="AC722" s="27" t="n">
        <f>20690</f>
        <v>20690.0</v>
      </c>
      <c r="AD722" s="5" t="s">
        <v>61</v>
      </c>
      <c r="AE722" s="28" t="n">
        <f>992</f>
        <v>992.0</v>
      </c>
    </row>
    <row r="723">
      <c r="A723" s="20" t="s">
        <v>1543</v>
      </c>
      <c r="B723" s="21" t="s">
        <v>1544</v>
      </c>
      <c r="C723" s="22" t="s">
        <v>1128</v>
      </c>
      <c r="D723" s="23" t="s">
        <v>1129</v>
      </c>
      <c r="E723" s="24" t="s">
        <v>235</v>
      </c>
      <c r="F723" s="25" t="n">
        <f>246</f>
        <v>246.0</v>
      </c>
      <c r="G723" s="26" t="n">
        <f>51010</f>
        <v>51010.0</v>
      </c>
      <c r="H723" s="26"/>
      <c r="I723" s="26" t="str">
        <f>"－"</f>
        <v>－</v>
      </c>
      <c r="J723" s="26" t="n">
        <f>207</f>
        <v>207.0</v>
      </c>
      <c r="K723" s="26" t="str">
        <f>"－"</f>
        <v>－</v>
      </c>
      <c r="L723" s="4" t="s">
        <v>474</v>
      </c>
      <c r="M723" s="27" t="n">
        <f>14788</f>
        <v>14788.0</v>
      </c>
      <c r="N723" s="5" t="s">
        <v>403</v>
      </c>
      <c r="O723" s="28" t="str">
        <f>"－"</f>
        <v>－</v>
      </c>
      <c r="P723" s="3" t="s">
        <v>1571</v>
      </c>
      <c r="Q723" s="26"/>
      <c r="R723" s="3" t="s">
        <v>160</v>
      </c>
      <c r="S723" s="26" t="n">
        <f>3995324</f>
        <v>3995324.0</v>
      </c>
      <c r="T723" s="26" t="str">
        <f>"－"</f>
        <v>－</v>
      </c>
      <c r="U723" s="5" t="s">
        <v>474</v>
      </c>
      <c r="V723" s="28" t="n">
        <f>721662500</f>
        <v>7.216625E8</v>
      </c>
      <c r="W723" s="5" t="s">
        <v>403</v>
      </c>
      <c r="X723" s="28" t="str">
        <f>"－"</f>
        <v>－</v>
      </c>
      <c r="Y723" s="28" t="n">
        <f>12856</f>
        <v>12856.0</v>
      </c>
      <c r="Z723" s="26" t="str">
        <f>"－"</f>
        <v>－</v>
      </c>
      <c r="AA723" s="26" t="n">
        <f>7639</f>
        <v>7639.0</v>
      </c>
      <c r="AB723" s="4" t="s">
        <v>455</v>
      </c>
      <c r="AC723" s="27" t="n">
        <f>18465</f>
        <v>18465.0</v>
      </c>
      <c r="AD723" s="5" t="s">
        <v>61</v>
      </c>
      <c r="AE723" s="28" t="n">
        <f>1084</f>
        <v>1084.0</v>
      </c>
    </row>
    <row r="724">
      <c r="A724" s="20" t="s">
        <v>1543</v>
      </c>
      <c r="B724" s="21" t="s">
        <v>1544</v>
      </c>
      <c r="C724" s="22" t="s">
        <v>1132</v>
      </c>
      <c r="D724" s="23" t="s">
        <v>1133</v>
      </c>
      <c r="E724" s="24" t="s">
        <v>235</v>
      </c>
      <c r="F724" s="25" t="n">
        <f>246</f>
        <v>246.0</v>
      </c>
      <c r="G724" s="26" t="n">
        <f>148626</f>
        <v>148626.0</v>
      </c>
      <c r="H724" s="26"/>
      <c r="I724" s="26" t="str">
        <f>"－"</f>
        <v>－</v>
      </c>
      <c r="J724" s="26" t="n">
        <f>604</f>
        <v>604.0</v>
      </c>
      <c r="K724" s="26" t="str">
        <f>"－"</f>
        <v>－</v>
      </c>
      <c r="L724" s="4" t="s">
        <v>474</v>
      </c>
      <c r="M724" s="27" t="n">
        <f>29792</f>
        <v>29792.0</v>
      </c>
      <c r="N724" s="5" t="s">
        <v>448</v>
      </c>
      <c r="O724" s="28" t="str">
        <f>"－"</f>
        <v>－</v>
      </c>
      <c r="P724" s="3" t="s">
        <v>1572</v>
      </c>
      <c r="Q724" s="26"/>
      <c r="R724" s="3" t="s">
        <v>160</v>
      </c>
      <c r="S724" s="26" t="n">
        <f>8272805</f>
        <v>8272805.0</v>
      </c>
      <c r="T724" s="26" t="str">
        <f>"－"</f>
        <v>－</v>
      </c>
      <c r="U724" s="5" t="s">
        <v>474</v>
      </c>
      <c r="V724" s="28" t="n">
        <f>765270000</f>
        <v>7.6527E8</v>
      </c>
      <c r="W724" s="5" t="s">
        <v>448</v>
      </c>
      <c r="X724" s="28" t="str">
        <f>"－"</f>
        <v>－</v>
      </c>
      <c r="Y724" s="28" t="n">
        <f>18403</f>
        <v>18403.0</v>
      </c>
      <c r="Z724" s="26" t="str">
        <f>"－"</f>
        <v>－</v>
      </c>
      <c r="AA724" s="26" t="n">
        <f>17855</f>
        <v>17855.0</v>
      </c>
      <c r="AB724" s="4" t="s">
        <v>403</v>
      </c>
      <c r="AC724" s="27" t="n">
        <f>39155</f>
        <v>39155.0</v>
      </c>
      <c r="AD724" s="5" t="s">
        <v>61</v>
      </c>
      <c r="AE724" s="28" t="n">
        <f>2076</f>
        <v>2076.0</v>
      </c>
    </row>
    <row r="725">
      <c r="A725" s="20" t="s">
        <v>1543</v>
      </c>
      <c r="B725" s="21" t="s">
        <v>1544</v>
      </c>
      <c r="C725" s="22" t="s">
        <v>1124</v>
      </c>
      <c r="D725" s="23" t="s">
        <v>1125</v>
      </c>
      <c r="E725" s="24" t="s">
        <v>240</v>
      </c>
      <c r="F725" s="25" t="n">
        <f>246</f>
        <v>246.0</v>
      </c>
      <c r="G725" s="26" t="n">
        <f>135021</f>
        <v>135021.0</v>
      </c>
      <c r="H725" s="26"/>
      <c r="I725" s="26" t="str">
        <f>"－"</f>
        <v>－</v>
      </c>
      <c r="J725" s="26" t="n">
        <f>549</f>
        <v>549.0</v>
      </c>
      <c r="K725" s="26" t="str">
        <f>"－"</f>
        <v>－</v>
      </c>
      <c r="L725" s="4" t="s">
        <v>624</v>
      </c>
      <c r="M725" s="27" t="n">
        <f>5572</f>
        <v>5572.0</v>
      </c>
      <c r="N725" s="5" t="s">
        <v>455</v>
      </c>
      <c r="O725" s="28" t="str">
        <f>"－"</f>
        <v>－</v>
      </c>
      <c r="P725" s="3" t="s">
        <v>1573</v>
      </c>
      <c r="Q725" s="26"/>
      <c r="R725" s="3" t="s">
        <v>160</v>
      </c>
      <c r="S725" s="26" t="n">
        <f>7196322</f>
        <v>7196322.0</v>
      </c>
      <c r="T725" s="26" t="str">
        <f>"－"</f>
        <v>－</v>
      </c>
      <c r="U725" s="5" t="s">
        <v>286</v>
      </c>
      <c r="V725" s="28" t="n">
        <f>187076500</f>
        <v>1.870765E8</v>
      </c>
      <c r="W725" s="5" t="s">
        <v>455</v>
      </c>
      <c r="X725" s="28" t="str">
        <f>"－"</f>
        <v>－</v>
      </c>
      <c r="Y725" s="28" t="n">
        <f>12417</f>
        <v>12417.0</v>
      </c>
      <c r="Z725" s="26" t="str">
        <f>"－"</f>
        <v>－</v>
      </c>
      <c r="AA725" s="26" t="n">
        <f>4392</f>
        <v>4392.0</v>
      </c>
      <c r="AB725" s="4" t="s">
        <v>1231</v>
      </c>
      <c r="AC725" s="27" t="n">
        <f>23823</f>
        <v>23823.0</v>
      </c>
      <c r="AD725" s="5" t="s">
        <v>74</v>
      </c>
      <c r="AE725" s="28" t="n">
        <f>1254</f>
        <v>1254.0</v>
      </c>
    </row>
    <row r="726">
      <c r="A726" s="20" t="s">
        <v>1543</v>
      </c>
      <c r="B726" s="21" t="s">
        <v>1544</v>
      </c>
      <c r="C726" s="22" t="s">
        <v>1128</v>
      </c>
      <c r="D726" s="23" t="s">
        <v>1129</v>
      </c>
      <c r="E726" s="24" t="s">
        <v>240</v>
      </c>
      <c r="F726" s="25" t="n">
        <f>246</f>
        <v>246.0</v>
      </c>
      <c r="G726" s="26" t="n">
        <f>86413</f>
        <v>86413.0</v>
      </c>
      <c r="H726" s="26"/>
      <c r="I726" s="26" t="str">
        <f>"－"</f>
        <v>－</v>
      </c>
      <c r="J726" s="26" t="n">
        <f>351</f>
        <v>351.0</v>
      </c>
      <c r="K726" s="26" t="str">
        <f>"－"</f>
        <v>－</v>
      </c>
      <c r="L726" s="4" t="s">
        <v>69</v>
      </c>
      <c r="M726" s="27" t="n">
        <f>5862</f>
        <v>5862.0</v>
      </c>
      <c r="N726" s="5" t="s">
        <v>399</v>
      </c>
      <c r="O726" s="28" t="str">
        <f>"－"</f>
        <v>－</v>
      </c>
      <c r="P726" s="3" t="s">
        <v>1574</v>
      </c>
      <c r="Q726" s="26"/>
      <c r="R726" s="3" t="s">
        <v>160</v>
      </c>
      <c r="S726" s="26" t="n">
        <f>3448758</f>
        <v>3448758.0</v>
      </c>
      <c r="T726" s="26" t="str">
        <f>"－"</f>
        <v>－</v>
      </c>
      <c r="U726" s="5" t="s">
        <v>624</v>
      </c>
      <c r="V726" s="28" t="n">
        <f>96598500</f>
        <v>9.65985E7</v>
      </c>
      <c r="W726" s="5" t="s">
        <v>399</v>
      </c>
      <c r="X726" s="28" t="str">
        <f>"－"</f>
        <v>－</v>
      </c>
      <c r="Y726" s="28" t="n">
        <f>20529</f>
        <v>20529.0</v>
      </c>
      <c r="Z726" s="26" t="str">
        <f>"－"</f>
        <v>－</v>
      </c>
      <c r="AA726" s="26" t="n">
        <f>10561</f>
        <v>10561.0</v>
      </c>
      <c r="AB726" s="4" t="s">
        <v>123</v>
      </c>
      <c r="AC726" s="27" t="n">
        <f>22775</f>
        <v>22775.0</v>
      </c>
      <c r="AD726" s="5" t="s">
        <v>286</v>
      </c>
      <c r="AE726" s="28" t="n">
        <f>1130</f>
        <v>1130.0</v>
      </c>
    </row>
    <row r="727">
      <c r="A727" s="20" t="s">
        <v>1543</v>
      </c>
      <c r="B727" s="21" t="s">
        <v>1544</v>
      </c>
      <c r="C727" s="22" t="s">
        <v>1132</v>
      </c>
      <c r="D727" s="23" t="s">
        <v>1133</v>
      </c>
      <c r="E727" s="24" t="s">
        <v>240</v>
      </c>
      <c r="F727" s="25" t="n">
        <f>246</f>
        <v>246.0</v>
      </c>
      <c r="G727" s="26" t="n">
        <f>221434</f>
        <v>221434.0</v>
      </c>
      <c r="H727" s="26"/>
      <c r="I727" s="26" t="str">
        <f>"－"</f>
        <v>－</v>
      </c>
      <c r="J727" s="26" t="n">
        <f>900</f>
        <v>900.0</v>
      </c>
      <c r="K727" s="26" t="str">
        <f>"－"</f>
        <v>－</v>
      </c>
      <c r="L727" s="4" t="s">
        <v>624</v>
      </c>
      <c r="M727" s="27" t="n">
        <f>9066</f>
        <v>9066.0</v>
      </c>
      <c r="N727" s="5" t="s">
        <v>455</v>
      </c>
      <c r="O727" s="28" t="str">
        <f>"－"</f>
        <v>－</v>
      </c>
      <c r="P727" s="3" t="s">
        <v>1575</v>
      </c>
      <c r="Q727" s="26"/>
      <c r="R727" s="3" t="s">
        <v>160</v>
      </c>
      <c r="S727" s="26" t="n">
        <f>10645081</f>
        <v>1.0645081E7</v>
      </c>
      <c r="T727" s="26" t="str">
        <f>"－"</f>
        <v>－</v>
      </c>
      <c r="U727" s="5" t="s">
        <v>624</v>
      </c>
      <c r="V727" s="28" t="n">
        <f>209049500</f>
        <v>2.090495E8</v>
      </c>
      <c r="W727" s="5" t="s">
        <v>455</v>
      </c>
      <c r="X727" s="28" t="str">
        <f>"－"</f>
        <v>－</v>
      </c>
      <c r="Y727" s="28" t="n">
        <f>32946</f>
        <v>32946.0</v>
      </c>
      <c r="Z727" s="26" t="str">
        <f>"－"</f>
        <v>－</v>
      </c>
      <c r="AA727" s="26" t="n">
        <f>14953</f>
        <v>14953.0</v>
      </c>
      <c r="AB727" s="4" t="s">
        <v>983</v>
      </c>
      <c r="AC727" s="27" t="n">
        <f>44339</f>
        <v>44339.0</v>
      </c>
      <c r="AD727" s="5" t="s">
        <v>74</v>
      </c>
      <c r="AE727" s="28" t="n">
        <f>3188</f>
        <v>3188.0</v>
      </c>
    </row>
    <row r="728">
      <c r="A728" s="20" t="s">
        <v>1543</v>
      </c>
      <c r="B728" s="21" t="s">
        <v>1544</v>
      </c>
      <c r="C728" s="22" t="s">
        <v>1124</v>
      </c>
      <c r="D728" s="23" t="s">
        <v>1125</v>
      </c>
      <c r="E728" s="24" t="s">
        <v>244</v>
      </c>
      <c r="F728" s="25" t="n">
        <f>245</f>
        <v>245.0</v>
      </c>
      <c r="G728" s="26" t="n">
        <f>60569</f>
        <v>60569.0</v>
      </c>
      <c r="H728" s="26"/>
      <c r="I728" s="26" t="n">
        <f>4064</f>
        <v>4064.0</v>
      </c>
      <c r="J728" s="26" t="n">
        <f>247</f>
        <v>247.0</v>
      </c>
      <c r="K728" s="26" t="n">
        <f>17</f>
        <v>17.0</v>
      </c>
      <c r="L728" s="4" t="s">
        <v>402</v>
      </c>
      <c r="M728" s="27" t="n">
        <f>3423</f>
        <v>3423.0</v>
      </c>
      <c r="N728" s="5" t="s">
        <v>431</v>
      </c>
      <c r="O728" s="28" t="str">
        <f>"－"</f>
        <v>－</v>
      </c>
      <c r="P728" s="3" t="s">
        <v>1576</v>
      </c>
      <c r="Q728" s="26"/>
      <c r="R728" s="3" t="s">
        <v>1577</v>
      </c>
      <c r="S728" s="26" t="n">
        <f>2353940</f>
        <v>2353940.0</v>
      </c>
      <c r="T728" s="26" t="n">
        <f>111667</f>
        <v>111667.0</v>
      </c>
      <c r="U728" s="5" t="s">
        <v>983</v>
      </c>
      <c r="V728" s="28" t="n">
        <f>130486500</f>
        <v>1.304865E8</v>
      </c>
      <c r="W728" s="5" t="s">
        <v>431</v>
      </c>
      <c r="X728" s="28" t="str">
        <f>"－"</f>
        <v>－</v>
      </c>
      <c r="Y728" s="28" t="n">
        <f>13179</f>
        <v>13179.0</v>
      </c>
      <c r="Z728" s="26" t="str">
        <f>"－"</f>
        <v>－</v>
      </c>
      <c r="AA728" s="26" t="n">
        <f>2690</f>
        <v>2690.0</v>
      </c>
      <c r="AB728" s="4" t="s">
        <v>1351</v>
      </c>
      <c r="AC728" s="27" t="n">
        <f>11851</f>
        <v>11851.0</v>
      </c>
      <c r="AD728" s="5" t="s">
        <v>77</v>
      </c>
      <c r="AE728" s="28" t="n">
        <f>309</f>
        <v>309.0</v>
      </c>
    </row>
    <row r="729">
      <c r="A729" s="20" t="s">
        <v>1543</v>
      </c>
      <c r="B729" s="21" t="s">
        <v>1544</v>
      </c>
      <c r="C729" s="22" t="s">
        <v>1128</v>
      </c>
      <c r="D729" s="23" t="s">
        <v>1129</v>
      </c>
      <c r="E729" s="24" t="s">
        <v>244</v>
      </c>
      <c r="F729" s="25" t="n">
        <f>245</f>
        <v>245.0</v>
      </c>
      <c r="G729" s="26" t="n">
        <f>37031</f>
        <v>37031.0</v>
      </c>
      <c r="H729" s="26"/>
      <c r="I729" s="26" t="n">
        <f>2600</f>
        <v>2600.0</v>
      </c>
      <c r="J729" s="26" t="n">
        <f>151</f>
        <v>151.0</v>
      </c>
      <c r="K729" s="26" t="n">
        <f>11</f>
        <v>11.0</v>
      </c>
      <c r="L729" s="4" t="s">
        <v>499</v>
      </c>
      <c r="M729" s="27" t="n">
        <f>5520</f>
        <v>5520.0</v>
      </c>
      <c r="N729" s="5" t="s">
        <v>389</v>
      </c>
      <c r="O729" s="28" t="str">
        <f>"－"</f>
        <v>－</v>
      </c>
      <c r="P729" s="3" t="s">
        <v>1578</v>
      </c>
      <c r="Q729" s="26"/>
      <c r="R729" s="3" t="s">
        <v>1579</v>
      </c>
      <c r="S729" s="26" t="n">
        <f>799787</f>
        <v>799787.0</v>
      </c>
      <c r="T729" s="26" t="n">
        <f>168980</f>
        <v>168980.0</v>
      </c>
      <c r="U729" s="5" t="s">
        <v>77</v>
      </c>
      <c r="V729" s="28" t="n">
        <f>34555000</f>
        <v>3.4555E7</v>
      </c>
      <c r="W729" s="5" t="s">
        <v>389</v>
      </c>
      <c r="X729" s="28" t="str">
        <f>"－"</f>
        <v>－</v>
      </c>
      <c r="Y729" s="28" t="n">
        <f>3106</f>
        <v>3106.0</v>
      </c>
      <c r="Z729" s="26" t="str">
        <f>"－"</f>
        <v>－</v>
      </c>
      <c r="AA729" s="26" t="n">
        <f>2419</f>
        <v>2419.0</v>
      </c>
      <c r="AB729" s="4" t="s">
        <v>494</v>
      </c>
      <c r="AC729" s="27" t="n">
        <f>11942</f>
        <v>11942.0</v>
      </c>
      <c r="AD729" s="5" t="s">
        <v>1231</v>
      </c>
      <c r="AE729" s="28" t="n">
        <f>862</f>
        <v>862.0</v>
      </c>
    </row>
    <row r="730">
      <c r="A730" s="20" t="s">
        <v>1543</v>
      </c>
      <c r="B730" s="21" t="s">
        <v>1544</v>
      </c>
      <c r="C730" s="22" t="s">
        <v>1132</v>
      </c>
      <c r="D730" s="23" t="s">
        <v>1133</v>
      </c>
      <c r="E730" s="24" t="s">
        <v>244</v>
      </c>
      <c r="F730" s="25" t="n">
        <f>245</f>
        <v>245.0</v>
      </c>
      <c r="G730" s="26" t="n">
        <f>97600</f>
        <v>97600.0</v>
      </c>
      <c r="H730" s="26"/>
      <c r="I730" s="26" t="n">
        <f>6664</f>
        <v>6664.0</v>
      </c>
      <c r="J730" s="26" t="n">
        <f>398</f>
        <v>398.0</v>
      </c>
      <c r="K730" s="26" t="n">
        <f>27</f>
        <v>27.0</v>
      </c>
      <c r="L730" s="4" t="s">
        <v>499</v>
      </c>
      <c r="M730" s="27" t="n">
        <f>5525</f>
        <v>5525.0</v>
      </c>
      <c r="N730" s="5" t="s">
        <v>619</v>
      </c>
      <c r="O730" s="28" t="str">
        <f>"－"</f>
        <v>－</v>
      </c>
      <c r="P730" s="3" t="s">
        <v>1580</v>
      </c>
      <c r="Q730" s="26"/>
      <c r="R730" s="3" t="s">
        <v>1581</v>
      </c>
      <c r="S730" s="26" t="n">
        <f>3153728</f>
        <v>3153728.0</v>
      </c>
      <c r="T730" s="26" t="n">
        <f>280647</f>
        <v>280647.0</v>
      </c>
      <c r="U730" s="5" t="s">
        <v>983</v>
      </c>
      <c r="V730" s="28" t="n">
        <f>130486500</f>
        <v>1.304865E8</v>
      </c>
      <c r="W730" s="5" t="s">
        <v>619</v>
      </c>
      <c r="X730" s="28" t="str">
        <f>"－"</f>
        <v>－</v>
      </c>
      <c r="Y730" s="28" t="n">
        <f>16285</f>
        <v>16285.0</v>
      </c>
      <c r="Z730" s="26" t="str">
        <f>"－"</f>
        <v>－</v>
      </c>
      <c r="AA730" s="26" t="n">
        <f>5109</f>
        <v>5109.0</v>
      </c>
      <c r="AB730" s="4" t="s">
        <v>494</v>
      </c>
      <c r="AC730" s="27" t="n">
        <f>21854</f>
        <v>21854.0</v>
      </c>
      <c r="AD730" s="5" t="s">
        <v>69</v>
      </c>
      <c r="AE730" s="28" t="n">
        <f>1653</f>
        <v>1653.0</v>
      </c>
    </row>
    <row r="731">
      <c r="A731" s="20" t="s">
        <v>1543</v>
      </c>
      <c r="B731" s="21" t="s">
        <v>1544</v>
      </c>
      <c r="C731" s="22" t="s">
        <v>1124</v>
      </c>
      <c r="D731" s="23" t="s">
        <v>1125</v>
      </c>
      <c r="E731" s="24" t="s">
        <v>247</v>
      </c>
      <c r="F731" s="25" t="n">
        <f>245</f>
        <v>245.0</v>
      </c>
      <c r="G731" s="26" t="n">
        <f>140622</f>
        <v>140622.0</v>
      </c>
      <c r="H731" s="26"/>
      <c r="I731" s="26" t="n">
        <f>21742</f>
        <v>21742.0</v>
      </c>
      <c r="J731" s="26" t="n">
        <f>574</f>
        <v>574.0</v>
      </c>
      <c r="K731" s="26" t="n">
        <f>89</f>
        <v>89.0</v>
      </c>
      <c r="L731" s="4" t="s">
        <v>380</v>
      </c>
      <c r="M731" s="27" t="n">
        <f>17800</f>
        <v>17800.0</v>
      </c>
      <c r="N731" s="5" t="s">
        <v>213</v>
      </c>
      <c r="O731" s="28" t="str">
        <f>"－"</f>
        <v>－</v>
      </c>
      <c r="P731" s="3" t="s">
        <v>1582</v>
      </c>
      <c r="Q731" s="26"/>
      <c r="R731" s="3" t="s">
        <v>1583</v>
      </c>
      <c r="S731" s="26" t="n">
        <f>3499632</f>
        <v>3499632.0</v>
      </c>
      <c r="T731" s="26" t="n">
        <f>320504</f>
        <v>320504.0</v>
      </c>
      <c r="U731" s="5" t="s">
        <v>149</v>
      </c>
      <c r="V731" s="28" t="n">
        <f>187655000</f>
        <v>1.87655E8</v>
      </c>
      <c r="W731" s="5" t="s">
        <v>213</v>
      </c>
      <c r="X731" s="28" t="str">
        <f>"－"</f>
        <v>－</v>
      </c>
      <c r="Y731" s="28" t="n">
        <f>28383</f>
        <v>28383.0</v>
      </c>
      <c r="Z731" s="26" t="str">
        <f>"－"</f>
        <v>－</v>
      </c>
      <c r="AA731" s="26" t="n">
        <f>10323</f>
        <v>10323.0</v>
      </c>
      <c r="AB731" s="4" t="s">
        <v>195</v>
      </c>
      <c r="AC731" s="27" t="n">
        <f>69656</f>
        <v>69656.0</v>
      </c>
      <c r="AD731" s="5" t="s">
        <v>75</v>
      </c>
      <c r="AE731" s="28" t="n">
        <f>5</f>
        <v>5.0</v>
      </c>
    </row>
    <row r="732">
      <c r="A732" s="20" t="s">
        <v>1543</v>
      </c>
      <c r="B732" s="21" t="s">
        <v>1544</v>
      </c>
      <c r="C732" s="22" t="s">
        <v>1128</v>
      </c>
      <c r="D732" s="23" t="s">
        <v>1129</v>
      </c>
      <c r="E732" s="24" t="s">
        <v>247</v>
      </c>
      <c r="F732" s="25" t="n">
        <f>245</f>
        <v>245.0</v>
      </c>
      <c r="G732" s="26" t="n">
        <f>63133</f>
        <v>63133.0</v>
      </c>
      <c r="H732" s="26"/>
      <c r="I732" s="26" t="n">
        <f>3844</f>
        <v>3844.0</v>
      </c>
      <c r="J732" s="26" t="n">
        <f>258</f>
        <v>258.0</v>
      </c>
      <c r="K732" s="26" t="n">
        <f>16</f>
        <v>16.0</v>
      </c>
      <c r="L732" s="4" t="s">
        <v>604</v>
      </c>
      <c r="M732" s="27" t="n">
        <f>10650</f>
        <v>10650.0</v>
      </c>
      <c r="N732" s="5" t="s">
        <v>399</v>
      </c>
      <c r="O732" s="28" t="str">
        <f>"－"</f>
        <v>－</v>
      </c>
      <c r="P732" s="3" t="s">
        <v>1584</v>
      </c>
      <c r="Q732" s="26"/>
      <c r="R732" s="3" t="s">
        <v>1585</v>
      </c>
      <c r="S732" s="26" t="n">
        <f>991927</f>
        <v>991927.0</v>
      </c>
      <c r="T732" s="26" t="n">
        <f>157577</f>
        <v>157577.0</v>
      </c>
      <c r="U732" s="5" t="s">
        <v>604</v>
      </c>
      <c r="V732" s="28" t="n">
        <f>24475000</f>
        <v>2.4475E7</v>
      </c>
      <c r="W732" s="5" t="s">
        <v>399</v>
      </c>
      <c r="X732" s="28" t="str">
        <f>"－"</f>
        <v>－</v>
      </c>
      <c r="Y732" s="28" t="n">
        <f>2747</f>
        <v>2747.0</v>
      </c>
      <c r="Z732" s="26" t="str">
        <f>"－"</f>
        <v>－</v>
      </c>
      <c r="AA732" s="26" t="n">
        <f>14355</f>
        <v>14355.0</v>
      </c>
      <c r="AB732" s="4" t="s">
        <v>623</v>
      </c>
      <c r="AC732" s="27" t="n">
        <f>24936</f>
        <v>24936.0</v>
      </c>
      <c r="AD732" s="5" t="s">
        <v>90</v>
      </c>
      <c r="AE732" s="28" t="n">
        <f>242</f>
        <v>242.0</v>
      </c>
    </row>
    <row r="733">
      <c r="A733" s="20" t="s">
        <v>1543</v>
      </c>
      <c r="B733" s="21" t="s">
        <v>1544</v>
      </c>
      <c r="C733" s="22" t="s">
        <v>1132</v>
      </c>
      <c r="D733" s="23" t="s">
        <v>1133</v>
      </c>
      <c r="E733" s="24" t="s">
        <v>247</v>
      </c>
      <c r="F733" s="25" t="n">
        <f>245</f>
        <v>245.0</v>
      </c>
      <c r="G733" s="26" t="n">
        <f>203755</f>
        <v>203755.0</v>
      </c>
      <c r="H733" s="26"/>
      <c r="I733" s="26" t="n">
        <f>25586</f>
        <v>25586.0</v>
      </c>
      <c r="J733" s="26" t="n">
        <f>832</f>
        <v>832.0</v>
      </c>
      <c r="K733" s="26" t="n">
        <f>104</f>
        <v>104.0</v>
      </c>
      <c r="L733" s="4" t="s">
        <v>149</v>
      </c>
      <c r="M733" s="27" t="n">
        <f>22625</f>
        <v>22625.0</v>
      </c>
      <c r="N733" s="5" t="s">
        <v>399</v>
      </c>
      <c r="O733" s="28" t="str">
        <f>"－"</f>
        <v>－</v>
      </c>
      <c r="P733" s="3" t="s">
        <v>1586</v>
      </c>
      <c r="Q733" s="26"/>
      <c r="R733" s="3" t="s">
        <v>1587</v>
      </c>
      <c r="S733" s="26" t="n">
        <f>4491559</f>
        <v>4491559.0</v>
      </c>
      <c r="T733" s="26" t="n">
        <f>478082</f>
        <v>478082.0</v>
      </c>
      <c r="U733" s="5" t="s">
        <v>149</v>
      </c>
      <c r="V733" s="28" t="n">
        <f>206655000</f>
        <v>2.06655E8</v>
      </c>
      <c r="W733" s="5" t="s">
        <v>399</v>
      </c>
      <c r="X733" s="28" t="str">
        <f>"－"</f>
        <v>－</v>
      </c>
      <c r="Y733" s="28" t="n">
        <f>31130</f>
        <v>31130.0</v>
      </c>
      <c r="Z733" s="26" t="str">
        <f>"－"</f>
        <v>－</v>
      </c>
      <c r="AA733" s="26" t="n">
        <f>24678</f>
        <v>24678.0</v>
      </c>
      <c r="AB733" s="4" t="s">
        <v>623</v>
      </c>
      <c r="AC733" s="27" t="n">
        <f>93862</f>
        <v>93862.0</v>
      </c>
      <c r="AD733" s="5" t="s">
        <v>75</v>
      </c>
      <c r="AE733" s="28" t="n">
        <f>431</f>
        <v>431.0</v>
      </c>
    </row>
    <row r="734">
      <c r="A734" s="20" t="s">
        <v>1543</v>
      </c>
      <c r="B734" s="21" t="s">
        <v>1544</v>
      </c>
      <c r="C734" s="22" t="s">
        <v>1124</v>
      </c>
      <c r="D734" s="23" t="s">
        <v>1125</v>
      </c>
      <c r="E734" s="24" t="s">
        <v>251</v>
      </c>
      <c r="F734" s="25" t="n">
        <f>244</f>
        <v>244.0</v>
      </c>
      <c r="G734" s="26" t="n">
        <f>479951</f>
        <v>479951.0</v>
      </c>
      <c r="H734" s="26"/>
      <c r="I734" s="26" t="n">
        <f>259128</f>
        <v>259128.0</v>
      </c>
      <c r="J734" s="26" t="n">
        <f>1967</f>
        <v>1967.0</v>
      </c>
      <c r="K734" s="26" t="n">
        <f>1062</f>
        <v>1062.0</v>
      </c>
      <c r="L734" s="4" t="s">
        <v>541</v>
      </c>
      <c r="M734" s="27" t="n">
        <f>50700</f>
        <v>50700.0</v>
      </c>
      <c r="N734" s="5" t="s">
        <v>213</v>
      </c>
      <c r="O734" s="28" t="str">
        <f>"－"</f>
        <v>－</v>
      </c>
      <c r="P734" s="3" t="s">
        <v>1588</v>
      </c>
      <c r="Q734" s="26"/>
      <c r="R734" s="3" t="s">
        <v>1589</v>
      </c>
      <c r="S734" s="26" t="n">
        <f>15521816</f>
        <v>1.5521816E7</v>
      </c>
      <c r="T734" s="26" t="n">
        <f>11933205</f>
        <v>1.1933205E7</v>
      </c>
      <c r="U734" s="5" t="s">
        <v>49</v>
      </c>
      <c r="V734" s="28" t="n">
        <f>752683500</f>
        <v>7.526835E8</v>
      </c>
      <c r="W734" s="5" t="s">
        <v>213</v>
      </c>
      <c r="X734" s="28" t="str">
        <f>"－"</f>
        <v>－</v>
      </c>
      <c r="Y734" s="28" t="n">
        <f>12285</f>
        <v>12285.0</v>
      </c>
      <c r="Z734" s="26" t="n">
        <f>425</f>
        <v>425.0</v>
      </c>
      <c r="AA734" s="26" t="n">
        <f>37397</f>
        <v>37397.0</v>
      </c>
      <c r="AB734" s="4" t="s">
        <v>809</v>
      </c>
      <c r="AC734" s="27" t="n">
        <f>93622</f>
        <v>93622.0</v>
      </c>
      <c r="AD734" s="5" t="s">
        <v>213</v>
      </c>
      <c r="AE734" s="28" t="n">
        <f>13473</f>
        <v>13473.0</v>
      </c>
    </row>
    <row r="735">
      <c r="A735" s="20" t="s">
        <v>1543</v>
      </c>
      <c r="B735" s="21" t="s">
        <v>1544</v>
      </c>
      <c r="C735" s="22" t="s">
        <v>1128</v>
      </c>
      <c r="D735" s="23" t="s">
        <v>1129</v>
      </c>
      <c r="E735" s="24" t="s">
        <v>251</v>
      </c>
      <c r="F735" s="25" t="n">
        <f>244</f>
        <v>244.0</v>
      </c>
      <c r="G735" s="26" t="n">
        <f>185928</f>
        <v>185928.0</v>
      </c>
      <c r="H735" s="26"/>
      <c r="I735" s="26" t="n">
        <f>118502</f>
        <v>118502.0</v>
      </c>
      <c r="J735" s="26" t="n">
        <f>762</f>
        <v>762.0</v>
      </c>
      <c r="K735" s="26" t="n">
        <f>486</f>
        <v>486.0</v>
      </c>
      <c r="L735" s="4" t="s">
        <v>418</v>
      </c>
      <c r="M735" s="27" t="n">
        <f>22500</f>
        <v>22500.0</v>
      </c>
      <c r="N735" s="5" t="s">
        <v>213</v>
      </c>
      <c r="O735" s="28" t="str">
        <f>"－"</f>
        <v>－</v>
      </c>
      <c r="P735" s="3" t="s">
        <v>1590</v>
      </c>
      <c r="Q735" s="26"/>
      <c r="R735" s="3" t="s">
        <v>1591</v>
      </c>
      <c r="S735" s="26" t="n">
        <f>3516542</f>
        <v>3516542.0</v>
      </c>
      <c r="T735" s="26" t="n">
        <f>2375414</f>
        <v>2375414.0</v>
      </c>
      <c r="U735" s="5" t="s">
        <v>886</v>
      </c>
      <c r="V735" s="28" t="n">
        <f>66100000</f>
        <v>6.61E7</v>
      </c>
      <c r="W735" s="5" t="s">
        <v>213</v>
      </c>
      <c r="X735" s="28" t="str">
        <f>"－"</f>
        <v>－</v>
      </c>
      <c r="Y735" s="28" t="n">
        <f>35830</f>
        <v>35830.0</v>
      </c>
      <c r="Z735" s="26" t="n">
        <f>455</f>
        <v>455.0</v>
      </c>
      <c r="AA735" s="26" t="n">
        <f>8165</f>
        <v>8165.0</v>
      </c>
      <c r="AB735" s="4" t="s">
        <v>238</v>
      </c>
      <c r="AC735" s="27" t="n">
        <f>48969</f>
        <v>48969.0</v>
      </c>
      <c r="AD735" s="5" t="s">
        <v>127</v>
      </c>
      <c r="AE735" s="28" t="n">
        <f>65</f>
        <v>65.0</v>
      </c>
    </row>
    <row r="736">
      <c r="A736" s="20" t="s">
        <v>1543</v>
      </c>
      <c r="B736" s="21" t="s">
        <v>1544</v>
      </c>
      <c r="C736" s="22" t="s">
        <v>1132</v>
      </c>
      <c r="D736" s="23" t="s">
        <v>1133</v>
      </c>
      <c r="E736" s="24" t="s">
        <v>251</v>
      </c>
      <c r="F736" s="25" t="n">
        <f>244</f>
        <v>244.0</v>
      </c>
      <c r="G736" s="26" t="n">
        <f>665879</f>
        <v>665879.0</v>
      </c>
      <c r="H736" s="26"/>
      <c r="I736" s="26" t="n">
        <f>377630</f>
        <v>377630.0</v>
      </c>
      <c r="J736" s="26" t="n">
        <f>2729</f>
        <v>2729.0</v>
      </c>
      <c r="K736" s="26" t="n">
        <f>1548</f>
        <v>1548.0</v>
      </c>
      <c r="L736" s="4" t="s">
        <v>541</v>
      </c>
      <c r="M736" s="27" t="n">
        <f>51200</f>
        <v>51200.0</v>
      </c>
      <c r="N736" s="5" t="s">
        <v>213</v>
      </c>
      <c r="O736" s="28" t="str">
        <f>"－"</f>
        <v>－</v>
      </c>
      <c r="P736" s="3" t="s">
        <v>1592</v>
      </c>
      <c r="Q736" s="26"/>
      <c r="R736" s="3" t="s">
        <v>1593</v>
      </c>
      <c r="S736" s="26" t="n">
        <f>19038359</f>
        <v>1.9038359E7</v>
      </c>
      <c r="T736" s="26" t="n">
        <f>14308619</f>
        <v>1.4308619E7</v>
      </c>
      <c r="U736" s="5" t="s">
        <v>49</v>
      </c>
      <c r="V736" s="28" t="n">
        <f>755379000</f>
        <v>7.55379E8</v>
      </c>
      <c r="W736" s="5" t="s">
        <v>213</v>
      </c>
      <c r="X736" s="28" t="str">
        <f>"－"</f>
        <v>－</v>
      </c>
      <c r="Y736" s="28" t="n">
        <f>48115</f>
        <v>48115.0</v>
      </c>
      <c r="Z736" s="26" t="n">
        <f>880</f>
        <v>880.0</v>
      </c>
      <c r="AA736" s="26" t="n">
        <f>45562</f>
        <v>45562.0</v>
      </c>
      <c r="AB736" s="4" t="s">
        <v>518</v>
      </c>
      <c r="AC736" s="27" t="n">
        <f>113805</f>
        <v>113805.0</v>
      </c>
      <c r="AD736" s="5" t="s">
        <v>213</v>
      </c>
      <c r="AE736" s="28" t="n">
        <f>30978</f>
        <v>30978.0</v>
      </c>
    </row>
    <row r="737">
      <c r="A737" s="20" t="s">
        <v>1543</v>
      </c>
      <c r="B737" s="21" t="s">
        <v>1544</v>
      </c>
      <c r="C737" s="22" t="s">
        <v>1124</v>
      </c>
      <c r="D737" s="23" t="s">
        <v>1125</v>
      </c>
      <c r="E737" s="24" t="s">
        <v>255</v>
      </c>
      <c r="F737" s="25" t="n">
        <f>245</f>
        <v>245.0</v>
      </c>
      <c r="G737" s="26" t="n">
        <f>170343</f>
        <v>170343.0</v>
      </c>
      <c r="H737" s="26"/>
      <c r="I737" s="26" t="n">
        <f>161324</f>
        <v>161324.0</v>
      </c>
      <c r="J737" s="26" t="n">
        <f>695</f>
        <v>695.0</v>
      </c>
      <c r="K737" s="26" t="n">
        <f>658</f>
        <v>658.0</v>
      </c>
      <c r="L737" s="4" t="s">
        <v>234</v>
      </c>
      <c r="M737" s="27" t="n">
        <f>22950</f>
        <v>22950.0</v>
      </c>
      <c r="N737" s="5" t="s">
        <v>389</v>
      </c>
      <c r="O737" s="28" t="str">
        <f>"－"</f>
        <v>－</v>
      </c>
      <c r="P737" s="3" t="s">
        <v>1594</v>
      </c>
      <c r="Q737" s="26"/>
      <c r="R737" s="3" t="s">
        <v>1595</v>
      </c>
      <c r="S737" s="26" t="n">
        <f>11237519</f>
        <v>1.1237519E7</v>
      </c>
      <c r="T737" s="26" t="n">
        <f>10900027</f>
        <v>1.0900027E7</v>
      </c>
      <c r="U737" s="5" t="s">
        <v>99</v>
      </c>
      <c r="V737" s="28" t="n">
        <f>664760000</f>
        <v>6.6476E8</v>
      </c>
      <c r="W737" s="5" t="s">
        <v>389</v>
      </c>
      <c r="X737" s="28" t="str">
        <f>"－"</f>
        <v>－</v>
      </c>
      <c r="Y737" s="28" t="n">
        <f>5509</f>
        <v>5509.0</v>
      </c>
      <c r="Z737" s="26" t="n">
        <f>24774</f>
        <v>24774.0</v>
      </c>
      <c r="AA737" s="26" t="n">
        <f>4161</f>
        <v>4161.0</v>
      </c>
      <c r="AB737" s="4" t="s">
        <v>213</v>
      </c>
      <c r="AC737" s="27" t="n">
        <f>39647</f>
        <v>39647.0</v>
      </c>
      <c r="AD737" s="5" t="s">
        <v>162</v>
      </c>
      <c r="AE737" s="28" t="n">
        <f>133</f>
        <v>133.0</v>
      </c>
    </row>
    <row r="738">
      <c r="A738" s="20" t="s">
        <v>1543</v>
      </c>
      <c r="B738" s="21" t="s">
        <v>1544</v>
      </c>
      <c r="C738" s="22" t="s">
        <v>1128</v>
      </c>
      <c r="D738" s="23" t="s">
        <v>1129</v>
      </c>
      <c r="E738" s="24" t="s">
        <v>255</v>
      </c>
      <c r="F738" s="25" t="n">
        <f>245</f>
        <v>245.0</v>
      </c>
      <c r="G738" s="26" t="n">
        <f>894438</f>
        <v>894438.0</v>
      </c>
      <c r="H738" s="26"/>
      <c r="I738" s="26" t="n">
        <f>881220</f>
        <v>881220.0</v>
      </c>
      <c r="J738" s="26" t="n">
        <f>3651</f>
        <v>3651.0</v>
      </c>
      <c r="K738" s="26" t="n">
        <f>3597</f>
        <v>3597.0</v>
      </c>
      <c r="L738" s="4" t="s">
        <v>672</v>
      </c>
      <c r="M738" s="27" t="n">
        <f>143779</f>
        <v>143779.0</v>
      </c>
      <c r="N738" s="5" t="s">
        <v>474</v>
      </c>
      <c r="O738" s="28" t="str">
        <f>"－"</f>
        <v>－</v>
      </c>
      <c r="P738" s="3" t="s">
        <v>1596</v>
      </c>
      <c r="Q738" s="26"/>
      <c r="R738" s="3" t="s">
        <v>1597</v>
      </c>
      <c r="S738" s="26" t="n">
        <f>13720624</f>
        <v>1.3720624E7</v>
      </c>
      <c r="T738" s="26" t="n">
        <f>13358377</f>
        <v>1.3358377E7</v>
      </c>
      <c r="U738" s="5" t="s">
        <v>119</v>
      </c>
      <c r="V738" s="28" t="n">
        <f>328185000</f>
        <v>3.28185E8</v>
      </c>
      <c r="W738" s="5" t="s">
        <v>474</v>
      </c>
      <c r="X738" s="28" t="str">
        <f>"－"</f>
        <v>－</v>
      </c>
      <c r="Y738" s="28" t="n">
        <f>224477</f>
        <v>224477.0</v>
      </c>
      <c r="Z738" s="26" t="n">
        <f>491302</f>
        <v>491302.0</v>
      </c>
      <c r="AA738" s="26" t="n">
        <f>152722</f>
        <v>152722.0</v>
      </c>
      <c r="AB738" s="4" t="s">
        <v>61</v>
      </c>
      <c r="AC738" s="27" t="n">
        <f>355978</f>
        <v>355978.0</v>
      </c>
      <c r="AD738" s="5" t="s">
        <v>818</v>
      </c>
      <c r="AE738" s="28" t="n">
        <f>3317</f>
        <v>3317.0</v>
      </c>
    </row>
    <row r="739">
      <c r="A739" s="20" t="s">
        <v>1543</v>
      </c>
      <c r="B739" s="21" t="s">
        <v>1544</v>
      </c>
      <c r="C739" s="22" t="s">
        <v>1132</v>
      </c>
      <c r="D739" s="23" t="s">
        <v>1133</v>
      </c>
      <c r="E739" s="24" t="s">
        <v>255</v>
      </c>
      <c r="F739" s="25" t="n">
        <f>245</f>
        <v>245.0</v>
      </c>
      <c r="G739" s="26" t="n">
        <f>1064781</f>
        <v>1064781.0</v>
      </c>
      <c r="H739" s="26"/>
      <c r="I739" s="26" t="n">
        <f>1042544</f>
        <v>1042544.0</v>
      </c>
      <c r="J739" s="26" t="n">
        <f>4346</f>
        <v>4346.0</v>
      </c>
      <c r="K739" s="26" t="n">
        <f>4255</f>
        <v>4255.0</v>
      </c>
      <c r="L739" s="4" t="s">
        <v>672</v>
      </c>
      <c r="M739" s="27" t="n">
        <f>147021</f>
        <v>147021.0</v>
      </c>
      <c r="N739" s="5" t="s">
        <v>474</v>
      </c>
      <c r="O739" s="28" t="str">
        <f>"－"</f>
        <v>－</v>
      </c>
      <c r="P739" s="3" t="s">
        <v>1598</v>
      </c>
      <c r="Q739" s="26"/>
      <c r="R739" s="3" t="s">
        <v>1599</v>
      </c>
      <c r="S739" s="26" t="n">
        <f>24958144</f>
        <v>2.4958144E7</v>
      </c>
      <c r="T739" s="26" t="n">
        <f>24258403</f>
        <v>2.4258403E7</v>
      </c>
      <c r="U739" s="5" t="s">
        <v>99</v>
      </c>
      <c r="V739" s="28" t="n">
        <f>664760000</f>
        <v>6.6476E8</v>
      </c>
      <c r="W739" s="5" t="s">
        <v>474</v>
      </c>
      <c r="X739" s="28" t="str">
        <f>"－"</f>
        <v>－</v>
      </c>
      <c r="Y739" s="28" t="n">
        <f>229986</f>
        <v>229986.0</v>
      </c>
      <c r="Z739" s="26" t="n">
        <f>516076</f>
        <v>516076.0</v>
      </c>
      <c r="AA739" s="26" t="n">
        <f>156883</f>
        <v>156883.0</v>
      </c>
      <c r="AB739" s="4" t="s">
        <v>61</v>
      </c>
      <c r="AC739" s="27" t="n">
        <f>367349</f>
        <v>367349.0</v>
      </c>
      <c r="AD739" s="5" t="s">
        <v>818</v>
      </c>
      <c r="AE739" s="28" t="n">
        <f>15917</f>
        <v>15917.0</v>
      </c>
    </row>
    <row r="740">
      <c r="A740" s="20" t="s">
        <v>1543</v>
      </c>
      <c r="B740" s="21" t="s">
        <v>1544</v>
      </c>
      <c r="C740" s="22" t="s">
        <v>1124</v>
      </c>
      <c r="D740" s="23" t="s">
        <v>1125</v>
      </c>
      <c r="E740" s="24" t="s">
        <v>258</v>
      </c>
      <c r="F740" s="25" t="n">
        <f>246</f>
        <v>246.0</v>
      </c>
      <c r="G740" s="26" t="n">
        <f>103561</f>
        <v>103561.0</v>
      </c>
      <c r="H740" s="26"/>
      <c r="I740" s="26" t="n">
        <f>43809</f>
        <v>43809.0</v>
      </c>
      <c r="J740" s="26" t="n">
        <f>421</f>
        <v>421.0</v>
      </c>
      <c r="K740" s="26" t="n">
        <f>178</f>
        <v>178.0</v>
      </c>
      <c r="L740" s="4" t="s">
        <v>552</v>
      </c>
      <c r="M740" s="27" t="n">
        <f>5103</f>
        <v>5103.0</v>
      </c>
      <c r="N740" s="5" t="s">
        <v>455</v>
      </c>
      <c r="O740" s="28" t="str">
        <f>"－"</f>
        <v>－</v>
      </c>
      <c r="P740" s="3" t="s">
        <v>1600</v>
      </c>
      <c r="Q740" s="26"/>
      <c r="R740" s="3" t="s">
        <v>1601</v>
      </c>
      <c r="S740" s="26" t="n">
        <f>3750240</f>
        <v>3750240.0</v>
      </c>
      <c r="T740" s="26" t="n">
        <f>2319203</f>
        <v>2319203.0</v>
      </c>
      <c r="U740" s="5" t="s">
        <v>614</v>
      </c>
      <c r="V740" s="28" t="n">
        <f>63351400</f>
        <v>6.33514E7</v>
      </c>
      <c r="W740" s="5" t="s">
        <v>455</v>
      </c>
      <c r="X740" s="28" t="str">
        <f>"－"</f>
        <v>－</v>
      </c>
      <c r="Y740" s="28" t="n">
        <f>24512</f>
        <v>24512.0</v>
      </c>
      <c r="Z740" s="26" t="n">
        <f>2416</f>
        <v>2416.0</v>
      </c>
      <c r="AA740" s="26" t="n">
        <f>10392</f>
        <v>10392.0</v>
      </c>
      <c r="AB740" s="4" t="s">
        <v>164</v>
      </c>
      <c r="AC740" s="27" t="n">
        <f>17297</f>
        <v>17297.0</v>
      </c>
      <c r="AD740" s="5" t="s">
        <v>309</v>
      </c>
      <c r="AE740" s="28" t="n">
        <f>1080</f>
        <v>1080.0</v>
      </c>
    </row>
    <row r="741">
      <c r="A741" s="20" t="s">
        <v>1543</v>
      </c>
      <c r="B741" s="21" t="s">
        <v>1544</v>
      </c>
      <c r="C741" s="22" t="s">
        <v>1128</v>
      </c>
      <c r="D741" s="23" t="s">
        <v>1129</v>
      </c>
      <c r="E741" s="24" t="s">
        <v>258</v>
      </c>
      <c r="F741" s="25" t="n">
        <f>246</f>
        <v>246.0</v>
      </c>
      <c r="G741" s="26" t="n">
        <f>234249</f>
        <v>234249.0</v>
      </c>
      <c r="H741" s="26"/>
      <c r="I741" s="26" t="n">
        <f>151458</f>
        <v>151458.0</v>
      </c>
      <c r="J741" s="26" t="n">
        <f>952</f>
        <v>952.0</v>
      </c>
      <c r="K741" s="26" t="n">
        <f>616</f>
        <v>616.0</v>
      </c>
      <c r="L741" s="4" t="s">
        <v>96</v>
      </c>
      <c r="M741" s="27" t="n">
        <f>10540</f>
        <v>10540.0</v>
      </c>
      <c r="N741" s="5" t="s">
        <v>213</v>
      </c>
      <c r="O741" s="28" t="str">
        <f>"－"</f>
        <v>－</v>
      </c>
      <c r="P741" s="3" t="s">
        <v>1602</v>
      </c>
      <c r="Q741" s="26"/>
      <c r="R741" s="3" t="s">
        <v>1603</v>
      </c>
      <c r="S741" s="26" t="n">
        <f>6739278</f>
        <v>6739278.0</v>
      </c>
      <c r="T741" s="26" t="n">
        <f>4933745</f>
        <v>4933745.0</v>
      </c>
      <c r="U741" s="5" t="s">
        <v>96</v>
      </c>
      <c r="V741" s="28" t="n">
        <f>69935750</f>
        <v>6.993575E7</v>
      </c>
      <c r="W741" s="5" t="s">
        <v>213</v>
      </c>
      <c r="X741" s="28" t="str">
        <f>"－"</f>
        <v>－</v>
      </c>
      <c r="Y741" s="28" t="n">
        <f>44967</f>
        <v>44967.0</v>
      </c>
      <c r="Z741" s="26" t="n">
        <f>13648</f>
        <v>13648.0</v>
      </c>
      <c r="AA741" s="26" t="n">
        <f>25666</f>
        <v>25666.0</v>
      </c>
      <c r="AB741" s="4" t="s">
        <v>474</v>
      </c>
      <c r="AC741" s="27" t="n">
        <f>154525</f>
        <v>154525.0</v>
      </c>
      <c r="AD741" s="5" t="s">
        <v>234</v>
      </c>
      <c r="AE741" s="28" t="n">
        <f>6014</f>
        <v>6014.0</v>
      </c>
    </row>
    <row r="742">
      <c r="A742" s="20" t="s">
        <v>1543</v>
      </c>
      <c r="B742" s="21" t="s">
        <v>1544</v>
      </c>
      <c r="C742" s="22" t="s">
        <v>1132</v>
      </c>
      <c r="D742" s="23" t="s">
        <v>1133</v>
      </c>
      <c r="E742" s="24" t="s">
        <v>258</v>
      </c>
      <c r="F742" s="25" t="n">
        <f>246</f>
        <v>246.0</v>
      </c>
      <c r="G742" s="26" t="n">
        <f>337810</f>
        <v>337810.0</v>
      </c>
      <c r="H742" s="26"/>
      <c r="I742" s="26" t="n">
        <f>195267</f>
        <v>195267.0</v>
      </c>
      <c r="J742" s="26" t="n">
        <f>1373</f>
        <v>1373.0</v>
      </c>
      <c r="K742" s="26" t="n">
        <f>794</f>
        <v>794.0</v>
      </c>
      <c r="L742" s="4" t="s">
        <v>96</v>
      </c>
      <c r="M742" s="27" t="n">
        <f>10575</f>
        <v>10575.0</v>
      </c>
      <c r="N742" s="5" t="s">
        <v>302</v>
      </c>
      <c r="O742" s="28" t="str">
        <f>"－"</f>
        <v>－</v>
      </c>
      <c r="P742" s="3" t="s">
        <v>1604</v>
      </c>
      <c r="Q742" s="26"/>
      <c r="R742" s="3" t="s">
        <v>1605</v>
      </c>
      <c r="S742" s="26" t="n">
        <f>10489518</f>
        <v>1.0489518E7</v>
      </c>
      <c r="T742" s="26" t="n">
        <f>7252948</f>
        <v>7252948.0</v>
      </c>
      <c r="U742" s="5" t="s">
        <v>1251</v>
      </c>
      <c r="V742" s="28" t="n">
        <f>95384373</f>
        <v>9.5384373E7</v>
      </c>
      <c r="W742" s="5" t="s">
        <v>302</v>
      </c>
      <c r="X742" s="28" t="str">
        <f>"－"</f>
        <v>－</v>
      </c>
      <c r="Y742" s="28" t="n">
        <f>69479</f>
        <v>69479.0</v>
      </c>
      <c r="Z742" s="26" t="n">
        <f>16064</f>
        <v>16064.0</v>
      </c>
      <c r="AA742" s="26" t="n">
        <f>36058</f>
        <v>36058.0</v>
      </c>
      <c r="AB742" s="4" t="s">
        <v>474</v>
      </c>
      <c r="AC742" s="27" t="n">
        <f>158696</f>
        <v>158696.0</v>
      </c>
      <c r="AD742" s="5" t="s">
        <v>234</v>
      </c>
      <c r="AE742" s="28" t="n">
        <f>9546</f>
        <v>9546.0</v>
      </c>
    </row>
    <row r="743">
      <c r="A743" s="20" t="s">
        <v>1543</v>
      </c>
      <c r="B743" s="21" t="s">
        <v>1544</v>
      </c>
      <c r="C743" s="22" t="s">
        <v>1124</v>
      </c>
      <c r="D743" s="23" t="s">
        <v>1125</v>
      </c>
      <c r="E743" s="24" t="s">
        <v>261</v>
      </c>
      <c r="F743" s="25" t="n">
        <f>245</f>
        <v>245.0</v>
      </c>
      <c r="G743" s="26" t="n">
        <f>181647</f>
        <v>181647.0</v>
      </c>
      <c r="H743" s="26"/>
      <c r="I743" s="26" t="n">
        <f>41735</f>
        <v>41735.0</v>
      </c>
      <c r="J743" s="26" t="n">
        <f>741</f>
        <v>741.0</v>
      </c>
      <c r="K743" s="26" t="n">
        <f>170</f>
        <v>170.0</v>
      </c>
      <c r="L743" s="4" t="s">
        <v>97</v>
      </c>
      <c r="M743" s="27" t="n">
        <f>9519</f>
        <v>9519.0</v>
      </c>
      <c r="N743" s="5" t="s">
        <v>644</v>
      </c>
      <c r="O743" s="28" t="str">
        <f>"－"</f>
        <v>－</v>
      </c>
      <c r="P743" s="3" t="s">
        <v>1606</v>
      </c>
      <c r="Q743" s="26"/>
      <c r="R743" s="3" t="s">
        <v>1607</v>
      </c>
      <c r="S743" s="26" t="n">
        <f>5025731</f>
        <v>5025731.0</v>
      </c>
      <c r="T743" s="26" t="n">
        <f>928195</f>
        <v>928195.0</v>
      </c>
      <c r="U743" s="5" t="s">
        <v>531</v>
      </c>
      <c r="V743" s="28" t="n">
        <f>54835481</f>
        <v>5.4835481E7</v>
      </c>
      <c r="W743" s="5" t="s">
        <v>644</v>
      </c>
      <c r="X743" s="28" t="str">
        <f>"－"</f>
        <v>－</v>
      </c>
      <c r="Y743" s="28" t="n">
        <f>35155</f>
        <v>35155.0</v>
      </c>
      <c r="Z743" s="26" t="n">
        <f>3250</f>
        <v>3250.0</v>
      </c>
      <c r="AA743" s="26" t="n">
        <f>24886</f>
        <v>24886.0</v>
      </c>
      <c r="AB743" s="4" t="s">
        <v>1351</v>
      </c>
      <c r="AC743" s="27" t="n">
        <f>37564</f>
        <v>37564.0</v>
      </c>
      <c r="AD743" s="5" t="s">
        <v>164</v>
      </c>
      <c r="AE743" s="28" t="n">
        <f>9628</f>
        <v>9628.0</v>
      </c>
    </row>
    <row r="744">
      <c r="A744" s="20" t="s">
        <v>1543</v>
      </c>
      <c r="B744" s="21" t="s">
        <v>1544</v>
      </c>
      <c r="C744" s="22" t="s">
        <v>1128</v>
      </c>
      <c r="D744" s="23" t="s">
        <v>1129</v>
      </c>
      <c r="E744" s="24" t="s">
        <v>261</v>
      </c>
      <c r="F744" s="25" t="n">
        <f>245</f>
        <v>245.0</v>
      </c>
      <c r="G744" s="26" t="n">
        <f>380859</f>
        <v>380859.0</v>
      </c>
      <c r="H744" s="26"/>
      <c r="I744" s="26" t="n">
        <f>205432</f>
        <v>205432.0</v>
      </c>
      <c r="J744" s="26" t="n">
        <f>1555</f>
        <v>1555.0</v>
      </c>
      <c r="K744" s="26" t="n">
        <f>838</f>
        <v>838.0</v>
      </c>
      <c r="L744" s="4" t="s">
        <v>182</v>
      </c>
      <c r="M744" s="27" t="n">
        <f>72030</f>
        <v>72030.0</v>
      </c>
      <c r="N744" s="5" t="s">
        <v>123</v>
      </c>
      <c r="O744" s="28" t="str">
        <f>"－"</f>
        <v>－</v>
      </c>
      <c r="P744" s="3" t="s">
        <v>1608</v>
      </c>
      <c r="Q744" s="26"/>
      <c r="R744" s="3" t="s">
        <v>1609</v>
      </c>
      <c r="S744" s="26" t="n">
        <f>10674198</f>
        <v>1.0674198E7</v>
      </c>
      <c r="T744" s="26" t="n">
        <f>5298452</f>
        <v>5298452.0</v>
      </c>
      <c r="U744" s="5" t="s">
        <v>164</v>
      </c>
      <c r="V744" s="28" t="n">
        <f>161544000</f>
        <v>1.61544E8</v>
      </c>
      <c r="W744" s="5" t="s">
        <v>123</v>
      </c>
      <c r="X744" s="28" t="str">
        <f>"－"</f>
        <v>－</v>
      </c>
      <c r="Y744" s="28" t="n">
        <f>87179</f>
        <v>87179.0</v>
      </c>
      <c r="Z744" s="26" t="n">
        <f>58345</f>
        <v>58345.0</v>
      </c>
      <c r="AA744" s="26" t="n">
        <f>100071</f>
        <v>100071.0</v>
      </c>
      <c r="AB744" s="4" t="s">
        <v>926</v>
      </c>
      <c r="AC744" s="27" t="n">
        <f>100071</f>
        <v>100071.0</v>
      </c>
      <c r="AD744" s="5" t="s">
        <v>69</v>
      </c>
      <c r="AE744" s="28" t="n">
        <f>16961</f>
        <v>16961.0</v>
      </c>
    </row>
    <row r="745">
      <c r="A745" s="20" t="s">
        <v>1543</v>
      </c>
      <c r="B745" s="21" t="s">
        <v>1544</v>
      </c>
      <c r="C745" s="22" t="s">
        <v>1132</v>
      </c>
      <c r="D745" s="23" t="s">
        <v>1133</v>
      </c>
      <c r="E745" s="24" t="s">
        <v>261</v>
      </c>
      <c r="F745" s="25" t="n">
        <f>245</f>
        <v>245.0</v>
      </c>
      <c r="G745" s="26" t="n">
        <f>562506</f>
        <v>562506.0</v>
      </c>
      <c r="H745" s="26"/>
      <c r="I745" s="26" t="n">
        <f>247167</f>
        <v>247167.0</v>
      </c>
      <c r="J745" s="26" t="n">
        <f>2296</f>
        <v>2296.0</v>
      </c>
      <c r="K745" s="26" t="n">
        <f>1009</f>
        <v>1009.0</v>
      </c>
      <c r="L745" s="4" t="s">
        <v>182</v>
      </c>
      <c r="M745" s="27" t="n">
        <f>74573</f>
        <v>74573.0</v>
      </c>
      <c r="N745" s="5" t="s">
        <v>191</v>
      </c>
      <c r="O745" s="28" t="str">
        <f>"－"</f>
        <v>－</v>
      </c>
      <c r="P745" s="3" t="s">
        <v>1610</v>
      </c>
      <c r="Q745" s="26"/>
      <c r="R745" s="3" t="s">
        <v>1611</v>
      </c>
      <c r="S745" s="26" t="n">
        <f>15699929</f>
        <v>1.5699929E7</v>
      </c>
      <c r="T745" s="26" t="n">
        <f>6226646</f>
        <v>6226646.0</v>
      </c>
      <c r="U745" s="5" t="s">
        <v>182</v>
      </c>
      <c r="V745" s="28" t="n">
        <f>186285570</f>
        <v>1.8628557E8</v>
      </c>
      <c r="W745" s="5" t="s">
        <v>191</v>
      </c>
      <c r="X745" s="28" t="str">
        <f>"－"</f>
        <v>－</v>
      </c>
      <c r="Y745" s="28" t="n">
        <f>122334</f>
        <v>122334.0</v>
      </c>
      <c r="Z745" s="26" t="n">
        <f>61595</f>
        <v>61595.0</v>
      </c>
      <c r="AA745" s="26" t="n">
        <f>124957</f>
        <v>124957.0</v>
      </c>
      <c r="AB745" s="4" t="s">
        <v>926</v>
      </c>
      <c r="AC745" s="27" t="n">
        <f>124957</f>
        <v>124957.0</v>
      </c>
      <c r="AD745" s="5" t="s">
        <v>69</v>
      </c>
      <c r="AE745" s="28" t="n">
        <f>30629</f>
        <v>30629.0</v>
      </c>
    </row>
    <row r="746">
      <c r="A746" s="20" t="s">
        <v>1543</v>
      </c>
      <c r="B746" s="21" t="s">
        <v>1544</v>
      </c>
      <c r="C746" s="22" t="s">
        <v>1124</v>
      </c>
      <c r="D746" s="23" t="s">
        <v>1125</v>
      </c>
      <c r="E746" s="24" t="s">
        <v>265</v>
      </c>
      <c r="F746" s="25" t="n">
        <f>245</f>
        <v>245.0</v>
      </c>
      <c r="G746" s="26" t="n">
        <f>554256</f>
        <v>554256.0</v>
      </c>
      <c r="H746" s="26"/>
      <c r="I746" s="26" t="n">
        <f>301540</f>
        <v>301540.0</v>
      </c>
      <c r="J746" s="26" t="n">
        <f>2262</f>
        <v>2262.0</v>
      </c>
      <c r="K746" s="26" t="n">
        <f>1231</f>
        <v>1231.0</v>
      </c>
      <c r="L746" s="4" t="s">
        <v>441</v>
      </c>
      <c r="M746" s="27" t="n">
        <f>17204</f>
        <v>17204.0</v>
      </c>
      <c r="N746" s="5" t="s">
        <v>327</v>
      </c>
      <c r="O746" s="28" t="n">
        <f>50</f>
        <v>50.0</v>
      </c>
      <c r="P746" s="3" t="s">
        <v>1612</v>
      </c>
      <c r="Q746" s="26"/>
      <c r="R746" s="3" t="s">
        <v>1613</v>
      </c>
      <c r="S746" s="26" t="n">
        <f>19033549</f>
        <v>1.9033549E7</v>
      </c>
      <c r="T746" s="26" t="n">
        <f>10288049</f>
        <v>1.0288049E7</v>
      </c>
      <c r="U746" s="5" t="s">
        <v>804</v>
      </c>
      <c r="V746" s="28" t="n">
        <f>231753780</f>
        <v>2.3175378E8</v>
      </c>
      <c r="W746" s="5" t="s">
        <v>668</v>
      </c>
      <c r="X746" s="28" t="n">
        <f>275000</f>
        <v>275000.0</v>
      </c>
      <c r="Y746" s="28" t="n">
        <f>70262</f>
        <v>70262.0</v>
      </c>
      <c r="Z746" s="26" t="n">
        <f>54932</f>
        <v>54932.0</v>
      </c>
      <c r="AA746" s="26" t="n">
        <f>36184</f>
        <v>36184.0</v>
      </c>
      <c r="AB746" s="4" t="s">
        <v>243</v>
      </c>
      <c r="AC746" s="27" t="n">
        <f>83268</f>
        <v>83268.0</v>
      </c>
      <c r="AD746" s="5" t="s">
        <v>85</v>
      </c>
      <c r="AE746" s="28" t="n">
        <f>19089</f>
        <v>19089.0</v>
      </c>
    </row>
    <row r="747">
      <c r="A747" s="20" t="s">
        <v>1543</v>
      </c>
      <c r="B747" s="21" t="s">
        <v>1544</v>
      </c>
      <c r="C747" s="22" t="s">
        <v>1128</v>
      </c>
      <c r="D747" s="23" t="s">
        <v>1129</v>
      </c>
      <c r="E747" s="24" t="s">
        <v>265</v>
      </c>
      <c r="F747" s="25" t="n">
        <f>245</f>
        <v>245.0</v>
      </c>
      <c r="G747" s="26" t="n">
        <f>713555</f>
        <v>713555.0</v>
      </c>
      <c r="H747" s="26"/>
      <c r="I747" s="26" t="n">
        <f>426025</f>
        <v>426025.0</v>
      </c>
      <c r="J747" s="26" t="n">
        <f>2912</f>
        <v>2912.0</v>
      </c>
      <c r="K747" s="26" t="n">
        <f>1739</f>
        <v>1739.0</v>
      </c>
      <c r="L747" s="4" t="s">
        <v>902</v>
      </c>
      <c r="M747" s="27" t="n">
        <f>57503</f>
        <v>57503.0</v>
      </c>
      <c r="N747" s="5" t="s">
        <v>571</v>
      </c>
      <c r="O747" s="28" t="n">
        <f>1</f>
        <v>1.0</v>
      </c>
      <c r="P747" s="3" t="s">
        <v>1614</v>
      </c>
      <c r="Q747" s="26"/>
      <c r="R747" s="3" t="s">
        <v>1615</v>
      </c>
      <c r="S747" s="26" t="n">
        <f>23373313</f>
        <v>2.3373313E7</v>
      </c>
      <c r="T747" s="26" t="n">
        <f>13969110</f>
        <v>1.396911E7</v>
      </c>
      <c r="U747" s="5" t="s">
        <v>395</v>
      </c>
      <c r="V747" s="28" t="n">
        <f>344758500</f>
        <v>3.447585E8</v>
      </c>
      <c r="W747" s="5" t="s">
        <v>571</v>
      </c>
      <c r="X747" s="28" t="n">
        <f>11500</f>
        <v>11500.0</v>
      </c>
      <c r="Y747" s="28" t="n">
        <f>131526</f>
        <v>131526.0</v>
      </c>
      <c r="Z747" s="26" t="n">
        <f>61759</f>
        <v>61759.0</v>
      </c>
      <c r="AA747" s="26" t="n">
        <f>50558</f>
        <v>50558.0</v>
      </c>
      <c r="AB747" s="4" t="s">
        <v>217</v>
      </c>
      <c r="AC747" s="27" t="n">
        <f>188658</f>
        <v>188658.0</v>
      </c>
      <c r="AD747" s="5" t="s">
        <v>85</v>
      </c>
      <c r="AE747" s="28" t="n">
        <f>28852</f>
        <v>28852.0</v>
      </c>
    </row>
    <row r="748">
      <c r="A748" s="20" t="s">
        <v>1543</v>
      </c>
      <c r="B748" s="21" t="s">
        <v>1544</v>
      </c>
      <c r="C748" s="22" t="s">
        <v>1132</v>
      </c>
      <c r="D748" s="23" t="s">
        <v>1133</v>
      </c>
      <c r="E748" s="24" t="s">
        <v>265</v>
      </c>
      <c r="F748" s="25" t="n">
        <f>245</f>
        <v>245.0</v>
      </c>
      <c r="G748" s="26" t="n">
        <f>1267811</f>
        <v>1267811.0</v>
      </c>
      <c r="H748" s="26"/>
      <c r="I748" s="26" t="n">
        <f>727565</f>
        <v>727565.0</v>
      </c>
      <c r="J748" s="26" t="n">
        <f>5175</f>
        <v>5175.0</v>
      </c>
      <c r="K748" s="26" t="n">
        <f>2970</f>
        <v>2970.0</v>
      </c>
      <c r="L748" s="4" t="s">
        <v>902</v>
      </c>
      <c r="M748" s="27" t="n">
        <f>57655</f>
        <v>57655.0</v>
      </c>
      <c r="N748" s="5" t="s">
        <v>327</v>
      </c>
      <c r="O748" s="28" t="n">
        <f>80</f>
        <v>80.0</v>
      </c>
      <c r="P748" s="3" t="s">
        <v>1616</v>
      </c>
      <c r="Q748" s="26"/>
      <c r="R748" s="3" t="s">
        <v>1617</v>
      </c>
      <c r="S748" s="26" t="n">
        <f>42406862</f>
        <v>4.2406862E7</v>
      </c>
      <c r="T748" s="26" t="n">
        <f>24257159</f>
        <v>2.4257159E7</v>
      </c>
      <c r="U748" s="5" t="s">
        <v>395</v>
      </c>
      <c r="V748" s="28" t="n">
        <f>346905300</f>
        <v>3.469053E8</v>
      </c>
      <c r="W748" s="5" t="s">
        <v>1492</v>
      </c>
      <c r="X748" s="28" t="n">
        <f>552280</f>
        <v>552280.0</v>
      </c>
      <c r="Y748" s="28" t="n">
        <f>201788</f>
        <v>201788.0</v>
      </c>
      <c r="Z748" s="26" t="n">
        <f>116691</f>
        <v>116691.0</v>
      </c>
      <c r="AA748" s="26" t="n">
        <f>86742</f>
        <v>86742.0</v>
      </c>
      <c r="AB748" s="4" t="s">
        <v>541</v>
      </c>
      <c r="AC748" s="27" t="n">
        <f>230441</f>
        <v>230441.0</v>
      </c>
      <c r="AD748" s="5" t="s">
        <v>85</v>
      </c>
      <c r="AE748" s="28" t="n">
        <f>47941</f>
        <v>47941.0</v>
      </c>
    </row>
    <row r="749">
      <c r="A749" s="20" t="s">
        <v>1543</v>
      </c>
      <c r="B749" s="21" t="s">
        <v>1544</v>
      </c>
      <c r="C749" s="22" t="s">
        <v>1124</v>
      </c>
      <c r="D749" s="23" t="s">
        <v>1125</v>
      </c>
      <c r="E749" s="24" t="s">
        <v>48</v>
      </c>
      <c r="F749" s="25" t="n">
        <f>246</f>
        <v>246.0</v>
      </c>
      <c r="G749" s="26" t="n">
        <f>396293</f>
        <v>396293.0</v>
      </c>
      <c r="H749" s="26"/>
      <c r="I749" s="26" t="n">
        <f>257439</f>
        <v>257439.0</v>
      </c>
      <c r="J749" s="26" t="n">
        <f>1611</f>
        <v>1611.0</v>
      </c>
      <c r="K749" s="26" t="n">
        <f>1047</f>
        <v>1047.0</v>
      </c>
      <c r="L749" s="4" t="s">
        <v>637</v>
      </c>
      <c r="M749" s="27" t="n">
        <f>21506</f>
        <v>21506.0</v>
      </c>
      <c r="N749" s="5" t="s">
        <v>488</v>
      </c>
      <c r="O749" s="28" t="str">
        <f>"－"</f>
        <v>－</v>
      </c>
      <c r="P749" s="3" t="s">
        <v>1618</v>
      </c>
      <c r="Q749" s="26"/>
      <c r="R749" s="3" t="s">
        <v>1619</v>
      </c>
      <c r="S749" s="26" t="n">
        <f>14521064</f>
        <v>1.4521064E7</v>
      </c>
      <c r="T749" s="26" t="n">
        <f>10966774</f>
        <v>1.0966774E7</v>
      </c>
      <c r="U749" s="5" t="s">
        <v>521</v>
      </c>
      <c r="V749" s="28" t="n">
        <f>294111100</f>
        <v>2.941111E8</v>
      </c>
      <c r="W749" s="5" t="s">
        <v>488</v>
      </c>
      <c r="X749" s="28" t="str">
        <f>"－"</f>
        <v>－</v>
      </c>
      <c r="Y749" s="28" t="n">
        <f>44372</f>
        <v>44372.0</v>
      </c>
      <c r="Z749" s="26" t="n">
        <f>36552</f>
        <v>36552.0</v>
      </c>
      <c r="AA749" s="26" t="n">
        <f>43889</f>
        <v>43889.0</v>
      </c>
      <c r="AB749" s="4" t="s">
        <v>162</v>
      </c>
      <c r="AC749" s="27" t="n">
        <f>100908</f>
        <v>100908.0</v>
      </c>
      <c r="AD749" s="5" t="s">
        <v>90</v>
      </c>
      <c r="AE749" s="28" t="n">
        <f>18842</f>
        <v>18842.0</v>
      </c>
    </row>
    <row r="750">
      <c r="A750" s="20" t="s">
        <v>1543</v>
      </c>
      <c r="B750" s="21" t="s">
        <v>1544</v>
      </c>
      <c r="C750" s="22" t="s">
        <v>1128</v>
      </c>
      <c r="D750" s="23" t="s">
        <v>1129</v>
      </c>
      <c r="E750" s="24" t="s">
        <v>48</v>
      </c>
      <c r="F750" s="25" t="n">
        <f>246</f>
        <v>246.0</v>
      </c>
      <c r="G750" s="26" t="n">
        <f>432163</f>
        <v>432163.0</v>
      </c>
      <c r="H750" s="26"/>
      <c r="I750" s="26" t="n">
        <f>301322</f>
        <v>301322.0</v>
      </c>
      <c r="J750" s="26" t="n">
        <f>1757</f>
        <v>1757.0</v>
      </c>
      <c r="K750" s="26" t="n">
        <f>1225</f>
        <v>1225.0</v>
      </c>
      <c r="L750" s="4" t="s">
        <v>297</v>
      </c>
      <c r="M750" s="27" t="n">
        <f>45454</f>
        <v>45454.0</v>
      </c>
      <c r="N750" s="5" t="s">
        <v>175</v>
      </c>
      <c r="O750" s="28" t="str">
        <f>"－"</f>
        <v>－</v>
      </c>
      <c r="P750" s="3" t="s">
        <v>1620</v>
      </c>
      <c r="Q750" s="26"/>
      <c r="R750" s="3" t="s">
        <v>1621</v>
      </c>
      <c r="S750" s="26" t="n">
        <f>19332787</f>
        <v>1.9332787E7</v>
      </c>
      <c r="T750" s="26" t="n">
        <f>15530727</f>
        <v>1.5530727E7</v>
      </c>
      <c r="U750" s="5" t="s">
        <v>659</v>
      </c>
      <c r="V750" s="28" t="n">
        <f>387856000</f>
        <v>3.87856E8</v>
      </c>
      <c r="W750" s="5" t="s">
        <v>175</v>
      </c>
      <c r="X750" s="28" t="str">
        <f>"－"</f>
        <v>－</v>
      </c>
      <c r="Y750" s="28" t="n">
        <f>135355</f>
        <v>135355.0</v>
      </c>
      <c r="Z750" s="26" t="n">
        <f>53558</f>
        <v>53558.0</v>
      </c>
      <c r="AA750" s="26" t="n">
        <f>50062</f>
        <v>50062.0</v>
      </c>
      <c r="AB750" s="4" t="s">
        <v>49</v>
      </c>
      <c r="AC750" s="27" t="n">
        <f>131325</f>
        <v>131325.0</v>
      </c>
      <c r="AD750" s="5" t="s">
        <v>932</v>
      </c>
      <c r="AE750" s="28" t="n">
        <f>22692</f>
        <v>22692.0</v>
      </c>
    </row>
    <row r="751">
      <c r="A751" s="20" t="s">
        <v>1543</v>
      </c>
      <c r="B751" s="21" t="s">
        <v>1544</v>
      </c>
      <c r="C751" s="22" t="s">
        <v>1132</v>
      </c>
      <c r="D751" s="23" t="s">
        <v>1133</v>
      </c>
      <c r="E751" s="24" t="s">
        <v>48</v>
      </c>
      <c r="F751" s="25" t="n">
        <f>246</f>
        <v>246.0</v>
      </c>
      <c r="G751" s="26" t="n">
        <f>828456</f>
        <v>828456.0</v>
      </c>
      <c r="H751" s="26"/>
      <c r="I751" s="26" t="n">
        <f>558761</f>
        <v>558761.0</v>
      </c>
      <c r="J751" s="26" t="n">
        <f>3368</f>
        <v>3368.0</v>
      </c>
      <c r="K751" s="26" t="n">
        <f>2271</f>
        <v>2271.0</v>
      </c>
      <c r="L751" s="4" t="s">
        <v>297</v>
      </c>
      <c r="M751" s="27" t="n">
        <f>52890</f>
        <v>52890.0</v>
      </c>
      <c r="N751" s="5" t="s">
        <v>488</v>
      </c>
      <c r="O751" s="28" t="str">
        <f>"－"</f>
        <v>－</v>
      </c>
      <c r="P751" s="3" t="s">
        <v>1622</v>
      </c>
      <c r="Q751" s="26"/>
      <c r="R751" s="3" t="s">
        <v>1623</v>
      </c>
      <c r="S751" s="26" t="n">
        <f>33853850</f>
        <v>3.385385E7</v>
      </c>
      <c r="T751" s="26" t="n">
        <f>26497501</f>
        <v>2.6497501E7</v>
      </c>
      <c r="U751" s="5" t="s">
        <v>521</v>
      </c>
      <c r="V751" s="28" t="n">
        <f>472002100</f>
        <v>4.720021E8</v>
      </c>
      <c r="W751" s="5" t="s">
        <v>488</v>
      </c>
      <c r="X751" s="28" t="str">
        <f>"－"</f>
        <v>－</v>
      </c>
      <c r="Y751" s="28" t="n">
        <f>179727</f>
        <v>179727.0</v>
      </c>
      <c r="Z751" s="26" t="n">
        <f>90110</f>
        <v>90110.0</v>
      </c>
      <c r="AA751" s="26" t="n">
        <f>93951</f>
        <v>93951.0</v>
      </c>
      <c r="AB751" s="4" t="s">
        <v>49</v>
      </c>
      <c r="AC751" s="27" t="n">
        <f>232233</f>
        <v>232233.0</v>
      </c>
      <c r="AD751" s="5" t="s">
        <v>90</v>
      </c>
      <c r="AE751" s="28" t="n">
        <f>42036</f>
        <v>42036.0</v>
      </c>
    </row>
    <row r="752">
      <c r="A752" s="20" t="s">
        <v>1543</v>
      </c>
      <c r="B752" s="21" t="s">
        <v>1544</v>
      </c>
      <c r="C752" s="22" t="s">
        <v>1124</v>
      </c>
      <c r="D752" s="23" t="s">
        <v>1125</v>
      </c>
      <c r="E752" s="24" t="s">
        <v>56</v>
      </c>
      <c r="F752" s="25" t="n">
        <f>245</f>
        <v>245.0</v>
      </c>
      <c r="G752" s="26" t="n">
        <f>353169</f>
        <v>353169.0</v>
      </c>
      <c r="H752" s="26"/>
      <c r="I752" s="26" t="n">
        <f>288430</f>
        <v>288430.0</v>
      </c>
      <c r="J752" s="26" t="n">
        <f>1442</f>
        <v>1442.0</v>
      </c>
      <c r="K752" s="26" t="n">
        <f>1177</f>
        <v>1177.0</v>
      </c>
      <c r="L752" s="4" t="s">
        <v>191</v>
      </c>
      <c r="M752" s="27" t="n">
        <f>20848</f>
        <v>20848.0</v>
      </c>
      <c r="N752" s="5" t="s">
        <v>947</v>
      </c>
      <c r="O752" s="28" t="str">
        <f>"－"</f>
        <v>－</v>
      </c>
      <c r="P752" s="3" t="s">
        <v>1624</v>
      </c>
      <c r="Q752" s="26"/>
      <c r="R752" s="3" t="s">
        <v>1625</v>
      </c>
      <c r="S752" s="26" t="n">
        <f>15067355</f>
        <v>1.5067355E7</v>
      </c>
      <c r="T752" s="26" t="n">
        <f>12939521</f>
        <v>1.2939521E7</v>
      </c>
      <c r="U752" s="5" t="s">
        <v>623</v>
      </c>
      <c r="V752" s="28" t="n">
        <f>281890260</f>
        <v>2.8189026E8</v>
      </c>
      <c r="W752" s="5" t="s">
        <v>947</v>
      </c>
      <c r="X752" s="28" t="str">
        <f>"－"</f>
        <v>－</v>
      </c>
      <c r="Y752" s="28" t="n">
        <f>92868</f>
        <v>92868.0</v>
      </c>
      <c r="Z752" s="26" t="n">
        <f>104409</f>
        <v>104409.0</v>
      </c>
      <c r="AA752" s="26" t="n">
        <f>28721</f>
        <v>28721.0</v>
      </c>
      <c r="AB752" s="4" t="s">
        <v>234</v>
      </c>
      <c r="AC752" s="27" t="n">
        <f>74895</f>
        <v>74895.0</v>
      </c>
      <c r="AD752" s="5" t="s">
        <v>127</v>
      </c>
      <c r="AE752" s="28" t="n">
        <f>19915</f>
        <v>19915.0</v>
      </c>
    </row>
    <row r="753">
      <c r="A753" s="20" t="s">
        <v>1543</v>
      </c>
      <c r="B753" s="21" t="s">
        <v>1544</v>
      </c>
      <c r="C753" s="22" t="s">
        <v>1128</v>
      </c>
      <c r="D753" s="23" t="s">
        <v>1129</v>
      </c>
      <c r="E753" s="24" t="s">
        <v>56</v>
      </c>
      <c r="F753" s="25" t="n">
        <f>245</f>
        <v>245.0</v>
      </c>
      <c r="G753" s="26" t="n">
        <f>503399</f>
        <v>503399.0</v>
      </c>
      <c r="H753" s="26"/>
      <c r="I753" s="26" t="n">
        <f>430135</f>
        <v>430135.0</v>
      </c>
      <c r="J753" s="26" t="n">
        <f>2055</f>
        <v>2055.0</v>
      </c>
      <c r="K753" s="26" t="n">
        <f>1756</f>
        <v>1756.0</v>
      </c>
      <c r="L753" s="4" t="s">
        <v>1102</v>
      </c>
      <c r="M753" s="27" t="n">
        <f>69472</f>
        <v>69472.0</v>
      </c>
      <c r="N753" s="5" t="s">
        <v>704</v>
      </c>
      <c r="O753" s="28" t="str">
        <f>"－"</f>
        <v>－</v>
      </c>
      <c r="P753" s="3" t="s">
        <v>1626</v>
      </c>
      <c r="Q753" s="26"/>
      <c r="R753" s="3" t="s">
        <v>1627</v>
      </c>
      <c r="S753" s="26" t="n">
        <f>12242893</f>
        <v>1.2242893E7</v>
      </c>
      <c r="T753" s="26" t="n">
        <f>10074812</f>
        <v>1.0074812E7</v>
      </c>
      <c r="U753" s="5" t="s">
        <v>577</v>
      </c>
      <c r="V753" s="28" t="n">
        <f>162643700</f>
        <v>1.626437E8</v>
      </c>
      <c r="W753" s="5" t="s">
        <v>704</v>
      </c>
      <c r="X753" s="28" t="str">
        <f>"－"</f>
        <v>－</v>
      </c>
      <c r="Y753" s="28" t="n">
        <f>74695</f>
        <v>74695.0</v>
      </c>
      <c r="Z753" s="26" t="n">
        <f>257488</f>
        <v>257488.0</v>
      </c>
      <c r="AA753" s="26" t="n">
        <f>18393</f>
        <v>18393.0</v>
      </c>
      <c r="AB753" s="4" t="s">
        <v>560</v>
      </c>
      <c r="AC753" s="27" t="n">
        <f>115719</f>
        <v>115719.0</v>
      </c>
      <c r="AD753" s="5" t="s">
        <v>49</v>
      </c>
      <c r="AE753" s="28" t="n">
        <f>13153</f>
        <v>13153.0</v>
      </c>
    </row>
    <row r="754">
      <c r="A754" s="20" t="s">
        <v>1543</v>
      </c>
      <c r="B754" s="21" t="s">
        <v>1544</v>
      </c>
      <c r="C754" s="22" t="s">
        <v>1132</v>
      </c>
      <c r="D754" s="23" t="s">
        <v>1133</v>
      </c>
      <c r="E754" s="24" t="s">
        <v>56</v>
      </c>
      <c r="F754" s="25" t="n">
        <f>245</f>
        <v>245.0</v>
      </c>
      <c r="G754" s="26" t="n">
        <f>856568</f>
        <v>856568.0</v>
      </c>
      <c r="H754" s="26"/>
      <c r="I754" s="26" t="n">
        <f>718565</f>
        <v>718565.0</v>
      </c>
      <c r="J754" s="26" t="n">
        <f>3496</f>
        <v>3496.0</v>
      </c>
      <c r="K754" s="26" t="n">
        <f>2933</f>
        <v>2933.0</v>
      </c>
      <c r="L754" s="4" t="s">
        <v>1102</v>
      </c>
      <c r="M754" s="27" t="n">
        <f>70024</f>
        <v>70024.0</v>
      </c>
      <c r="N754" s="5" t="s">
        <v>957</v>
      </c>
      <c r="O754" s="28" t="str">
        <f>"－"</f>
        <v>－</v>
      </c>
      <c r="P754" s="3" t="s">
        <v>1628</v>
      </c>
      <c r="Q754" s="26"/>
      <c r="R754" s="3" t="s">
        <v>1629</v>
      </c>
      <c r="S754" s="26" t="n">
        <f>27310249</f>
        <v>2.7310249E7</v>
      </c>
      <c r="T754" s="26" t="n">
        <f>23014333</f>
        <v>2.3014333E7</v>
      </c>
      <c r="U754" s="5" t="s">
        <v>577</v>
      </c>
      <c r="V754" s="28" t="n">
        <f>327976700</f>
        <v>3.279767E8</v>
      </c>
      <c r="W754" s="5" t="s">
        <v>957</v>
      </c>
      <c r="X754" s="28" t="str">
        <f>"－"</f>
        <v>－</v>
      </c>
      <c r="Y754" s="28" t="n">
        <f>167563</f>
        <v>167563.0</v>
      </c>
      <c r="Z754" s="26" t="n">
        <f>361897</f>
        <v>361897.0</v>
      </c>
      <c r="AA754" s="26" t="n">
        <f>47114</f>
        <v>47114.0</v>
      </c>
      <c r="AB754" s="4" t="s">
        <v>560</v>
      </c>
      <c r="AC754" s="27" t="n">
        <f>175730</f>
        <v>175730.0</v>
      </c>
      <c r="AD754" s="5" t="s">
        <v>960</v>
      </c>
      <c r="AE754" s="28" t="n">
        <f>37008</f>
        <v>37008.0</v>
      </c>
    </row>
    <row r="755">
      <c r="A755" s="20" t="s">
        <v>1543</v>
      </c>
      <c r="B755" s="21" t="s">
        <v>1544</v>
      </c>
      <c r="C755" s="22" t="s">
        <v>1124</v>
      </c>
      <c r="D755" s="23" t="s">
        <v>1125</v>
      </c>
      <c r="E755" s="24" t="s">
        <v>63</v>
      </c>
      <c r="F755" s="25" t="n">
        <f>245</f>
        <v>245.0</v>
      </c>
      <c r="G755" s="26" t="n">
        <f>390002</f>
        <v>390002.0</v>
      </c>
      <c r="H755" s="26"/>
      <c r="I755" s="26" t="n">
        <f>347054</f>
        <v>347054.0</v>
      </c>
      <c r="J755" s="26" t="n">
        <f>1592</f>
        <v>1592.0</v>
      </c>
      <c r="K755" s="26" t="n">
        <f>1417</f>
        <v>1417.0</v>
      </c>
      <c r="L755" s="4" t="s">
        <v>622</v>
      </c>
      <c r="M755" s="27" t="n">
        <f>7714</f>
        <v>7714.0</v>
      </c>
      <c r="N755" s="5" t="s">
        <v>715</v>
      </c>
      <c r="O755" s="28" t="str">
        <f>"－"</f>
        <v>－</v>
      </c>
      <c r="P755" s="3" t="s">
        <v>1630</v>
      </c>
      <c r="Q755" s="26"/>
      <c r="R755" s="3" t="s">
        <v>1631</v>
      </c>
      <c r="S755" s="26" t="n">
        <f>12683928</f>
        <v>1.2683928E7</v>
      </c>
      <c r="T755" s="26" t="n">
        <f>11456354</f>
        <v>1.1456354E7</v>
      </c>
      <c r="U755" s="5" t="s">
        <v>662</v>
      </c>
      <c r="V755" s="28" t="n">
        <f>206251300</f>
        <v>2.062513E8</v>
      </c>
      <c r="W755" s="5" t="s">
        <v>715</v>
      </c>
      <c r="X755" s="28" t="str">
        <f>"－"</f>
        <v>－</v>
      </c>
      <c r="Y755" s="28" t="n">
        <f>32604</f>
        <v>32604.0</v>
      </c>
      <c r="Z755" s="26" t="n">
        <f>40940</f>
        <v>40940.0</v>
      </c>
      <c r="AA755" s="26" t="n">
        <f>18065</f>
        <v>18065.0</v>
      </c>
      <c r="AB755" s="4" t="s">
        <v>1037</v>
      </c>
      <c r="AC755" s="27" t="n">
        <f>41671</f>
        <v>41671.0</v>
      </c>
      <c r="AD755" s="5" t="s">
        <v>594</v>
      </c>
      <c r="AE755" s="28" t="n">
        <f>6886</f>
        <v>6886.0</v>
      </c>
    </row>
    <row r="756">
      <c r="A756" s="20" t="s">
        <v>1543</v>
      </c>
      <c r="B756" s="21" t="s">
        <v>1544</v>
      </c>
      <c r="C756" s="22" t="s">
        <v>1128</v>
      </c>
      <c r="D756" s="23" t="s">
        <v>1129</v>
      </c>
      <c r="E756" s="24" t="s">
        <v>63</v>
      </c>
      <c r="F756" s="25" t="n">
        <f>245</f>
        <v>245.0</v>
      </c>
      <c r="G756" s="26" t="n">
        <f>559900</f>
        <v>559900.0</v>
      </c>
      <c r="H756" s="26"/>
      <c r="I756" s="26" t="n">
        <f>502413</f>
        <v>502413.0</v>
      </c>
      <c r="J756" s="26" t="n">
        <f>2285</f>
        <v>2285.0</v>
      </c>
      <c r="K756" s="26" t="n">
        <f>2051</f>
        <v>2051.0</v>
      </c>
      <c r="L756" s="4" t="s">
        <v>1394</v>
      </c>
      <c r="M756" s="27" t="n">
        <f>38154</f>
        <v>38154.0</v>
      </c>
      <c r="N756" s="5" t="s">
        <v>403</v>
      </c>
      <c r="O756" s="28" t="str">
        <f>"－"</f>
        <v>－</v>
      </c>
      <c r="P756" s="3" t="s">
        <v>1632</v>
      </c>
      <c r="Q756" s="26"/>
      <c r="R756" s="3" t="s">
        <v>1633</v>
      </c>
      <c r="S756" s="26" t="n">
        <f>13566409</f>
        <v>1.3566409E7</v>
      </c>
      <c r="T756" s="26" t="n">
        <f>11975726</f>
        <v>1.1975726E7</v>
      </c>
      <c r="U756" s="5" t="s">
        <v>231</v>
      </c>
      <c r="V756" s="28" t="n">
        <f>243267670</f>
        <v>2.4326767E8</v>
      </c>
      <c r="W756" s="5" t="s">
        <v>403</v>
      </c>
      <c r="X756" s="28" t="str">
        <f>"－"</f>
        <v>－</v>
      </c>
      <c r="Y756" s="28" t="n">
        <f>36405</f>
        <v>36405.0</v>
      </c>
      <c r="Z756" s="26" t="n">
        <f>160158</f>
        <v>160158.0</v>
      </c>
      <c r="AA756" s="26" t="n">
        <f>28107</f>
        <v>28107.0</v>
      </c>
      <c r="AB756" s="4" t="s">
        <v>1196</v>
      </c>
      <c r="AC756" s="27" t="n">
        <f>69808</f>
        <v>69808.0</v>
      </c>
      <c r="AD756" s="5" t="s">
        <v>309</v>
      </c>
      <c r="AE756" s="28" t="n">
        <f>5957</f>
        <v>5957.0</v>
      </c>
    </row>
    <row r="757">
      <c r="A757" s="20" t="s">
        <v>1543</v>
      </c>
      <c r="B757" s="21" t="s">
        <v>1544</v>
      </c>
      <c r="C757" s="22" t="s">
        <v>1132</v>
      </c>
      <c r="D757" s="23" t="s">
        <v>1133</v>
      </c>
      <c r="E757" s="24" t="s">
        <v>63</v>
      </c>
      <c r="F757" s="25" t="n">
        <f>245</f>
        <v>245.0</v>
      </c>
      <c r="G757" s="26" t="n">
        <f>949902</f>
        <v>949902.0</v>
      </c>
      <c r="H757" s="26"/>
      <c r="I757" s="26" t="n">
        <f>849467</f>
        <v>849467.0</v>
      </c>
      <c r="J757" s="26" t="n">
        <f>3877</f>
        <v>3877.0</v>
      </c>
      <c r="K757" s="26" t="n">
        <f>3467</f>
        <v>3467.0</v>
      </c>
      <c r="L757" s="4" t="s">
        <v>1394</v>
      </c>
      <c r="M757" s="27" t="n">
        <f>39688</f>
        <v>39688.0</v>
      </c>
      <c r="N757" s="5" t="s">
        <v>559</v>
      </c>
      <c r="O757" s="28" t="n">
        <f>67</f>
        <v>67.0</v>
      </c>
      <c r="P757" s="3" t="s">
        <v>1634</v>
      </c>
      <c r="Q757" s="26"/>
      <c r="R757" s="3" t="s">
        <v>1635</v>
      </c>
      <c r="S757" s="26" t="n">
        <f>26250338</f>
        <v>2.6250338E7</v>
      </c>
      <c r="T757" s="26" t="n">
        <f>23432080</f>
        <v>2.343208E7</v>
      </c>
      <c r="U757" s="5" t="s">
        <v>231</v>
      </c>
      <c r="V757" s="28" t="n">
        <f>281883620</f>
        <v>2.8188362E8</v>
      </c>
      <c r="W757" s="5" t="s">
        <v>1209</v>
      </c>
      <c r="X757" s="28" t="n">
        <f>122600</f>
        <v>122600.0</v>
      </c>
      <c r="Y757" s="28" t="n">
        <f>69009</f>
        <v>69009.0</v>
      </c>
      <c r="Z757" s="26" t="n">
        <f>201098</f>
        <v>201098.0</v>
      </c>
      <c r="AA757" s="26" t="n">
        <f>46172</f>
        <v>46172.0</v>
      </c>
      <c r="AB757" s="4" t="s">
        <v>1196</v>
      </c>
      <c r="AC757" s="27" t="n">
        <f>104071</f>
        <v>104071.0</v>
      </c>
      <c r="AD757" s="5" t="s">
        <v>231</v>
      </c>
      <c r="AE757" s="28" t="n">
        <f>20571</f>
        <v>20571.0</v>
      </c>
    </row>
    <row r="758">
      <c r="A758" s="20" t="s">
        <v>1543</v>
      </c>
      <c r="B758" s="21" t="s">
        <v>1544</v>
      </c>
      <c r="C758" s="22" t="s">
        <v>1124</v>
      </c>
      <c r="D758" s="23" t="s">
        <v>1125</v>
      </c>
      <c r="E758" s="24" t="s">
        <v>70</v>
      </c>
      <c r="F758" s="25" t="n">
        <f>245</f>
        <v>245.0</v>
      </c>
      <c r="G758" s="26" t="n">
        <f>460303</f>
        <v>460303.0</v>
      </c>
      <c r="H758" s="26"/>
      <c r="I758" s="26" t="n">
        <f>407223</f>
        <v>407223.0</v>
      </c>
      <c r="J758" s="26" t="n">
        <f>1879</f>
        <v>1879.0</v>
      </c>
      <c r="K758" s="26" t="n">
        <f>1662</f>
        <v>1662.0</v>
      </c>
      <c r="L758" s="4" t="s">
        <v>120</v>
      </c>
      <c r="M758" s="27" t="n">
        <f>34240</f>
        <v>34240.0</v>
      </c>
      <c r="N758" s="5" t="s">
        <v>1339</v>
      </c>
      <c r="O758" s="28" t="str">
        <f>"－"</f>
        <v>－</v>
      </c>
      <c r="P758" s="3" t="s">
        <v>1636</v>
      </c>
      <c r="Q758" s="26"/>
      <c r="R758" s="3" t="s">
        <v>1637</v>
      </c>
      <c r="S758" s="26" t="n">
        <f>25082949</f>
        <v>2.5082949E7</v>
      </c>
      <c r="T758" s="26" t="n">
        <f>25006242</f>
        <v>2.5006242E7</v>
      </c>
      <c r="U758" s="5" t="s">
        <v>120</v>
      </c>
      <c r="V758" s="28" t="n">
        <f>158807500</f>
        <v>1.588075E8</v>
      </c>
      <c r="W758" s="5" t="s">
        <v>1339</v>
      </c>
      <c r="X758" s="28" t="str">
        <f>"－"</f>
        <v>－</v>
      </c>
      <c r="Y758" s="28" t="n">
        <f>24790</f>
        <v>24790.0</v>
      </c>
      <c r="Z758" s="26" t="n">
        <f>47905</f>
        <v>47905.0</v>
      </c>
      <c r="AA758" s="26" t="n">
        <f>40512</f>
        <v>40512.0</v>
      </c>
      <c r="AB758" s="4" t="s">
        <v>120</v>
      </c>
      <c r="AC758" s="27" t="n">
        <f>47649</f>
        <v>47649.0</v>
      </c>
      <c r="AD758" s="5" t="s">
        <v>116</v>
      </c>
      <c r="AE758" s="28" t="n">
        <f>4629</f>
        <v>4629.0</v>
      </c>
    </row>
    <row r="759">
      <c r="A759" s="20" t="s">
        <v>1543</v>
      </c>
      <c r="B759" s="21" t="s">
        <v>1544</v>
      </c>
      <c r="C759" s="22" t="s">
        <v>1128</v>
      </c>
      <c r="D759" s="23" t="s">
        <v>1129</v>
      </c>
      <c r="E759" s="24" t="s">
        <v>70</v>
      </c>
      <c r="F759" s="25" t="n">
        <f>245</f>
        <v>245.0</v>
      </c>
      <c r="G759" s="26" t="n">
        <f>538240</f>
        <v>538240.0</v>
      </c>
      <c r="H759" s="26"/>
      <c r="I759" s="26" t="n">
        <f>482520</f>
        <v>482520.0</v>
      </c>
      <c r="J759" s="26" t="n">
        <f>2197</f>
        <v>2197.0</v>
      </c>
      <c r="K759" s="26" t="n">
        <f>1969</f>
        <v>1969.0</v>
      </c>
      <c r="L759" s="4" t="s">
        <v>120</v>
      </c>
      <c r="M759" s="27" t="n">
        <f>35735</f>
        <v>35735.0</v>
      </c>
      <c r="N759" s="5" t="s">
        <v>662</v>
      </c>
      <c r="O759" s="28" t="str">
        <f>"－"</f>
        <v>－</v>
      </c>
      <c r="P759" s="3" t="s">
        <v>1638</v>
      </c>
      <c r="Q759" s="26"/>
      <c r="R759" s="3" t="s">
        <v>1639</v>
      </c>
      <c r="S759" s="26" t="n">
        <f>32667281</f>
        <v>3.2667281E7</v>
      </c>
      <c r="T759" s="26" t="n">
        <f>32584231</f>
        <v>3.2584231E7</v>
      </c>
      <c r="U759" s="5" t="s">
        <v>430</v>
      </c>
      <c r="V759" s="28" t="n">
        <f>451191850</f>
        <v>4.5119185E8</v>
      </c>
      <c r="W759" s="5" t="s">
        <v>662</v>
      </c>
      <c r="X759" s="28" t="str">
        <f>"－"</f>
        <v>－</v>
      </c>
      <c r="Y759" s="28" t="n">
        <f>101871</f>
        <v>101871.0</v>
      </c>
      <c r="Z759" s="26" t="n">
        <f>61720</f>
        <v>61720.0</v>
      </c>
      <c r="AA759" s="26" t="n">
        <f>80353</f>
        <v>80353.0</v>
      </c>
      <c r="AB759" s="4" t="s">
        <v>104</v>
      </c>
      <c r="AC759" s="27" t="n">
        <f>116028</f>
        <v>116028.0</v>
      </c>
      <c r="AD759" s="5" t="s">
        <v>542</v>
      </c>
      <c r="AE759" s="28" t="n">
        <f>15893</f>
        <v>15893.0</v>
      </c>
    </row>
    <row r="760">
      <c r="A760" s="20" t="s">
        <v>1543</v>
      </c>
      <c r="B760" s="21" t="s">
        <v>1544</v>
      </c>
      <c r="C760" s="22" t="s">
        <v>1132</v>
      </c>
      <c r="D760" s="23" t="s">
        <v>1133</v>
      </c>
      <c r="E760" s="24" t="s">
        <v>70</v>
      </c>
      <c r="F760" s="25" t="n">
        <f>245</f>
        <v>245.0</v>
      </c>
      <c r="G760" s="26" t="n">
        <f>998543</f>
        <v>998543.0</v>
      </c>
      <c r="H760" s="26"/>
      <c r="I760" s="26" t="n">
        <f>889743</f>
        <v>889743.0</v>
      </c>
      <c r="J760" s="26" t="n">
        <f>4076</f>
        <v>4076.0</v>
      </c>
      <c r="K760" s="26" t="n">
        <f>3632</f>
        <v>3632.0</v>
      </c>
      <c r="L760" s="4" t="s">
        <v>120</v>
      </c>
      <c r="M760" s="27" t="n">
        <f>69975</f>
        <v>69975.0</v>
      </c>
      <c r="N760" s="5" t="s">
        <v>693</v>
      </c>
      <c r="O760" s="28" t="str">
        <f>"－"</f>
        <v>－</v>
      </c>
      <c r="P760" s="3" t="s">
        <v>1640</v>
      </c>
      <c r="Q760" s="26"/>
      <c r="R760" s="3" t="s">
        <v>1641</v>
      </c>
      <c r="S760" s="26" t="n">
        <f>57750230</f>
        <v>5.775023E7</v>
      </c>
      <c r="T760" s="26" t="n">
        <f>57590473</f>
        <v>5.7590473E7</v>
      </c>
      <c r="U760" s="5" t="s">
        <v>430</v>
      </c>
      <c r="V760" s="28" t="n">
        <f>603815800</f>
        <v>6.038158E8</v>
      </c>
      <c r="W760" s="5" t="s">
        <v>693</v>
      </c>
      <c r="X760" s="28" t="str">
        <f>"－"</f>
        <v>－</v>
      </c>
      <c r="Y760" s="28" t="n">
        <f>126661</f>
        <v>126661.0</v>
      </c>
      <c r="Z760" s="26" t="n">
        <f>109625</f>
        <v>109625.0</v>
      </c>
      <c r="AA760" s="26" t="n">
        <f>120865</f>
        <v>120865.0</v>
      </c>
      <c r="AB760" s="4" t="s">
        <v>120</v>
      </c>
      <c r="AC760" s="27" t="n">
        <f>161255</f>
        <v>161255.0</v>
      </c>
      <c r="AD760" s="5" t="s">
        <v>542</v>
      </c>
      <c r="AE760" s="28" t="n">
        <f>24000</f>
        <v>24000.0</v>
      </c>
    </row>
    <row r="761">
      <c r="A761" s="20" t="s">
        <v>1543</v>
      </c>
      <c r="B761" s="21" t="s">
        <v>1544</v>
      </c>
      <c r="C761" s="22" t="s">
        <v>1124</v>
      </c>
      <c r="D761" s="23" t="s">
        <v>1125</v>
      </c>
      <c r="E761" s="24" t="s">
        <v>76</v>
      </c>
      <c r="F761" s="25" t="n">
        <f>244</f>
        <v>244.0</v>
      </c>
      <c r="G761" s="26" t="n">
        <f>374069</f>
        <v>374069.0</v>
      </c>
      <c r="H761" s="26"/>
      <c r="I761" s="26" t="n">
        <f>248941</f>
        <v>248941.0</v>
      </c>
      <c r="J761" s="26" t="n">
        <f>1533</f>
        <v>1533.0</v>
      </c>
      <c r="K761" s="26" t="n">
        <f>1020</f>
        <v>1020.0</v>
      </c>
      <c r="L761" s="4" t="s">
        <v>473</v>
      </c>
      <c r="M761" s="27" t="n">
        <f>52420</f>
        <v>52420.0</v>
      </c>
      <c r="N761" s="5" t="s">
        <v>1214</v>
      </c>
      <c r="O761" s="28" t="str">
        <f>"－"</f>
        <v>－</v>
      </c>
      <c r="P761" s="3" t="s">
        <v>1642</v>
      </c>
      <c r="Q761" s="26"/>
      <c r="R761" s="3" t="s">
        <v>1643</v>
      </c>
      <c r="S761" s="26" t="n">
        <f>15938924</f>
        <v>1.5938924E7</v>
      </c>
      <c r="T761" s="26" t="n">
        <f>15769052</f>
        <v>1.5769052E7</v>
      </c>
      <c r="U761" s="5" t="s">
        <v>697</v>
      </c>
      <c r="V761" s="28" t="n">
        <f>285933800</f>
        <v>2.859338E8</v>
      </c>
      <c r="W761" s="5" t="s">
        <v>1214</v>
      </c>
      <c r="X761" s="28" t="str">
        <f>"－"</f>
        <v>－</v>
      </c>
      <c r="Y761" s="28" t="n">
        <f>7196</f>
        <v>7196.0</v>
      </c>
      <c r="Z761" s="26" t="n">
        <f>53636</f>
        <v>53636.0</v>
      </c>
      <c r="AA761" s="26" t="n">
        <f>80161</f>
        <v>80161.0</v>
      </c>
      <c r="AB761" s="4" t="s">
        <v>161</v>
      </c>
      <c r="AC761" s="27" t="n">
        <f>82161</f>
        <v>82161.0</v>
      </c>
      <c r="AD761" s="5" t="s">
        <v>226</v>
      </c>
      <c r="AE761" s="28" t="n">
        <f>799</f>
        <v>799.0</v>
      </c>
    </row>
    <row r="762">
      <c r="A762" s="20" t="s">
        <v>1543</v>
      </c>
      <c r="B762" s="21" t="s">
        <v>1544</v>
      </c>
      <c r="C762" s="22" t="s">
        <v>1128</v>
      </c>
      <c r="D762" s="23" t="s">
        <v>1129</v>
      </c>
      <c r="E762" s="24" t="s">
        <v>76</v>
      </c>
      <c r="F762" s="25" t="n">
        <f>244</f>
        <v>244.0</v>
      </c>
      <c r="G762" s="26" t="n">
        <f>472011</f>
        <v>472011.0</v>
      </c>
      <c r="H762" s="26"/>
      <c r="I762" s="26" t="n">
        <f>222968</f>
        <v>222968.0</v>
      </c>
      <c r="J762" s="26" t="n">
        <f>1934</f>
        <v>1934.0</v>
      </c>
      <c r="K762" s="26" t="n">
        <f>914</f>
        <v>914.0</v>
      </c>
      <c r="L762" s="4" t="s">
        <v>531</v>
      </c>
      <c r="M762" s="27" t="n">
        <f>39006</f>
        <v>39006.0</v>
      </c>
      <c r="N762" s="5" t="s">
        <v>389</v>
      </c>
      <c r="O762" s="28" t="str">
        <f>"－"</f>
        <v>－</v>
      </c>
      <c r="P762" s="3" t="s">
        <v>1644</v>
      </c>
      <c r="Q762" s="26"/>
      <c r="R762" s="3" t="s">
        <v>1645</v>
      </c>
      <c r="S762" s="26" t="n">
        <f>17294464</f>
        <v>1.7294464E7</v>
      </c>
      <c r="T762" s="26" t="n">
        <f>17008132</f>
        <v>1.7008132E7</v>
      </c>
      <c r="U762" s="5" t="s">
        <v>77</v>
      </c>
      <c r="V762" s="28" t="n">
        <f>442358600</f>
        <v>4.423586E8</v>
      </c>
      <c r="W762" s="5" t="s">
        <v>389</v>
      </c>
      <c r="X762" s="28" t="str">
        <f>"－"</f>
        <v>－</v>
      </c>
      <c r="Y762" s="28" t="n">
        <f>29207</f>
        <v>29207.0</v>
      </c>
      <c r="Z762" s="26" t="n">
        <f>16870</f>
        <v>16870.0</v>
      </c>
      <c r="AA762" s="26" t="n">
        <f>32571</f>
        <v>32571.0</v>
      </c>
      <c r="AB762" s="4" t="s">
        <v>67</v>
      </c>
      <c r="AC762" s="27" t="n">
        <f>120069</f>
        <v>120069.0</v>
      </c>
      <c r="AD762" s="5" t="s">
        <v>74</v>
      </c>
      <c r="AE762" s="28" t="n">
        <f>26496</f>
        <v>26496.0</v>
      </c>
    </row>
    <row r="763">
      <c r="A763" s="20" t="s">
        <v>1543</v>
      </c>
      <c r="B763" s="21" t="s">
        <v>1544</v>
      </c>
      <c r="C763" s="22" t="s">
        <v>1132</v>
      </c>
      <c r="D763" s="23" t="s">
        <v>1133</v>
      </c>
      <c r="E763" s="24" t="s">
        <v>76</v>
      </c>
      <c r="F763" s="25" t="n">
        <f>244</f>
        <v>244.0</v>
      </c>
      <c r="G763" s="26" t="n">
        <f>846080</f>
        <v>846080.0</v>
      </c>
      <c r="H763" s="26"/>
      <c r="I763" s="26" t="n">
        <f>471909</f>
        <v>471909.0</v>
      </c>
      <c r="J763" s="26" t="n">
        <f>3468</f>
        <v>3468.0</v>
      </c>
      <c r="K763" s="26" t="n">
        <f>1934</f>
        <v>1934.0</v>
      </c>
      <c r="L763" s="4" t="s">
        <v>531</v>
      </c>
      <c r="M763" s="27" t="n">
        <f>78210</f>
        <v>78210.0</v>
      </c>
      <c r="N763" s="5" t="s">
        <v>567</v>
      </c>
      <c r="O763" s="28" t="str">
        <f>"－"</f>
        <v>－</v>
      </c>
      <c r="P763" s="3" t="s">
        <v>1646</v>
      </c>
      <c r="Q763" s="26"/>
      <c r="R763" s="3" t="s">
        <v>1647</v>
      </c>
      <c r="S763" s="26" t="n">
        <f>33233388</f>
        <v>3.3233388E7</v>
      </c>
      <c r="T763" s="26" t="n">
        <f>32777184</f>
        <v>3.2777184E7</v>
      </c>
      <c r="U763" s="5" t="s">
        <v>77</v>
      </c>
      <c r="V763" s="28" t="n">
        <f>454692600</f>
        <v>4.546926E8</v>
      </c>
      <c r="W763" s="5" t="s">
        <v>567</v>
      </c>
      <c r="X763" s="28" t="str">
        <f>"－"</f>
        <v>－</v>
      </c>
      <c r="Y763" s="28" t="n">
        <f>36403</f>
        <v>36403.0</v>
      </c>
      <c r="Z763" s="26" t="n">
        <f>70506</f>
        <v>70506.0</v>
      </c>
      <c r="AA763" s="26" t="n">
        <f>112732</f>
        <v>112732.0</v>
      </c>
      <c r="AB763" s="4" t="s">
        <v>124</v>
      </c>
      <c r="AC763" s="27" t="n">
        <f>189137</f>
        <v>189137.0</v>
      </c>
      <c r="AD763" s="5" t="s">
        <v>226</v>
      </c>
      <c r="AE763" s="28" t="n">
        <f>36987</f>
        <v>36987.0</v>
      </c>
    </row>
    <row r="764">
      <c r="A764" s="20" t="s">
        <v>1543</v>
      </c>
      <c r="B764" s="21" t="s">
        <v>1544</v>
      </c>
      <c r="C764" s="22" t="s">
        <v>1124</v>
      </c>
      <c r="D764" s="23" t="s">
        <v>1125</v>
      </c>
      <c r="E764" s="24" t="s">
        <v>81</v>
      </c>
      <c r="F764" s="25" t="n">
        <f>241</f>
        <v>241.0</v>
      </c>
      <c r="G764" s="26" t="n">
        <f>496441</f>
        <v>496441.0</v>
      </c>
      <c r="H764" s="26"/>
      <c r="I764" s="26" t="n">
        <f>149535</f>
        <v>149535.0</v>
      </c>
      <c r="J764" s="26" t="n">
        <f>2060</f>
        <v>2060.0</v>
      </c>
      <c r="K764" s="26" t="n">
        <f>620</f>
        <v>620.0</v>
      </c>
      <c r="L764" s="4" t="s">
        <v>321</v>
      </c>
      <c r="M764" s="27" t="n">
        <f>11027</f>
        <v>11027.0</v>
      </c>
      <c r="N764" s="5" t="s">
        <v>545</v>
      </c>
      <c r="O764" s="28" t="str">
        <f>"－"</f>
        <v>－</v>
      </c>
      <c r="P764" s="3" t="s">
        <v>1648</v>
      </c>
      <c r="Q764" s="26"/>
      <c r="R764" s="3" t="s">
        <v>1649</v>
      </c>
      <c r="S764" s="26" t="n">
        <f>15746313</f>
        <v>1.5746313E7</v>
      </c>
      <c r="T764" s="26" t="n">
        <f>15385995</f>
        <v>1.5385995E7</v>
      </c>
      <c r="U764" s="5" t="s">
        <v>727</v>
      </c>
      <c r="V764" s="28" t="n">
        <f>306500750</f>
        <v>3.0650075E8</v>
      </c>
      <c r="W764" s="5" t="s">
        <v>545</v>
      </c>
      <c r="X764" s="28" t="str">
        <f>"－"</f>
        <v>－</v>
      </c>
      <c r="Y764" s="28" t="n">
        <f>18089</f>
        <v>18089.0</v>
      </c>
      <c r="Z764" s="26" t="n">
        <f>50200</f>
        <v>50200.0</v>
      </c>
      <c r="AA764" s="26" t="n">
        <f>28191</f>
        <v>28191.0</v>
      </c>
      <c r="AB764" s="4" t="s">
        <v>217</v>
      </c>
      <c r="AC764" s="27" t="n">
        <f>120454</f>
        <v>120454.0</v>
      </c>
      <c r="AD764" s="5" t="s">
        <v>977</v>
      </c>
      <c r="AE764" s="28" t="n">
        <f>25909</f>
        <v>25909.0</v>
      </c>
    </row>
    <row r="765">
      <c r="A765" s="20" t="s">
        <v>1543</v>
      </c>
      <c r="B765" s="21" t="s">
        <v>1544</v>
      </c>
      <c r="C765" s="22" t="s">
        <v>1128</v>
      </c>
      <c r="D765" s="23" t="s">
        <v>1129</v>
      </c>
      <c r="E765" s="24" t="s">
        <v>81</v>
      </c>
      <c r="F765" s="25" t="n">
        <f>241</f>
        <v>241.0</v>
      </c>
      <c r="G765" s="26" t="n">
        <f>843313</f>
        <v>843313.0</v>
      </c>
      <c r="H765" s="26"/>
      <c r="I765" s="26" t="n">
        <f>164841</f>
        <v>164841.0</v>
      </c>
      <c r="J765" s="26" t="n">
        <f>3499</f>
        <v>3499.0</v>
      </c>
      <c r="K765" s="26" t="n">
        <f>684</f>
        <v>684.0</v>
      </c>
      <c r="L765" s="4" t="s">
        <v>1650</v>
      </c>
      <c r="M765" s="27" t="n">
        <f>17400</f>
        <v>17400.0</v>
      </c>
      <c r="N765" s="5" t="s">
        <v>622</v>
      </c>
      <c r="O765" s="28" t="str">
        <f>"－"</f>
        <v>－</v>
      </c>
      <c r="P765" s="3" t="s">
        <v>1651</v>
      </c>
      <c r="Q765" s="26"/>
      <c r="R765" s="3" t="s">
        <v>1652</v>
      </c>
      <c r="S765" s="26" t="n">
        <f>27752164</f>
        <v>2.7752164E7</v>
      </c>
      <c r="T765" s="26" t="n">
        <f>26965416</f>
        <v>2.6965416E7</v>
      </c>
      <c r="U765" s="5" t="s">
        <v>798</v>
      </c>
      <c r="V765" s="28" t="n">
        <f>620632600</f>
        <v>6.206326E8</v>
      </c>
      <c r="W765" s="5" t="s">
        <v>622</v>
      </c>
      <c r="X765" s="28" t="str">
        <f>"－"</f>
        <v>－</v>
      </c>
      <c r="Y765" s="28" t="n">
        <f>30857</f>
        <v>30857.0</v>
      </c>
      <c r="Z765" s="26" t="n">
        <f>73200</f>
        <v>73200.0</v>
      </c>
      <c r="AA765" s="26" t="n">
        <f>36781</f>
        <v>36781.0</v>
      </c>
      <c r="AB765" s="4" t="s">
        <v>636</v>
      </c>
      <c r="AC765" s="27" t="n">
        <f>66302</f>
        <v>66302.0</v>
      </c>
      <c r="AD765" s="5" t="s">
        <v>778</v>
      </c>
      <c r="AE765" s="28" t="n">
        <f>25866</f>
        <v>25866.0</v>
      </c>
    </row>
    <row r="766">
      <c r="A766" s="20" t="s">
        <v>1543</v>
      </c>
      <c r="B766" s="21" t="s">
        <v>1544</v>
      </c>
      <c r="C766" s="22" t="s">
        <v>1132</v>
      </c>
      <c r="D766" s="23" t="s">
        <v>1133</v>
      </c>
      <c r="E766" s="24" t="s">
        <v>81</v>
      </c>
      <c r="F766" s="25" t="n">
        <f>241</f>
        <v>241.0</v>
      </c>
      <c r="G766" s="26" t="n">
        <f>1339754</f>
        <v>1339754.0</v>
      </c>
      <c r="H766" s="26"/>
      <c r="I766" s="26" t="n">
        <f>314376</f>
        <v>314376.0</v>
      </c>
      <c r="J766" s="26" t="n">
        <f>5559</f>
        <v>5559.0</v>
      </c>
      <c r="K766" s="26" t="n">
        <f>1304</f>
        <v>1304.0</v>
      </c>
      <c r="L766" s="4" t="s">
        <v>1351</v>
      </c>
      <c r="M766" s="27" t="n">
        <f>21910</f>
        <v>21910.0</v>
      </c>
      <c r="N766" s="5" t="s">
        <v>69</v>
      </c>
      <c r="O766" s="28" t="str">
        <f>"－"</f>
        <v>－</v>
      </c>
      <c r="P766" s="3" t="s">
        <v>1653</v>
      </c>
      <c r="Q766" s="26"/>
      <c r="R766" s="3" t="s">
        <v>1654</v>
      </c>
      <c r="S766" s="26" t="n">
        <f>43498477</f>
        <v>4.3498477E7</v>
      </c>
      <c r="T766" s="26" t="n">
        <f>42351411</f>
        <v>4.2351411E7</v>
      </c>
      <c r="U766" s="5" t="s">
        <v>798</v>
      </c>
      <c r="V766" s="28" t="n">
        <f>651283700</f>
        <v>6.512837E8</v>
      </c>
      <c r="W766" s="5" t="s">
        <v>69</v>
      </c>
      <c r="X766" s="28" t="str">
        <f>"－"</f>
        <v>－</v>
      </c>
      <c r="Y766" s="28" t="n">
        <f>48946</f>
        <v>48946.0</v>
      </c>
      <c r="Z766" s="26" t="n">
        <f>123400</f>
        <v>123400.0</v>
      </c>
      <c r="AA766" s="26" t="n">
        <f>64972</f>
        <v>64972.0</v>
      </c>
      <c r="AB766" s="4" t="s">
        <v>462</v>
      </c>
      <c r="AC766" s="27" t="n">
        <f>180906</f>
        <v>180906.0</v>
      </c>
      <c r="AD766" s="5" t="s">
        <v>977</v>
      </c>
      <c r="AE766" s="28" t="n">
        <f>51961</f>
        <v>51961.0</v>
      </c>
    </row>
    <row r="767">
      <c r="A767" s="20" t="s">
        <v>1543</v>
      </c>
      <c r="B767" s="21" t="s">
        <v>1544</v>
      </c>
      <c r="C767" s="22" t="s">
        <v>1124</v>
      </c>
      <c r="D767" s="23" t="s">
        <v>1125</v>
      </c>
      <c r="E767" s="24" t="s">
        <v>87</v>
      </c>
      <c r="F767" s="25" t="n">
        <f>245</f>
        <v>245.0</v>
      </c>
      <c r="G767" s="26" t="n">
        <f>420677</f>
        <v>420677.0</v>
      </c>
      <c r="H767" s="26"/>
      <c r="I767" s="26" t="n">
        <f>22994</f>
        <v>22994.0</v>
      </c>
      <c r="J767" s="26" t="n">
        <f>1717</f>
        <v>1717.0</v>
      </c>
      <c r="K767" s="26" t="n">
        <f>94</f>
        <v>94.0</v>
      </c>
      <c r="L767" s="4" t="s">
        <v>722</v>
      </c>
      <c r="M767" s="27" t="n">
        <f>22000</f>
        <v>22000.0</v>
      </c>
      <c r="N767" s="5" t="s">
        <v>567</v>
      </c>
      <c r="O767" s="28" t="str">
        <f>"－"</f>
        <v>－</v>
      </c>
      <c r="P767" s="3" t="s">
        <v>1655</v>
      </c>
      <c r="Q767" s="26"/>
      <c r="R767" s="3" t="s">
        <v>1656</v>
      </c>
      <c r="S767" s="26" t="n">
        <f>6444063</f>
        <v>6444063.0</v>
      </c>
      <c r="T767" s="26" t="n">
        <f>5918471</f>
        <v>5918471.0</v>
      </c>
      <c r="U767" s="5" t="s">
        <v>574</v>
      </c>
      <c r="V767" s="28" t="n">
        <f>36689418</f>
        <v>3.6689418E7</v>
      </c>
      <c r="W767" s="5" t="s">
        <v>567</v>
      </c>
      <c r="X767" s="28" t="str">
        <f>"－"</f>
        <v>－</v>
      </c>
      <c r="Y767" s="28" t="n">
        <f>22377</f>
        <v>22377.0</v>
      </c>
      <c r="Z767" s="26" t="str">
        <f>"－"</f>
        <v>－</v>
      </c>
      <c r="AA767" s="26" t="n">
        <f>11800</f>
        <v>11800.0</v>
      </c>
      <c r="AB767" s="4" t="s">
        <v>604</v>
      </c>
      <c r="AC767" s="27" t="n">
        <f>55425</f>
        <v>55425.0</v>
      </c>
      <c r="AD767" s="5" t="s">
        <v>182</v>
      </c>
      <c r="AE767" s="28" t="n">
        <f>8703</f>
        <v>8703.0</v>
      </c>
    </row>
    <row r="768">
      <c r="A768" s="20" t="s">
        <v>1543</v>
      </c>
      <c r="B768" s="21" t="s">
        <v>1544</v>
      </c>
      <c r="C768" s="22" t="s">
        <v>1128</v>
      </c>
      <c r="D768" s="23" t="s">
        <v>1129</v>
      </c>
      <c r="E768" s="24" t="s">
        <v>87</v>
      </c>
      <c r="F768" s="25" t="n">
        <f>245</f>
        <v>245.0</v>
      </c>
      <c r="G768" s="26" t="n">
        <f>1204414</f>
        <v>1204414.0</v>
      </c>
      <c r="H768" s="26"/>
      <c r="I768" s="26" t="n">
        <f>31974</f>
        <v>31974.0</v>
      </c>
      <c r="J768" s="26" t="n">
        <f>4916</f>
        <v>4916.0</v>
      </c>
      <c r="K768" s="26" t="n">
        <f>131</f>
        <v>131.0</v>
      </c>
      <c r="L768" s="4" t="s">
        <v>104</v>
      </c>
      <c r="M768" s="27" t="n">
        <f>34000</f>
        <v>34000.0</v>
      </c>
      <c r="N768" s="5" t="s">
        <v>545</v>
      </c>
      <c r="O768" s="28" t="str">
        <f>"－"</f>
        <v>－</v>
      </c>
      <c r="P768" s="3" t="s">
        <v>1657</v>
      </c>
      <c r="Q768" s="26"/>
      <c r="R768" s="3" t="s">
        <v>1658</v>
      </c>
      <c r="S768" s="26" t="n">
        <f>6917253</f>
        <v>6917253.0</v>
      </c>
      <c r="T768" s="26" t="n">
        <f>4199060</f>
        <v>4199060.0</v>
      </c>
      <c r="U768" s="5" t="s">
        <v>68</v>
      </c>
      <c r="V768" s="28" t="n">
        <f>57976700</f>
        <v>5.79767E7</v>
      </c>
      <c r="W768" s="5" t="s">
        <v>545</v>
      </c>
      <c r="X768" s="28" t="str">
        <f>"－"</f>
        <v>－</v>
      </c>
      <c r="Y768" s="28" t="n">
        <f>176162</f>
        <v>176162.0</v>
      </c>
      <c r="Z768" s="26" t="str">
        <f>"－"</f>
        <v>－</v>
      </c>
      <c r="AA768" s="26" t="n">
        <f>27551</f>
        <v>27551.0</v>
      </c>
      <c r="AB768" s="4" t="s">
        <v>184</v>
      </c>
      <c r="AC768" s="27" t="n">
        <f>65648</f>
        <v>65648.0</v>
      </c>
      <c r="AD768" s="5" t="s">
        <v>149</v>
      </c>
      <c r="AE768" s="28" t="n">
        <f>17530</f>
        <v>17530.0</v>
      </c>
    </row>
    <row r="769">
      <c r="A769" s="20" t="s">
        <v>1543</v>
      </c>
      <c r="B769" s="21" t="s">
        <v>1544</v>
      </c>
      <c r="C769" s="22" t="s">
        <v>1132</v>
      </c>
      <c r="D769" s="23" t="s">
        <v>1133</v>
      </c>
      <c r="E769" s="24" t="s">
        <v>87</v>
      </c>
      <c r="F769" s="25" t="n">
        <f>245</f>
        <v>245.0</v>
      </c>
      <c r="G769" s="26" t="n">
        <f>1625091</f>
        <v>1625091.0</v>
      </c>
      <c r="H769" s="26"/>
      <c r="I769" s="26" t="n">
        <f>54968</f>
        <v>54968.0</v>
      </c>
      <c r="J769" s="26" t="n">
        <f>6633</f>
        <v>6633.0</v>
      </c>
      <c r="K769" s="26" t="n">
        <f>224</f>
        <v>224.0</v>
      </c>
      <c r="L769" s="4" t="s">
        <v>722</v>
      </c>
      <c r="M769" s="27" t="n">
        <f>52000</f>
        <v>52000.0</v>
      </c>
      <c r="N769" s="5" t="s">
        <v>940</v>
      </c>
      <c r="O769" s="28" t="str">
        <f>"－"</f>
        <v>－</v>
      </c>
      <c r="P769" s="3" t="s">
        <v>1659</v>
      </c>
      <c r="Q769" s="26"/>
      <c r="R769" s="3" t="s">
        <v>1660</v>
      </c>
      <c r="S769" s="26" t="n">
        <f>13361317</f>
        <v>1.3361317E7</v>
      </c>
      <c r="T769" s="26" t="n">
        <f>10117532</f>
        <v>1.0117532E7</v>
      </c>
      <c r="U769" s="5" t="s">
        <v>499</v>
      </c>
      <c r="V769" s="28" t="n">
        <f>66279340</f>
        <v>6.627934E7</v>
      </c>
      <c r="W769" s="5" t="s">
        <v>940</v>
      </c>
      <c r="X769" s="28" t="str">
        <f>"－"</f>
        <v>－</v>
      </c>
      <c r="Y769" s="28" t="n">
        <f>198539</f>
        <v>198539.0</v>
      </c>
      <c r="Z769" s="26" t="str">
        <f>"－"</f>
        <v>－</v>
      </c>
      <c r="AA769" s="26" t="n">
        <f>39351</f>
        <v>39351.0</v>
      </c>
      <c r="AB769" s="4" t="s">
        <v>184</v>
      </c>
      <c r="AC769" s="27" t="n">
        <f>117631</f>
        <v>117631.0</v>
      </c>
      <c r="AD769" s="5" t="s">
        <v>149</v>
      </c>
      <c r="AE769" s="28" t="n">
        <f>27913</f>
        <v>27913.0</v>
      </c>
    </row>
    <row r="770">
      <c r="A770" s="20" t="s">
        <v>1543</v>
      </c>
      <c r="B770" s="21" t="s">
        <v>1544</v>
      </c>
      <c r="C770" s="22" t="s">
        <v>1124</v>
      </c>
      <c r="D770" s="23" t="s">
        <v>1125</v>
      </c>
      <c r="E770" s="24" t="s">
        <v>92</v>
      </c>
      <c r="F770" s="25" t="n">
        <f>244</f>
        <v>244.0</v>
      </c>
      <c r="G770" s="26" t="n">
        <f>541687</f>
        <v>541687.0</v>
      </c>
      <c r="H770" s="26"/>
      <c r="I770" s="26" t="n">
        <f>53901</f>
        <v>53901.0</v>
      </c>
      <c r="J770" s="26" t="n">
        <f>2220</f>
        <v>2220.0</v>
      </c>
      <c r="K770" s="26" t="n">
        <f>221</f>
        <v>221.0</v>
      </c>
      <c r="L770" s="4" t="s">
        <v>868</v>
      </c>
      <c r="M770" s="27" t="n">
        <f>20300</f>
        <v>20300.0</v>
      </c>
      <c r="N770" s="5" t="s">
        <v>474</v>
      </c>
      <c r="O770" s="28" t="str">
        <f>"－"</f>
        <v>－</v>
      </c>
      <c r="P770" s="3" t="s">
        <v>1661</v>
      </c>
      <c r="Q770" s="26"/>
      <c r="R770" s="3" t="s">
        <v>1662</v>
      </c>
      <c r="S770" s="26" t="n">
        <f>5166243</f>
        <v>5166243.0</v>
      </c>
      <c r="T770" s="26" t="n">
        <f>4638331</f>
        <v>4638331.0</v>
      </c>
      <c r="U770" s="5" t="s">
        <v>395</v>
      </c>
      <c r="V770" s="28" t="n">
        <f>88333950</f>
        <v>8.833395E7</v>
      </c>
      <c r="W770" s="5" t="s">
        <v>474</v>
      </c>
      <c r="X770" s="28" t="str">
        <f>"－"</f>
        <v>－</v>
      </c>
      <c r="Y770" s="28" t="n">
        <f>26854</f>
        <v>26854.0</v>
      </c>
      <c r="Z770" s="26" t="n">
        <f>5772</f>
        <v>5772.0</v>
      </c>
      <c r="AA770" s="26" t="n">
        <f>14917</f>
        <v>14917.0</v>
      </c>
      <c r="AB770" s="4" t="s">
        <v>826</v>
      </c>
      <c r="AC770" s="27" t="n">
        <f>35810</f>
        <v>35810.0</v>
      </c>
      <c r="AD770" s="5" t="s">
        <v>49</v>
      </c>
      <c r="AE770" s="28" t="n">
        <f>1496</f>
        <v>1496.0</v>
      </c>
    </row>
    <row r="771">
      <c r="A771" s="20" t="s">
        <v>1543</v>
      </c>
      <c r="B771" s="21" t="s">
        <v>1544</v>
      </c>
      <c r="C771" s="22" t="s">
        <v>1128</v>
      </c>
      <c r="D771" s="23" t="s">
        <v>1129</v>
      </c>
      <c r="E771" s="24" t="s">
        <v>92</v>
      </c>
      <c r="F771" s="25" t="n">
        <f>244</f>
        <v>244.0</v>
      </c>
      <c r="G771" s="26" t="n">
        <f>1333414</f>
        <v>1333414.0</v>
      </c>
      <c r="H771" s="26"/>
      <c r="I771" s="26" t="n">
        <f>22178</f>
        <v>22178.0</v>
      </c>
      <c r="J771" s="26" t="n">
        <f>5465</f>
        <v>5465.0</v>
      </c>
      <c r="K771" s="26" t="n">
        <f>91</f>
        <v>91.0</v>
      </c>
      <c r="L771" s="4" t="s">
        <v>881</v>
      </c>
      <c r="M771" s="27" t="n">
        <f>42000</f>
        <v>42000.0</v>
      </c>
      <c r="N771" s="5" t="s">
        <v>448</v>
      </c>
      <c r="O771" s="28" t="str">
        <f>"－"</f>
        <v>－</v>
      </c>
      <c r="P771" s="3" t="s">
        <v>1663</v>
      </c>
      <c r="Q771" s="26"/>
      <c r="R771" s="3" t="s">
        <v>1664</v>
      </c>
      <c r="S771" s="26" t="n">
        <f>3348723</f>
        <v>3348723.0</v>
      </c>
      <c r="T771" s="26" t="n">
        <f>1391631</f>
        <v>1391631.0</v>
      </c>
      <c r="U771" s="5" t="s">
        <v>395</v>
      </c>
      <c r="V771" s="28" t="n">
        <f>162515800</f>
        <v>1.625158E8</v>
      </c>
      <c r="W771" s="5" t="s">
        <v>448</v>
      </c>
      <c r="X771" s="28" t="str">
        <f>"－"</f>
        <v>－</v>
      </c>
      <c r="Y771" s="28" t="n">
        <f>38755</f>
        <v>38755.0</v>
      </c>
      <c r="Z771" s="26" t="n">
        <f>11541</f>
        <v>11541.0</v>
      </c>
      <c r="AA771" s="26" t="n">
        <f>21456</f>
        <v>21456.0</v>
      </c>
      <c r="AB771" s="4" t="s">
        <v>1400</v>
      </c>
      <c r="AC771" s="27" t="n">
        <f>54144</f>
        <v>54144.0</v>
      </c>
      <c r="AD771" s="5" t="s">
        <v>55</v>
      </c>
      <c r="AE771" s="28" t="n">
        <f>7136</f>
        <v>7136.0</v>
      </c>
    </row>
    <row r="772">
      <c r="A772" s="20" t="s">
        <v>1543</v>
      </c>
      <c r="B772" s="21" t="s">
        <v>1544</v>
      </c>
      <c r="C772" s="22" t="s">
        <v>1132</v>
      </c>
      <c r="D772" s="23" t="s">
        <v>1133</v>
      </c>
      <c r="E772" s="24" t="s">
        <v>92</v>
      </c>
      <c r="F772" s="25" t="n">
        <f>244</f>
        <v>244.0</v>
      </c>
      <c r="G772" s="26" t="n">
        <f>1875101</f>
        <v>1875101.0</v>
      </c>
      <c r="H772" s="26"/>
      <c r="I772" s="26" t="n">
        <f>76079</f>
        <v>76079.0</v>
      </c>
      <c r="J772" s="26" t="n">
        <f>7685</f>
        <v>7685.0</v>
      </c>
      <c r="K772" s="26" t="n">
        <f>312</f>
        <v>312.0</v>
      </c>
      <c r="L772" s="4" t="s">
        <v>881</v>
      </c>
      <c r="M772" s="27" t="n">
        <f>62171</f>
        <v>62171.0</v>
      </c>
      <c r="N772" s="5" t="s">
        <v>448</v>
      </c>
      <c r="O772" s="28" t="str">
        <f>"－"</f>
        <v>－</v>
      </c>
      <c r="P772" s="3" t="s">
        <v>1665</v>
      </c>
      <c r="Q772" s="26"/>
      <c r="R772" s="3" t="s">
        <v>1666</v>
      </c>
      <c r="S772" s="26" t="n">
        <f>8514965</f>
        <v>8514965.0</v>
      </c>
      <c r="T772" s="26" t="n">
        <f>6029962</f>
        <v>6029962.0</v>
      </c>
      <c r="U772" s="5" t="s">
        <v>395</v>
      </c>
      <c r="V772" s="28" t="n">
        <f>250849750</f>
        <v>2.5084975E8</v>
      </c>
      <c r="W772" s="5" t="s">
        <v>448</v>
      </c>
      <c r="X772" s="28" t="str">
        <f>"－"</f>
        <v>－</v>
      </c>
      <c r="Y772" s="28" t="n">
        <f>65609</f>
        <v>65609.0</v>
      </c>
      <c r="Z772" s="26" t="n">
        <f>17313</f>
        <v>17313.0</v>
      </c>
      <c r="AA772" s="26" t="n">
        <f>36373</f>
        <v>36373.0</v>
      </c>
      <c r="AB772" s="4" t="s">
        <v>1400</v>
      </c>
      <c r="AC772" s="27" t="n">
        <f>88065</f>
        <v>88065.0</v>
      </c>
      <c r="AD772" s="5" t="s">
        <v>55</v>
      </c>
      <c r="AE772" s="28" t="n">
        <f>12681</f>
        <v>12681.0</v>
      </c>
    </row>
    <row r="773">
      <c r="A773" s="20" t="s">
        <v>1543</v>
      </c>
      <c r="B773" s="21" t="s">
        <v>1544</v>
      </c>
      <c r="C773" s="22" t="s">
        <v>1124</v>
      </c>
      <c r="D773" s="23" t="s">
        <v>1125</v>
      </c>
      <c r="E773" s="24" t="s">
        <v>98</v>
      </c>
      <c r="F773" s="25" t="n">
        <f>245</f>
        <v>245.0</v>
      </c>
      <c r="G773" s="26" t="n">
        <f>601659</f>
        <v>601659.0</v>
      </c>
      <c r="H773" s="26"/>
      <c r="I773" s="26" t="n">
        <f>61242</f>
        <v>61242.0</v>
      </c>
      <c r="J773" s="26" t="n">
        <f>2456</f>
        <v>2456.0</v>
      </c>
      <c r="K773" s="26" t="n">
        <f>250</f>
        <v>250.0</v>
      </c>
      <c r="L773" s="4" t="s">
        <v>494</v>
      </c>
      <c r="M773" s="27" t="n">
        <f>20016</f>
        <v>20016.0</v>
      </c>
      <c r="N773" s="5" t="s">
        <v>531</v>
      </c>
      <c r="O773" s="28" t="str">
        <f>"－"</f>
        <v>－</v>
      </c>
      <c r="P773" s="3" t="s">
        <v>1667</v>
      </c>
      <c r="Q773" s="26"/>
      <c r="R773" s="3" t="s">
        <v>1668</v>
      </c>
      <c r="S773" s="26" t="n">
        <f>3826128</f>
        <v>3826128.0</v>
      </c>
      <c r="T773" s="26" t="n">
        <f>2879973</f>
        <v>2879973.0</v>
      </c>
      <c r="U773" s="5" t="s">
        <v>441</v>
      </c>
      <c r="V773" s="28" t="n">
        <f>50580650</f>
        <v>5.058065E7</v>
      </c>
      <c r="W773" s="5" t="s">
        <v>531</v>
      </c>
      <c r="X773" s="28" t="str">
        <f>"－"</f>
        <v>－</v>
      </c>
      <c r="Y773" s="28" t="n">
        <f>35723</f>
        <v>35723.0</v>
      </c>
      <c r="Z773" s="26" t="str">
        <f>"－"</f>
        <v>－</v>
      </c>
      <c r="AA773" s="26" t="n">
        <f>23203</f>
        <v>23203.0</v>
      </c>
      <c r="AB773" s="4" t="s">
        <v>196</v>
      </c>
      <c r="AC773" s="27" t="n">
        <f>30286</f>
        <v>30286.0</v>
      </c>
      <c r="AD773" s="5" t="s">
        <v>135</v>
      </c>
      <c r="AE773" s="28" t="n">
        <f>3831</f>
        <v>3831.0</v>
      </c>
    </row>
    <row r="774">
      <c r="A774" s="20" t="s">
        <v>1543</v>
      </c>
      <c r="B774" s="21" t="s">
        <v>1544</v>
      </c>
      <c r="C774" s="22" t="s">
        <v>1128</v>
      </c>
      <c r="D774" s="23" t="s">
        <v>1129</v>
      </c>
      <c r="E774" s="24" t="s">
        <v>98</v>
      </c>
      <c r="F774" s="25" t="n">
        <f>245</f>
        <v>245.0</v>
      </c>
      <c r="G774" s="26" t="n">
        <f>1470777</f>
        <v>1470777.0</v>
      </c>
      <c r="H774" s="26"/>
      <c r="I774" s="26" t="n">
        <f>9641</f>
        <v>9641.0</v>
      </c>
      <c r="J774" s="26" t="n">
        <f>6003</f>
        <v>6003.0</v>
      </c>
      <c r="K774" s="26" t="n">
        <f>39</f>
        <v>39.0</v>
      </c>
      <c r="L774" s="4" t="s">
        <v>826</v>
      </c>
      <c r="M774" s="27" t="n">
        <f>27000</f>
        <v>27000.0</v>
      </c>
      <c r="N774" s="5" t="s">
        <v>86</v>
      </c>
      <c r="O774" s="28" t="str">
        <f>"－"</f>
        <v>－</v>
      </c>
      <c r="P774" s="3" t="s">
        <v>1669</v>
      </c>
      <c r="Q774" s="26"/>
      <c r="R774" s="3" t="s">
        <v>1670</v>
      </c>
      <c r="S774" s="26" t="n">
        <f>3659611</f>
        <v>3659611.0</v>
      </c>
      <c r="T774" s="26" t="n">
        <f>1215003</f>
        <v>1215003.0</v>
      </c>
      <c r="U774" s="5" t="s">
        <v>102</v>
      </c>
      <c r="V774" s="28" t="n">
        <f>134082260</f>
        <v>1.3408226E8</v>
      </c>
      <c r="W774" s="5" t="s">
        <v>86</v>
      </c>
      <c r="X774" s="28" t="str">
        <f>"－"</f>
        <v>－</v>
      </c>
      <c r="Y774" s="28" t="n">
        <f>39553</f>
        <v>39553.0</v>
      </c>
      <c r="Z774" s="26" t="str">
        <f>"－"</f>
        <v>－</v>
      </c>
      <c r="AA774" s="26" t="n">
        <f>27215</f>
        <v>27215.0</v>
      </c>
      <c r="AB774" s="4" t="s">
        <v>700</v>
      </c>
      <c r="AC774" s="27" t="n">
        <f>41851</f>
        <v>41851.0</v>
      </c>
      <c r="AD774" s="5" t="s">
        <v>594</v>
      </c>
      <c r="AE774" s="28" t="n">
        <f>3921</f>
        <v>3921.0</v>
      </c>
    </row>
    <row r="775">
      <c r="A775" s="20" t="s">
        <v>1543</v>
      </c>
      <c r="B775" s="21" t="s">
        <v>1544</v>
      </c>
      <c r="C775" s="22" t="s">
        <v>1132</v>
      </c>
      <c r="D775" s="23" t="s">
        <v>1133</v>
      </c>
      <c r="E775" s="24" t="s">
        <v>98</v>
      </c>
      <c r="F775" s="25" t="n">
        <f>245</f>
        <v>245.0</v>
      </c>
      <c r="G775" s="26" t="n">
        <f>2072436</f>
        <v>2072436.0</v>
      </c>
      <c r="H775" s="26"/>
      <c r="I775" s="26" t="n">
        <f>70883</f>
        <v>70883.0</v>
      </c>
      <c r="J775" s="26" t="n">
        <f>8459</f>
        <v>8459.0</v>
      </c>
      <c r="K775" s="26" t="n">
        <f>289</f>
        <v>289.0</v>
      </c>
      <c r="L775" s="4" t="s">
        <v>494</v>
      </c>
      <c r="M775" s="27" t="n">
        <f>46016</f>
        <v>46016.0</v>
      </c>
      <c r="N775" s="5" t="s">
        <v>181</v>
      </c>
      <c r="O775" s="28" t="str">
        <f>"－"</f>
        <v>－</v>
      </c>
      <c r="P775" s="3" t="s">
        <v>1671</v>
      </c>
      <c r="Q775" s="26"/>
      <c r="R775" s="3" t="s">
        <v>1672</v>
      </c>
      <c r="S775" s="26" t="n">
        <f>7485739</f>
        <v>7485739.0</v>
      </c>
      <c r="T775" s="26" t="n">
        <f>4094975</f>
        <v>4094975.0</v>
      </c>
      <c r="U775" s="5" t="s">
        <v>102</v>
      </c>
      <c r="V775" s="28" t="n">
        <f>134082260</f>
        <v>1.3408226E8</v>
      </c>
      <c r="W775" s="5" t="s">
        <v>181</v>
      </c>
      <c r="X775" s="28" t="str">
        <f>"－"</f>
        <v>－</v>
      </c>
      <c r="Y775" s="28" t="n">
        <f>75276</f>
        <v>75276.0</v>
      </c>
      <c r="Z775" s="26" t="str">
        <f>"－"</f>
        <v>－</v>
      </c>
      <c r="AA775" s="26" t="n">
        <f>50418</f>
        <v>50418.0</v>
      </c>
      <c r="AB775" s="4" t="s">
        <v>700</v>
      </c>
      <c r="AC775" s="27" t="n">
        <f>65996</f>
        <v>65996.0</v>
      </c>
      <c r="AD775" s="5" t="s">
        <v>901</v>
      </c>
      <c r="AE775" s="28" t="n">
        <f>14448</f>
        <v>14448.0</v>
      </c>
    </row>
    <row r="776">
      <c r="A776" s="20" t="s">
        <v>1543</v>
      </c>
      <c r="B776" s="21" t="s">
        <v>1544</v>
      </c>
      <c r="C776" s="22" t="s">
        <v>1124</v>
      </c>
      <c r="D776" s="23" t="s">
        <v>1125</v>
      </c>
      <c r="E776" s="24" t="s">
        <v>103</v>
      </c>
      <c r="F776" s="25" t="n">
        <f>244</f>
        <v>244.0</v>
      </c>
      <c r="G776" s="26" t="n">
        <f>1071393</f>
        <v>1071393.0</v>
      </c>
      <c r="H776" s="26"/>
      <c r="I776" s="26" t="n">
        <f>458434</f>
        <v>458434.0</v>
      </c>
      <c r="J776" s="26" t="n">
        <f>4391</f>
        <v>4391.0</v>
      </c>
      <c r="K776" s="26" t="n">
        <f>1879</f>
        <v>1879.0</v>
      </c>
      <c r="L776" s="4" t="s">
        <v>611</v>
      </c>
      <c r="M776" s="27" t="n">
        <f>118545</f>
        <v>118545.0</v>
      </c>
      <c r="N776" s="5" t="s">
        <v>826</v>
      </c>
      <c r="O776" s="28" t="str">
        <f>"－"</f>
        <v>－</v>
      </c>
      <c r="P776" s="3" t="s">
        <v>1673</v>
      </c>
      <c r="Q776" s="26"/>
      <c r="R776" s="3" t="s">
        <v>1674</v>
      </c>
      <c r="S776" s="26" t="n">
        <f>6899221</f>
        <v>6899221.0</v>
      </c>
      <c r="T776" s="26" t="n">
        <f>5765760</f>
        <v>5765760.0</v>
      </c>
      <c r="U776" s="5" t="s">
        <v>243</v>
      </c>
      <c r="V776" s="28" t="n">
        <f>125353070</f>
        <v>1.2535307E8</v>
      </c>
      <c r="W776" s="5" t="s">
        <v>826</v>
      </c>
      <c r="X776" s="28" t="str">
        <f>"－"</f>
        <v>－</v>
      </c>
      <c r="Y776" s="28" t="n">
        <f>114742</f>
        <v>114742.0</v>
      </c>
      <c r="Z776" s="26" t="n">
        <f>21905</f>
        <v>21905.0</v>
      </c>
      <c r="AA776" s="26" t="n">
        <f>35001</f>
        <v>35001.0</v>
      </c>
      <c r="AB776" s="4" t="s">
        <v>983</v>
      </c>
      <c r="AC776" s="27" t="n">
        <f>168158</f>
        <v>168158.0</v>
      </c>
      <c r="AD776" s="5" t="s">
        <v>433</v>
      </c>
      <c r="AE776" s="28" t="n">
        <f>4880</f>
        <v>4880.0</v>
      </c>
    </row>
    <row r="777">
      <c r="A777" s="20" t="s">
        <v>1543</v>
      </c>
      <c r="B777" s="21" t="s">
        <v>1544</v>
      </c>
      <c r="C777" s="22" t="s">
        <v>1128</v>
      </c>
      <c r="D777" s="23" t="s">
        <v>1129</v>
      </c>
      <c r="E777" s="24" t="s">
        <v>103</v>
      </c>
      <c r="F777" s="25" t="n">
        <f>244</f>
        <v>244.0</v>
      </c>
      <c r="G777" s="26" t="n">
        <f>1600457</f>
        <v>1600457.0</v>
      </c>
      <c r="H777" s="26"/>
      <c r="I777" s="26" t="n">
        <f>49476</f>
        <v>49476.0</v>
      </c>
      <c r="J777" s="26" t="n">
        <f>6559</f>
        <v>6559.0</v>
      </c>
      <c r="K777" s="26" t="n">
        <f>203</f>
        <v>203.0</v>
      </c>
      <c r="L777" s="4" t="s">
        <v>1351</v>
      </c>
      <c r="M777" s="27" t="n">
        <f>31160</f>
        <v>31160.0</v>
      </c>
      <c r="N777" s="5" t="s">
        <v>448</v>
      </c>
      <c r="O777" s="28" t="str">
        <f>"－"</f>
        <v>－</v>
      </c>
      <c r="P777" s="3" t="s">
        <v>1675</v>
      </c>
      <c r="Q777" s="26"/>
      <c r="R777" s="3" t="s">
        <v>1676</v>
      </c>
      <c r="S777" s="26" t="n">
        <f>7308196</f>
        <v>7308196.0</v>
      </c>
      <c r="T777" s="26" t="n">
        <f>3239688</f>
        <v>3239688.0</v>
      </c>
      <c r="U777" s="5" t="s">
        <v>552</v>
      </c>
      <c r="V777" s="28" t="n">
        <f>192758720</f>
        <v>1.9275872E8</v>
      </c>
      <c r="W777" s="5" t="s">
        <v>448</v>
      </c>
      <c r="X777" s="28" t="str">
        <f>"－"</f>
        <v>－</v>
      </c>
      <c r="Y777" s="28" t="n">
        <f>114663</f>
        <v>114663.0</v>
      </c>
      <c r="Z777" s="26" t="str">
        <f>"－"</f>
        <v>－</v>
      </c>
      <c r="AA777" s="26" t="n">
        <f>36194</f>
        <v>36194.0</v>
      </c>
      <c r="AB777" s="4" t="s">
        <v>720</v>
      </c>
      <c r="AC777" s="27" t="n">
        <f>86434</f>
        <v>86434.0</v>
      </c>
      <c r="AD777" s="5" t="s">
        <v>238</v>
      </c>
      <c r="AE777" s="28" t="n">
        <f>12944</f>
        <v>12944.0</v>
      </c>
    </row>
    <row r="778">
      <c r="A778" s="20" t="s">
        <v>1543</v>
      </c>
      <c r="B778" s="21" t="s">
        <v>1544</v>
      </c>
      <c r="C778" s="22" t="s">
        <v>1132</v>
      </c>
      <c r="D778" s="23" t="s">
        <v>1133</v>
      </c>
      <c r="E778" s="24" t="s">
        <v>103</v>
      </c>
      <c r="F778" s="25" t="n">
        <f>244</f>
        <v>244.0</v>
      </c>
      <c r="G778" s="26" t="n">
        <f>2671850</f>
        <v>2671850.0</v>
      </c>
      <c r="H778" s="26"/>
      <c r="I778" s="26" t="n">
        <f>507910</f>
        <v>507910.0</v>
      </c>
      <c r="J778" s="26" t="n">
        <f>10950</f>
        <v>10950.0</v>
      </c>
      <c r="K778" s="26" t="n">
        <f>2082</f>
        <v>2082.0</v>
      </c>
      <c r="L778" s="4" t="s">
        <v>611</v>
      </c>
      <c r="M778" s="27" t="n">
        <f>118546</f>
        <v>118546.0</v>
      </c>
      <c r="N778" s="5" t="s">
        <v>731</v>
      </c>
      <c r="O778" s="28" t="str">
        <f>"－"</f>
        <v>－</v>
      </c>
      <c r="P778" s="3" t="s">
        <v>1677</v>
      </c>
      <c r="Q778" s="26"/>
      <c r="R778" s="3" t="s">
        <v>1678</v>
      </c>
      <c r="S778" s="26" t="n">
        <f>14207417</f>
        <v>1.4207417E7</v>
      </c>
      <c r="T778" s="26" t="n">
        <f>9005449</f>
        <v>9005449.0</v>
      </c>
      <c r="U778" s="5" t="s">
        <v>552</v>
      </c>
      <c r="V778" s="28" t="n">
        <f>196036020</f>
        <v>1.9603602E8</v>
      </c>
      <c r="W778" s="5" t="s">
        <v>731</v>
      </c>
      <c r="X778" s="28" t="str">
        <f>"－"</f>
        <v>－</v>
      </c>
      <c r="Y778" s="28" t="n">
        <f>229405</f>
        <v>229405.0</v>
      </c>
      <c r="Z778" s="26" t="n">
        <f>21905</f>
        <v>21905.0</v>
      </c>
      <c r="AA778" s="26" t="n">
        <f>71195</f>
        <v>71195.0</v>
      </c>
      <c r="AB778" s="4" t="s">
        <v>881</v>
      </c>
      <c r="AC778" s="27" t="n">
        <f>234518</f>
        <v>234518.0</v>
      </c>
      <c r="AD778" s="5" t="s">
        <v>1214</v>
      </c>
      <c r="AE778" s="28" t="n">
        <f>28121</f>
        <v>28121.0</v>
      </c>
    </row>
    <row r="779">
      <c r="A779" s="20" t="s">
        <v>1679</v>
      </c>
      <c r="B779" s="21" t="s">
        <v>1680</v>
      </c>
      <c r="C779" s="22" t="s">
        <v>1124</v>
      </c>
      <c r="D779" s="23" t="s">
        <v>1125</v>
      </c>
      <c r="E779" s="24" t="s">
        <v>87</v>
      </c>
      <c r="F779" s="25" t="n">
        <f>168</f>
        <v>168.0</v>
      </c>
      <c r="G779" s="26" t="str">
        <f>"－"</f>
        <v>－</v>
      </c>
      <c r="H779" s="26"/>
      <c r="I779" s="26" t="str">
        <f>"－"</f>
        <v>－</v>
      </c>
      <c r="J779" s="26" t="str">
        <f>"－"</f>
        <v>－</v>
      </c>
      <c r="K779" s="26" t="str">
        <f>"－"</f>
        <v>－</v>
      </c>
      <c r="L779" s="4" t="s">
        <v>514</v>
      </c>
      <c r="M779" s="27" t="str">
        <f>"－"</f>
        <v>－</v>
      </c>
      <c r="N779" s="5" t="s">
        <v>514</v>
      </c>
      <c r="O779" s="28" t="str">
        <f>"－"</f>
        <v>－</v>
      </c>
      <c r="P779" s="3" t="s">
        <v>160</v>
      </c>
      <c r="Q779" s="26"/>
      <c r="R779" s="3" t="s">
        <v>160</v>
      </c>
      <c r="S779" s="26" t="str">
        <f>"－"</f>
        <v>－</v>
      </c>
      <c r="T779" s="26" t="str">
        <f>"－"</f>
        <v>－</v>
      </c>
      <c r="U779" s="5" t="s">
        <v>514</v>
      </c>
      <c r="V779" s="28" t="str">
        <f>"－"</f>
        <v>－</v>
      </c>
      <c r="W779" s="5" t="s">
        <v>514</v>
      </c>
      <c r="X779" s="28" t="str">
        <f>"－"</f>
        <v>－</v>
      </c>
      <c r="Y779" s="28" t="str">
        <f>"－"</f>
        <v>－</v>
      </c>
      <c r="Z779" s="26" t="str">
        <f>"－"</f>
        <v>－</v>
      </c>
      <c r="AA779" s="26" t="str">
        <f>"－"</f>
        <v>－</v>
      </c>
      <c r="AB779" s="4" t="s">
        <v>514</v>
      </c>
      <c r="AC779" s="27" t="str">
        <f>"－"</f>
        <v>－</v>
      </c>
      <c r="AD779" s="5" t="s">
        <v>514</v>
      </c>
      <c r="AE779" s="28" t="str">
        <f>"－"</f>
        <v>－</v>
      </c>
    </row>
    <row r="780">
      <c r="A780" s="20" t="s">
        <v>1679</v>
      </c>
      <c r="B780" s="21" t="s">
        <v>1680</v>
      </c>
      <c r="C780" s="22" t="s">
        <v>1128</v>
      </c>
      <c r="D780" s="23" t="s">
        <v>1129</v>
      </c>
      <c r="E780" s="24" t="s">
        <v>87</v>
      </c>
      <c r="F780" s="25" t="n">
        <f>168</f>
        <v>168.0</v>
      </c>
      <c r="G780" s="26" t="str">
        <f>"－"</f>
        <v>－</v>
      </c>
      <c r="H780" s="26"/>
      <c r="I780" s="26" t="str">
        <f>"－"</f>
        <v>－</v>
      </c>
      <c r="J780" s="26" t="str">
        <f>"－"</f>
        <v>－</v>
      </c>
      <c r="K780" s="26" t="str">
        <f>"－"</f>
        <v>－</v>
      </c>
      <c r="L780" s="4" t="s">
        <v>514</v>
      </c>
      <c r="M780" s="27" t="str">
        <f>"－"</f>
        <v>－</v>
      </c>
      <c r="N780" s="5" t="s">
        <v>514</v>
      </c>
      <c r="O780" s="28" t="str">
        <f>"－"</f>
        <v>－</v>
      </c>
      <c r="P780" s="3" t="s">
        <v>160</v>
      </c>
      <c r="Q780" s="26"/>
      <c r="R780" s="3" t="s">
        <v>160</v>
      </c>
      <c r="S780" s="26" t="str">
        <f>"－"</f>
        <v>－</v>
      </c>
      <c r="T780" s="26" t="str">
        <f>"－"</f>
        <v>－</v>
      </c>
      <c r="U780" s="5" t="s">
        <v>514</v>
      </c>
      <c r="V780" s="28" t="str">
        <f>"－"</f>
        <v>－</v>
      </c>
      <c r="W780" s="5" t="s">
        <v>514</v>
      </c>
      <c r="X780" s="28" t="str">
        <f>"－"</f>
        <v>－</v>
      </c>
      <c r="Y780" s="28" t="str">
        <f>"－"</f>
        <v>－</v>
      </c>
      <c r="Z780" s="26" t="str">
        <f>"－"</f>
        <v>－</v>
      </c>
      <c r="AA780" s="26" t="str">
        <f>"－"</f>
        <v>－</v>
      </c>
      <c r="AB780" s="4" t="s">
        <v>514</v>
      </c>
      <c r="AC780" s="27" t="str">
        <f>"－"</f>
        <v>－</v>
      </c>
      <c r="AD780" s="5" t="s">
        <v>514</v>
      </c>
      <c r="AE780" s="28" t="str">
        <f>"－"</f>
        <v>－</v>
      </c>
    </row>
    <row r="781">
      <c r="A781" s="20" t="s">
        <v>1679</v>
      </c>
      <c r="B781" s="21" t="s">
        <v>1680</v>
      </c>
      <c r="C781" s="22" t="s">
        <v>1132</v>
      </c>
      <c r="D781" s="23" t="s">
        <v>1133</v>
      </c>
      <c r="E781" s="24" t="s">
        <v>87</v>
      </c>
      <c r="F781" s="25" t="n">
        <f>168</f>
        <v>168.0</v>
      </c>
      <c r="G781" s="26" t="str">
        <f>"－"</f>
        <v>－</v>
      </c>
      <c r="H781" s="26"/>
      <c r="I781" s="26" t="str">
        <f>"－"</f>
        <v>－</v>
      </c>
      <c r="J781" s="26" t="str">
        <f>"－"</f>
        <v>－</v>
      </c>
      <c r="K781" s="26" t="str">
        <f>"－"</f>
        <v>－</v>
      </c>
      <c r="L781" s="4" t="s">
        <v>514</v>
      </c>
      <c r="M781" s="27" t="str">
        <f>"－"</f>
        <v>－</v>
      </c>
      <c r="N781" s="5" t="s">
        <v>514</v>
      </c>
      <c r="O781" s="28" t="str">
        <f>"－"</f>
        <v>－</v>
      </c>
      <c r="P781" s="3" t="s">
        <v>160</v>
      </c>
      <c r="Q781" s="26"/>
      <c r="R781" s="3" t="s">
        <v>160</v>
      </c>
      <c r="S781" s="26" t="str">
        <f>"－"</f>
        <v>－</v>
      </c>
      <c r="T781" s="26" t="str">
        <f>"－"</f>
        <v>－</v>
      </c>
      <c r="U781" s="5" t="s">
        <v>514</v>
      </c>
      <c r="V781" s="28" t="str">
        <f>"－"</f>
        <v>－</v>
      </c>
      <c r="W781" s="5" t="s">
        <v>514</v>
      </c>
      <c r="X781" s="28" t="str">
        <f>"－"</f>
        <v>－</v>
      </c>
      <c r="Y781" s="28" t="str">
        <f>"－"</f>
        <v>－</v>
      </c>
      <c r="Z781" s="26" t="str">
        <f>"－"</f>
        <v>－</v>
      </c>
      <c r="AA781" s="26" t="str">
        <f>"－"</f>
        <v>－</v>
      </c>
      <c r="AB781" s="4" t="s">
        <v>514</v>
      </c>
      <c r="AC781" s="27" t="str">
        <f>"－"</f>
        <v>－</v>
      </c>
      <c r="AD781" s="5" t="s">
        <v>514</v>
      </c>
      <c r="AE781" s="28" t="str">
        <f>"－"</f>
        <v>－</v>
      </c>
    </row>
    <row r="782">
      <c r="A782" s="20" t="s">
        <v>1679</v>
      </c>
      <c r="B782" s="21" t="s">
        <v>1680</v>
      </c>
      <c r="C782" s="22" t="s">
        <v>1124</v>
      </c>
      <c r="D782" s="23" t="s">
        <v>1125</v>
      </c>
      <c r="E782" s="24" t="s">
        <v>92</v>
      </c>
      <c r="F782" s="25" t="n">
        <f>244</f>
        <v>244.0</v>
      </c>
      <c r="G782" s="26" t="str">
        <f>"－"</f>
        <v>－</v>
      </c>
      <c r="H782" s="26"/>
      <c r="I782" s="26" t="str">
        <f>"－"</f>
        <v>－</v>
      </c>
      <c r="J782" s="26" t="str">
        <f>"－"</f>
        <v>－</v>
      </c>
      <c r="K782" s="26" t="str">
        <f>"－"</f>
        <v>－</v>
      </c>
      <c r="L782" s="4" t="s">
        <v>213</v>
      </c>
      <c r="M782" s="27" t="str">
        <f>"－"</f>
        <v>－</v>
      </c>
      <c r="N782" s="5" t="s">
        <v>213</v>
      </c>
      <c r="O782" s="28" t="str">
        <f>"－"</f>
        <v>－</v>
      </c>
      <c r="P782" s="3" t="s">
        <v>160</v>
      </c>
      <c r="Q782" s="26"/>
      <c r="R782" s="3" t="s">
        <v>160</v>
      </c>
      <c r="S782" s="26" t="str">
        <f>"－"</f>
        <v>－</v>
      </c>
      <c r="T782" s="26" t="str">
        <f>"－"</f>
        <v>－</v>
      </c>
      <c r="U782" s="5" t="s">
        <v>213</v>
      </c>
      <c r="V782" s="28" t="str">
        <f>"－"</f>
        <v>－</v>
      </c>
      <c r="W782" s="5" t="s">
        <v>213</v>
      </c>
      <c r="X782" s="28" t="str">
        <f>"－"</f>
        <v>－</v>
      </c>
      <c r="Y782" s="28" t="str">
        <f>"－"</f>
        <v>－</v>
      </c>
      <c r="Z782" s="26" t="str">
        <f>"－"</f>
        <v>－</v>
      </c>
      <c r="AA782" s="26" t="str">
        <f>"－"</f>
        <v>－</v>
      </c>
      <c r="AB782" s="4" t="s">
        <v>213</v>
      </c>
      <c r="AC782" s="27" t="str">
        <f>"－"</f>
        <v>－</v>
      </c>
      <c r="AD782" s="5" t="s">
        <v>213</v>
      </c>
      <c r="AE782" s="28" t="str">
        <f>"－"</f>
        <v>－</v>
      </c>
    </row>
    <row r="783">
      <c r="A783" s="20" t="s">
        <v>1679</v>
      </c>
      <c r="B783" s="21" t="s">
        <v>1680</v>
      </c>
      <c r="C783" s="22" t="s">
        <v>1128</v>
      </c>
      <c r="D783" s="23" t="s">
        <v>1129</v>
      </c>
      <c r="E783" s="24" t="s">
        <v>92</v>
      </c>
      <c r="F783" s="25" t="n">
        <f>244</f>
        <v>244.0</v>
      </c>
      <c r="G783" s="26" t="str">
        <f>"－"</f>
        <v>－</v>
      </c>
      <c r="H783" s="26"/>
      <c r="I783" s="26" t="str">
        <f>"－"</f>
        <v>－</v>
      </c>
      <c r="J783" s="26" t="str">
        <f>"－"</f>
        <v>－</v>
      </c>
      <c r="K783" s="26" t="str">
        <f>"－"</f>
        <v>－</v>
      </c>
      <c r="L783" s="4" t="s">
        <v>213</v>
      </c>
      <c r="M783" s="27" t="str">
        <f>"－"</f>
        <v>－</v>
      </c>
      <c r="N783" s="5" t="s">
        <v>213</v>
      </c>
      <c r="O783" s="28" t="str">
        <f>"－"</f>
        <v>－</v>
      </c>
      <c r="P783" s="3" t="s">
        <v>160</v>
      </c>
      <c r="Q783" s="26"/>
      <c r="R783" s="3" t="s">
        <v>160</v>
      </c>
      <c r="S783" s="26" t="str">
        <f>"－"</f>
        <v>－</v>
      </c>
      <c r="T783" s="26" t="str">
        <f>"－"</f>
        <v>－</v>
      </c>
      <c r="U783" s="5" t="s">
        <v>213</v>
      </c>
      <c r="V783" s="28" t="str">
        <f>"－"</f>
        <v>－</v>
      </c>
      <c r="W783" s="5" t="s">
        <v>213</v>
      </c>
      <c r="X783" s="28" t="str">
        <f>"－"</f>
        <v>－</v>
      </c>
      <c r="Y783" s="28" t="str">
        <f>"－"</f>
        <v>－</v>
      </c>
      <c r="Z783" s="26" t="str">
        <f>"－"</f>
        <v>－</v>
      </c>
      <c r="AA783" s="26" t="str">
        <f>"－"</f>
        <v>－</v>
      </c>
      <c r="AB783" s="4" t="s">
        <v>213</v>
      </c>
      <c r="AC783" s="27" t="str">
        <f>"－"</f>
        <v>－</v>
      </c>
      <c r="AD783" s="5" t="s">
        <v>213</v>
      </c>
      <c r="AE783" s="28" t="str">
        <f>"－"</f>
        <v>－</v>
      </c>
    </row>
    <row r="784">
      <c r="A784" s="20" t="s">
        <v>1679</v>
      </c>
      <c r="B784" s="21" t="s">
        <v>1680</v>
      </c>
      <c r="C784" s="22" t="s">
        <v>1132</v>
      </c>
      <c r="D784" s="23" t="s">
        <v>1133</v>
      </c>
      <c r="E784" s="24" t="s">
        <v>92</v>
      </c>
      <c r="F784" s="25" t="n">
        <f>244</f>
        <v>244.0</v>
      </c>
      <c r="G784" s="26" t="str">
        <f>"－"</f>
        <v>－</v>
      </c>
      <c r="H784" s="26"/>
      <c r="I784" s="26" t="str">
        <f>"－"</f>
        <v>－</v>
      </c>
      <c r="J784" s="26" t="str">
        <f>"－"</f>
        <v>－</v>
      </c>
      <c r="K784" s="26" t="str">
        <f>"－"</f>
        <v>－</v>
      </c>
      <c r="L784" s="4" t="s">
        <v>213</v>
      </c>
      <c r="M784" s="27" t="str">
        <f>"－"</f>
        <v>－</v>
      </c>
      <c r="N784" s="5" t="s">
        <v>213</v>
      </c>
      <c r="O784" s="28" t="str">
        <f>"－"</f>
        <v>－</v>
      </c>
      <c r="P784" s="3" t="s">
        <v>160</v>
      </c>
      <c r="Q784" s="26"/>
      <c r="R784" s="3" t="s">
        <v>160</v>
      </c>
      <c r="S784" s="26" t="str">
        <f>"－"</f>
        <v>－</v>
      </c>
      <c r="T784" s="26" t="str">
        <f>"－"</f>
        <v>－</v>
      </c>
      <c r="U784" s="5" t="s">
        <v>213</v>
      </c>
      <c r="V784" s="28" t="str">
        <f>"－"</f>
        <v>－</v>
      </c>
      <c r="W784" s="5" t="s">
        <v>213</v>
      </c>
      <c r="X784" s="28" t="str">
        <f>"－"</f>
        <v>－</v>
      </c>
      <c r="Y784" s="28" t="str">
        <f>"－"</f>
        <v>－</v>
      </c>
      <c r="Z784" s="26" t="str">
        <f>"－"</f>
        <v>－</v>
      </c>
      <c r="AA784" s="26" t="str">
        <f>"－"</f>
        <v>－</v>
      </c>
      <c r="AB784" s="4" t="s">
        <v>213</v>
      </c>
      <c r="AC784" s="27" t="str">
        <f>"－"</f>
        <v>－</v>
      </c>
      <c r="AD784" s="5" t="s">
        <v>213</v>
      </c>
      <c r="AE784" s="28" t="str">
        <f>"－"</f>
        <v>－</v>
      </c>
    </row>
    <row r="785">
      <c r="A785" s="20" t="s">
        <v>1679</v>
      </c>
      <c r="B785" s="21" t="s">
        <v>1680</v>
      </c>
      <c r="C785" s="22" t="s">
        <v>1124</v>
      </c>
      <c r="D785" s="23" t="s">
        <v>1125</v>
      </c>
      <c r="E785" s="24" t="s">
        <v>98</v>
      </c>
      <c r="F785" s="25" t="n">
        <f>245</f>
        <v>245.0</v>
      </c>
      <c r="G785" s="26" t="str">
        <f>"－"</f>
        <v>－</v>
      </c>
      <c r="H785" s="26"/>
      <c r="I785" s="26" t="str">
        <f>"－"</f>
        <v>－</v>
      </c>
      <c r="J785" s="26" t="str">
        <f>"－"</f>
        <v>－</v>
      </c>
      <c r="K785" s="26" t="str">
        <f>"－"</f>
        <v>－</v>
      </c>
      <c r="L785" s="4" t="s">
        <v>213</v>
      </c>
      <c r="M785" s="27" t="str">
        <f>"－"</f>
        <v>－</v>
      </c>
      <c r="N785" s="5" t="s">
        <v>213</v>
      </c>
      <c r="O785" s="28" t="str">
        <f>"－"</f>
        <v>－</v>
      </c>
      <c r="P785" s="3" t="s">
        <v>160</v>
      </c>
      <c r="Q785" s="26"/>
      <c r="R785" s="3" t="s">
        <v>160</v>
      </c>
      <c r="S785" s="26" t="str">
        <f>"－"</f>
        <v>－</v>
      </c>
      <c r="T785" s="26" t="str">
        <f>"－"</f>
        <v>－</v>
      </c>
      <c r="U785" s="5" t="s">
        <v>213</v>
      </c>
      <c r="V785" s="28" t="str">
        <f>"－"</f>
        <v>－</v>
      </c>
      <c r="W785" s="5" t="s">
        <v>213</v>
      </c>
      <c r="X785" s="28" t="str">
        <f>"－"</f>
        <v>－</v>
      </c>
      <c r="Y785" s="28" t="str">
        <f>"－"</f>
        <v>－</v>
      </c>
      <c r="Z785" s="26" t="str">
        <f>"－"</f>
        <v>－</v>
      </c>
      <c r="AA785" s="26" t="str">
        <f>"－"</f>
        <v>－</v>
      </c>
      <c r="AB785" s="4" t="s">
        <v>213</v>
      </c>
      <c r="AC785" s="27" t="str">
        <f>"－"</f>
        <v>－</v>
      </c>
      <c r="AD785" s="5" t="s">
        <v>213</v>
      </c>
      <c r="AE785" s="28" t="str">
        <f>"－"</f>
        <v>－</v>
      </c>
    </row>
    <row r="786">
      <c r="A786" s="20" t="s">
        <v>1679</v>
      </c>
      <c r="B786" s="21" t="s">
        <v>1680</v>
      </c>
      <c r="C786" s="22" t="s">
        <v>1128</v>
      </c>
      <c r="D786" s="23" t="s">
        <v>1129</v>
      </c>
      <c r="E786" s="24" t="s">
        <v>98</v>
      </c>
      <c r="F786" s="25" t="n">
        <f>245</f>
        <v>245.0</v>
      </c>
      <c r="G786" s="26" t="str">
        <f>"－"</f>
        <v>－</v>
      </c>
      <c r="H786" s="26"/>
      <c r="I786" s="26" t="str">
        <f>"－"</f>
        <v>－</v>
      </c>
      <c r="J786" s="26" t="str">
        <f>"－"</f>
        <v>－</v>
      </c>
      <c r="K786" s="26" t="str">
        <f>"－"</f>
        <v>－</v>
      </c>
      <c r="L786" s="4" t="s">
        <v>213</v>
      </c>
      <c r="M786" s="27" t="str">
        <f>"－"</f>
        <v>－</v>
      </c>
      <c r="N786" s="5" t="s">
        <v>213</v>
      </c>
      <c r="O786" s="28" t="str">
        <f>"－"</f>
        <v>－</v>
      </c>
      <c r="P786" s="3" t="s">
        <v>160</v>
      </c>
      <c r="Q786" s="26"/>
      <c r="R786" s="3" t="s">
        <v>160</v>
      </c>
      <c r="S786" s="26" t="str">
        <f>"－"</f>
        <v>－</v>
      </c>
      <c r="T786" s="26" t="str">
        <f>"－"</f>
        <v>－</v>
      </c>
      <c r="U786" s="5" t="s">
        <v>213</v>
      </c>
      <c r="V786" s="28" t="str">
        <f>"－"</f>
        <v>－</v>
      </c>
      <c r="W786" s="5" t="s">
        <v>213</v>
      </c>
      <c r="X786" s="28" t="str">
        <f>"－"</f>
        <v>－</v>
      </c>
      <c r="Y786" s="28" t="str">
        <f>"－"</f>
        <v>－</v>
      </c>
      <c r="Z786" s="26" t="str">
        <f>"－"</f>
        <v>－</v>
      </c>
      <c r="AA786" s="26" t="str">
        <f>"－"</f>
        <v>－</v>
      </c>
      <c r="AB786" s="4" t="s">
        <v>213</v>
      </c>
      <c r="AC786" s="27" t="str">
        <f>"－"</f>
        <v>－</v>
      </c>
      <c r="AD786" s="5" t="s">
        <v>213</v>
      </c>
      <c r="AE786" s="28" t="str">
        <f>"－"</f>
        <v>－</v>
      </c>
    </row>
    <row r="787">
      <c r="A787" s="20" t="s">
        <v>1679</v>
      </c>
      <c r="B787" s="21" t="s">
        <v>1680</v>
      </c>
      <c r="C787" s="22" t="s">
        <v>1132</v>
      </c>
      <c r="D787" s="23" t="s">
        <v>1133</v>
      </c>
      <c r="E787" s="24" t="s">
        <v>98</v>
      </c>
      <c r="F787" s="25" t="n">
        <f>245</f>
        <v>245.0</v>
      </c>
      <c r="G787" s="26" t="str">
        <f>"－"</f>
        <v>－</v>
      </c>
      <c r="H787" s="26"/>
      <c r="I787" s="26" t="str">
        <f>"－"</f>
        <v>－</v>
      </c>
      <c r="J787" s="26" t="str">
        <f>"－"</f>
        <v>－</v>
      </c>
      <c r="K787" s="26" t="str">
        <f>"－"</f>
        <v>－</v>
      </c>
      <c r="L787" s="4" t="s">
        <v>213</v>
      </c>
      <c r="M787" s="27" t="str">
        <f>"－"</f>
        <v>－</v>
      </c>
      <c r="N787" s="5" t="s">
        <v>213</v>
      </c>
      <c r="O787" s="28" t="str">
        <f>"－"</f>
        <v>－</v>
      </c>
      <c r="P787" s="3" t="s">
        <v>160</v>
      </c>
      <c r="Q787" s="26"/>
      <c r="R787" s="3" t="s">
        <v>160</v>
      </c>
      <c r="S787" s="26" t="str">
        <f>"－"</f>
        <v>－</v>
      </c>
      <c r="T787" s="26" t="str">
        <f>"－"</f>
        <v>－</v>
      </c>
      <c r="U787" s="5" t="s">
        <v>213</v>
      </c>
      <c r="V787" s="28" t="str">
        <f>"－"</f>
        <v>－</v>
      </c>
      <c r="W787" s="5" t="s">
        <v>213</v>
      </c>
      <c r="X787" s="28" t="str">
        <f>"－"</f>
        <v>－</v>
      </c>
      <c r="Y787" s="28" t="str">
        <f>"－"</f>
        <v>－</v>
      </c>
      <c r="Z787" s="26" t="str">
        <f>"－"</f>
        <v>－</v>
      </c>
      <c r="AA787" s="26" t="str">
        <f>"－"</f>
        <v>－</v>
      </c>
      <c r="AB787" s="4" t="s">
        <v>213</v>
      </c>
      <c r="AC787" s="27" t="str">
        <f>"－"</f>
        <v>－</v>
      </c>
      <c r="AD787" s="5" t="s">
        <v>213</v>
      </c>
      <c r="AE787" s="28" t="str">
        <f>"－"</f>
        <v>－</v>
      </c>
    </row>
    <row r="788">
      <c r="A788" s="20" t="s">
        <v>1679</v>
      </c>
      <c r="B788" s="21" t="s">
        <v>1680</v>
      </c>
      <c r="C788" s="22" t="s">
        <v>1124</v>
      </c>
      <c r="D788" s="23" t="s">
        <v>1125</v>
      </c>
      <c r="E788" s="24" t="s">
        <v>103</v>
      </c>
      <c r="F788" s="25" t="n">
        <f>244</f>
        <v>244.0</v>
      </c>
      <c r="G788" s="26" t="str">
        <f>"－"</f>
        <v>－</v>
      </c>
      <c r="H788" s="26"/>
      <c r="I788" s="26" t="str">
        <f>"－"</f>
        <v>－</v>
      </c>
      <c r="J788" s="26" t="str">
        <f>"－"</f>
        <v>－</v>
      </c>
      <c r="K788" s="26" t="str">
        <f>"－"</f>
        <v>－</v>
      </c>
      <c r="L788" s="4" t="s">
        <v>399</v>
      </c>
      <c r="M788" s="27" t="str">
        <f>"－"</f>
        <v>－</v>
      </c>
      <c r="N788" s="5" t="s">
        <v>399</v>
      </c>
      <c r="O788" s="28" t="str">
        <f>"－"</f>
        <v>－</v>
      </c>
      <c r="P788" s="3" t="s">
        <v>160</v>
      </c>
      <c r="Q788" s="26"/>
      <c r="R788" s="3" t="s">
        <v>160</v>
      </c>
      <c r="S788" s="26" t="str">
        <f>"－"</f>
        <v>－</v>
      </c>
      <c r="T788" s="26" t="str">
        <f>"－"</f>
        <v>－</v>
      </c>
      <c r="U788" s="5" t="s">
        <v>399</v>
      </c>
      <c r="V788" s="28" t="str">
        <f>"－"</f>
        <v>－</v>
      </c>
      <c r="W788" s="5" t="s">
        <v>399</v>
      </c>
      <c r="X788" s="28" t="str">
        <f>"－"</f>
        <v>－</v>
      </c>
      <c r="Y788" s="28" t="str">
        <f>"－"</f>
        <v>－</v>
      </c>
      <c r="Z788" s="26" t="str">
        <f>"－"</f>
        <v>－</v>
      </c>
      <c r="AA788" s="26" t="str">
        <f>"－"</f>
        <v>－</v>
      </c>
      <c r="AB788" s="4" t="s">
        <v>399</v>
      </c>
      <c r="AC788" s="27" t="str">
        <f>"－"</f>
        <v>－</v>
      </c>
      <c r="AD788" s="5" t="s">
        <v>399</v>
      </c>
      <c r="AE788" s="28" t="str">
        <f>"－"</f>
        <v>－</v>
      </c>
    </row>
    <row r="789">
      <c r="A789" s="20" t="s">
        <v>1679</v>
      </c>
      <c r="B789" s="21" t="s">
        <v>1680</v>
      </c>
      <c r="C789" s="22" t="s">
        <v>1128</v>
      </c>
      <c r="D789" s="23" t="s">
        <v>1129</v>
      </c>
      <c r="E789" s="24" t="s">
        <v>103</v>
      </c>
      <c r="F789" s="25" t="n">
        <f>244</f>
        <v>244.0</v>
      </c>
      <c r="G789" s="26" t="str">
        <f>"－"</f>
        <v>－</v>
      </c>
      <c r="H789" s="26"/>
      <c r="I789" s="26" t="str">
        <f>"－"</f>
        <v>－</v>
      </c>
      <c r="J789" s="26" t="str">
        <f>"－"</f>
        <v>－</v>
      </c>
      <c r="K789" s="26" t="str">
        <f>"－"</f>
        <v>－</v>
      </c>
      <c r="L789" s="4" t="s">
        <v>399</v>
      </c>
      <c r="M789" s="27" t="str">
        <f>"－"</f>
        <v>－</v>
      </c>
      <c r="N789" s="5" t="s">
        <v>399</v>
      </c>
      <c r="O789" s="28" t="str">
        <f>"－"</f>
        <v>－</v>
      </c>
      <c r="P789" s="3" t="s">
        <v>160</v>
      </c>
      <c r="Q789" s="26"/>
      <c r="R789" s="3" t="s">
        <v>160</v>
      </c>
      <c r="S789" s="26" t="str">
        <f>"－"</f>
        <v>－</v>
      </c>
      <c r="T789" s="26" t="str">
        <f>"－"</f>
        <v>－</v>
      </c>
      <c r="U789" s="5" t="s">
        <v>399</v>
      </c>
      <c r="V789" s="28" t="str">
        <f>"－"</f>
        <v>－</v>
      </c>
      <c r="W789" s="5" t="s">
        <v>399</v>
      </c>
      <c r="X789" s="28" t="str">
        <f>"－"</f>
        <v>－</v>
      </c>
      <c r="Y789" s="28" t="str">
        <f>"－"</f>
        <v>－</v>
      </c>
      <c r="Z789" s="26" t="str">
        <f>"－"</f>
        <v>－</v>
      </c>
      <c r="AA789" s="26" t="str">
        <f>"－"</f>
        <v>－</v>
      </c>
      <c r="AB789" s="4" t="s">
        <v>399</v>
      </c>
      <c r="AC789" s="27" t="str">
        <f>"－"</f>
        <v>－</v>
      </c>
      <c r="AD789" s="5" t="s">
        <v>399</v>
      </c>
      <c r="AE789" s="28" t="str">
        <f>"－"</f>
        <v>－</v>
      </c>
    </row>
    <row r="790">
      <c r="A790" s="20" t="s">
        <v>1679</v>
      </c>
      <c r="B790" s="21" t="s">
        <v>1680</v>
      </c>
      <c r="C790" s="22" t="s">
        <v>1132</v>
      </c>
      <c r="D790" s="23" t="s">
        <v>1133</v>
      </c>
      <c r="E790" s="24" t="s">
        <v>103</v>
      </c>
      <c r="F790" s="25" t="n">
        <f>244</f>
        <v>244.0</v>
      </c>
      <c r="G790" s="26" t="str">
        <f>"－"</f>
        <v>－</v>
      </c>
      <c r="H790" s="26"/>
      <c r="I790" s="26" t="str">
        <f>"－"</f>
        <v>－</v>
      </c>
      <c r="J790" s="26" t="str">
        <f>"－"</f>
        <v>－</v>
      </c>
      <c r="K790" s="26" t="str">
        <f>"－"</f>
        <v>－</v>
      </c>
      <c r="L790" s="4" t="s">
        <v>399</v>
      </c>
      <c r="M790" s="27" t="str">
        <f>"－"</f>
        <v>－</v>
      </c>
      <c r="N790" s="5" t="s">
        <v>399</v>
      </c>
      <c r="O790" s="28" t="str">
        <f>"－"</f>
        <v>－</v>
      </c>
      <c r="P790" s="3" t="s">
        <v>160</v>
      </c>
      <c r="Q790" s="26"/>
      <c r="R790" s="3" t="s">
        <v>160</v>
      </c>
      <c r="S790" s="26" t="str">
        <f>"－"</f>
        <v>－</v>
      </c>
      <c r="T790" s="26" t="str">
        <f>"－"</f>
        <v>－</v>
      </c>
      <c r="U790" s="5" t="s">
        <v>399</v>
      </c>
      <c r="V790" s="28" t="str">
        <f>"－"</f>
        <v>－</v>
      </c>
      <c r="W790" s="5" t="s">
        <v>399</v>
      </c>
      <c r="X790" s="28" t="str">
        <f>"－"</f>
        <v>－</v>
      </c>
      <c r="Y790" s="28" t="str">
        <f>"－"</f>
        <v>－</v>
      </c>
      <c r="Z790" s="26" t="str">
        <f>"－"</f>
        <v>－</v>
      </c>
      <c r="AA790" s="26" t="str">
        <f>"－"</f>
        <v>－</v>
      </c>
      <c r="AB790" s="4" t="s">
        <v>399</v>
      </c>
      <c r="AC790" s="27" t="str">
        <f>"－"</f>
        <v>－</v>
      </c>
      <c r="AD790" s="5" t="s">
        <v>399</v>
      </c>
      <c r="AE790" s="28" t="str">
        <f>"－"</f>
        <v>－</v>
      </c>
    </row>
  </sheetData>
  <mergeCells count="24">
    <mergeCell ref="AA3:AE3"/>
    <mergeCell ref="G4:G5"/>
    <mergeCell ref="J4:J5"/>
    <mergeCell ref="L4:M4"/>
    <mergeCell ref="N4:O4"/>
    <mergeCell ref="AB4:AC4"/>
    <mergeCell ref="AD4:AE4"/>
    <mergeCell ref="U4:V4"/>
    <mergeCell ref="W4:X4"/>
    <mergeCell ref="P4:P5"/>
    <mergeCell ref="S4:S5"/>
    <mergeCell ref="AA4:AA5"/>
    <mergeCell ref="F3:F5"/>
    <mergeCell ref="G3:O3"/>
    <mergeCell ref="P3:X3"/>
    <mergeCell ref="Y3:Y5"/>
    <mergeCell ref="Z3:Z5"/>
    <mergeCell ref="A1:E1"/>
    <mergeCell ref="A2:E2"/>
    <mergeCell ref="E3:E5"/>
    <mergeCell ref="A3:A6"/>
    <mergeCell ref="B3:B6"/>
    <mergeCell ref="D3:D6"/>
    <mergeCell ref="C3:C6"/>
  </mergeCells>
  <phoneticPr fontId="4"/>
  <printOptions horizontalCentered="1"/>
  <pageMargins bottom="0.47244094488188981" footer="0.11811023622047245" header="0.11811023622047245" left="0.23622047244094491" right="0.23622047244094491" top="0.35433070866141736"/>
  <pageSetup fitToHeight="0" orientation="landscape" paperSize="9" r:id="rId1" scale="24" useFirstPageNumber="1"/>
  <headerFooter>
    <oddFooter>&amp;C&amp;P/&amp;N&amp;RCopyright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BO_DM0042</vt:lpstr>
      <vt:lpstr>BO_DM0042!Print_Titles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2019-01-16T04:05:11Z</cp:lastPrinted>
  <dcterms:modified xsi:type="dcterms:W3CDTF">2020-08-31T01:10:35Z</dcterms:modified>
</cp:coreProperties>
</file>