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1995" windowWidth="20520" xWindow="-15" yWindow="6030"/>
  </bookViews>
  <sheets>
    <sheet name="BO_DM0043" r:id="rId1" sheetId="7"/>
  </sheets>
  <definedNames>
    <definedName localSheetId="0" name="_xlnm.Print_Titles">BO_DM0043!$3:$6</definedName>
  </definedNames>
  <calcPr calcId="145621"/>
</workbook>
</file>

<file path=xl/sharedStrings.xml><?xml version="1.0" encoding="utf-8"?>
<sst xmlns="http://schemas.openxmlformats.org/spreadsheetml/2006/main" count="18777" uniqueCount="2777">
  <si>
    <t>立会日数</t>
    <phoneticPr fontId="4"/>
  </si>
  <si>
    <t>権利行使数量合計（単位）</t>
    <phoneticPr fontId="4"/>
  </si>
  <si>
    <t>ギブアップ数量（単位）</t>
    <phoneticPr fontId="4"/>
  </si>
  <si>
    <t>Trading
Days</t>
    <phoneticPr fontId="4"/>
  </si>
  <si>
    <t xml:space="preserve"> Total(unit)</t>
    <phoneticPr fontId="4"/>
  </si>
  <si>
    <t>Daily Average(unit)</t>
    <phoneticPr fontId="4"/>
  </si>
  <si>
    <t>Contracts Exercised Total(unit)</t>
    <phoneticPr fontId="4"/>
  </si>
  <si>
    <t>Give Up Volume(unit)</t>
    <phoneticPr fontId="4"/>
  </si>
  <si>
    <t>合計 （単位）</t>
    <phoneticPr fontId="4"/>
  </si>
  <si>
    <t>High(unit)</t>
    <phoneticPr fontId="4"/>
  </si>
  <si>
    <t>Daily Average(￥)</t>
    <phoneticPr fontId="4"/>
  </si>
  <si>
    <t>取引高  Trading Volume</t>
    <phoneticPr fontId="4"/>
  </si>
  <si>
    <t>取引金額  Trading Value</t>
    <phoneticPr fontId="4"/>
  </si>
  <si>
    <t>建玉現在高  Open Interest</t>
    <phoneticPr fontId="4"/>
  </si>
  <si>
    <t>合計（円）</t>
    <phoneticPr fontId="4"/>
  </si>
  <si>
    <t>J-NET(unit)</t>
    <phoneticPr fontId="4"/>
  </si>
  <si>
    <t>Exercise Volume(unit)</t>
    <phoneticPr fontId="4"/>
  </si>
  <si>
    <t>J-NET(￥)</t>
    <phoneticPr fontId="4"/>
  </si>
  <si>
    <t>Total(￥)</t>
    <phoneticPr fontId="4"/>
  </si>
  <si>
    <t>Exercise Value(￥)</t>
    <phoneticPr fontId="4"/>
  </si>
  <si>
    <t>一日平均（円）</t>
    <phoneticPr fontId="4"/>
  </si>
  <si>
    <t>権利行使分（円）</t>
    <phoneticPr fontId="4"/>
  </si>
  <si>
    <t>一日平均 （単位）</t>
    <phoneticPr fontId="4"/>
  </si>
  <si>
    <t>権利行使分（単位）</t>
    <rPh eb="2" sb="0">
      <t>ケンリ</t>
    </rPh>
    <rPh eb="4" sb="2">
      <t>コウシ</t>
    </rPh>
    <rPh eb="5" sb="4">
      <t>ブン</t>
    </rPh>
    <phoneticPr fontId="4"/>
  </si>
  <si>
    <t>J-NET（単位）</t>
  </si>
  <si>
    <t>J-NET（円）</t>
  </si>
  <si>
    <t>単位</t>
    <rPh eb="2" sb="0">
      <t>タンイ</t>
    </rPh>
    <phoneticPr fontId="4"/>
  </si>
  <si>
    <t>J-NET(￥)</t>
    <phoneticPr fontId="4"/>
  </si>
  <si>
    <t>Low(unit)</t>
    <phoneticPr fontId="4"/>
  </si>
  <si>
    <t>最低</t>
    <phoneticPr fontId="4"/>
  </si>
  <si>
    <t>最高</t>
    <phoneticPr fontId="4"/>
  </si>
  <si>
    <t>High(￥)</t>
    <phoneticPr fontId="4"/>
  </si>
  <si>
    <t>Low(￥)</t>
    <phoneticPr fontId="4"/>
  </si>
  <si>
    <t>月日</t>
    <rPh eb="2" sb="0">
      <t>ツキヒ</t>
    </rPh>
    <phoneticPr fontId="4"/>
  </si>
  <si>
    <t>年半期</t>
    <rPh eb="1" sb="0">
      <t>ネン</t>
    </rPh>
    <rPh eb="3" sb="1">
      <t>ハンキ</t>
    </rPh>
    <phoneticPr fontId="4"/>
  </si>
  <si>
    <t>商品等</t>
    <rPh eb="2" sb="0">
      <t>ショウヒン</t>
    </rPh>
    <rPh eb="3" sb="2">
      <t>トウ</t>
    </rPh>
    <phoneticPr fontId="4"/>
  </si>
  <si>
    <t>Products</t>
    <phoneticPr fontId="4"/>
  </si>
  <si>
    <t>Summary of Statistics (Half Year summary)</t>
    <phoneticPr fontId="4"/>
  </si>
  <si>
    <t>取　引　総　括　表（年　半　期）</t>
    <phoneticPr fontId="4"/>
  </si>
  <si>
    <t>Put/Call Type</t>
    <phoneticPr fontId="4"/>
  </si>
  <si>
    <t>プットコール
区分</t>
    <rPh eb="9" sb="7">
      <t>クブン</t>
    </rPh>
    <phoneticPr fontId="4"/>
  </si>
  <si>
    <t>Date</t>
    <phoneticPr fontId="4"/>
  </si>
  <si>
    <t>円</t>
    <rPh eb="1" sb="0">
      <t>エン</t>
    </rPh>
    <phoneticPr fontId="4"/>
  </si>
  <si>
    <t>年半期末（単位）</t>
    <phoneticPr fontId="4"/>
  </si>
  <si>
    <t>End of Half Year(unit)</t>
    <phoneticPr fontId="4"/>
  </si>
  <si>
    <t>Half Year</t>
    <phoneticPr fontId="4"/>
  </si>
  <si>
    <t>日経225先物</t>
  </si>
  <si>
    <t>Nikkei 225 Futures</t>
  </si>
  <si>
    <t>2014/07-12</t>
  </si>
  <si>
    <t>12.10</t>
  </si>
  <si>
    <t>12.26</t>
  </si>
  <si>
    <t>55,401,636,743,000</t>
  </si>
  <si>
    <t>15,318,941,204,000</t>
  </si>
  <si>
    <t>12.12</t>
  </si>
  <si>
    <t>12.15</t>
  </si>
  <si>
    <t>2015/01-06</t>
  </si>
  <si>
    <t>3.10</t>
  </si>
  <si>
    <t>2.17</t>
  </si>
  <si>
    <t>242,356,167,518,000</t>
  </si>
  <si>
    <t>52,447,324,030,000</t>
  </si>
  <si>
    <t>3.13</t>
  </si>
  <si>
    <t>6.16</t>
  </si>
  <si>
    <t>2015/07-12</t>
  </si>
  <si>
    <t>8.25</t>
  </si>
  <si>
    <t>12.28</t>
  </si>
  <si>
    <t>285,360,553,254,000</t>
  </si>
  <si>
    <t>58,376,525,401,000</t>
  </si>
  <si>
    <t>12.11</t>
  </si>
  <si>
    <t>7.1</t>
  </si>
  <si>
    <t>2016/01-06</t>
  </si>
  <si>
    <t>3.8</t>
  </si>
  <si>
    <t>5.27</t>
  </si>
  <si>
    <t>247,519,005,912,000</t>
  </si>
  <si>
    <t>52,849,292,576,000</t>
  </si>
  <si>
    <t>3.9</t>
  </si>
  <si>
    <t>3.14</t>
  </si>
  <si>
    <t>2016/07-12</t>
  </si>
  <si>
    <t>12.6</t>
  </si>
  <si>
    <t>205,069,919,601,231</t>
  </si>
  <si>
    <t>52,613,165,754,231</t>
  </si>
  <si>
    <t>8.30</t>
  </si>
  <si>
    <t>12.9</t>
  </si>
  <si>
    <t>9.13</t>
  </si>
  <si>
    <t>2017/01-06</t>
  </si>
  <si>
    <t>3.7</t>
  </si>
  <si>
    <t>6.26</t>
  </si>
  <si>
    <t>220,141,705,926,350</t>
  </si>
  <si>
    <t>55,598,220,877,350</t>
  </si>
  <si>
    <t>6.9</t>
  </si>
  <si>
    <t>2017/07-12</t>
  </si>
  <si>
    <t>9.6</t>
  </si>
  <si>
    <t>246,967,761,124,371</t>
  </si>
  <si>
    <t>59,294,916,682,371</t>
  </si>
  <si>
    <t>12.5</t>
  </si>
  <si>
    <t>12.4</t>
  </si>
  <si>
    <t>9.11</t>
  </si>
  <si>
    <t>2018/01-06</t>
  </si>
  <si>
    <t>3.6</t>
  </si>
  <si>
    <t>6.13</t>
  </si>
  <si>
    <t>286,709,168,531,197</t>
  </si>
  <si>
    <t>68,523,252,847,197</t>
  </si>
  <si>
    <t>6.11</t>
  </si>
  <si>
    <t>2018/07-12</t>
  </si>
  <si>
    <t>8.9</t>
  </si>
  <si>
    <t>292,972,791,670,556</t>
  </si>
  <si>
    <t>65,891,535,251,556</t>
  </si>
  <si>
    <t>12.17</t>
  </si>
  <si>
    <t>2019/01-06</t>
  </si>
  <si>
    <t>4.22</t>
  </si>
  <si>
    <t>244,182,030,741,523</t>
  </si>
  <si>
    <t>55,658,712,243,523</t>
  </si>
  <si>
    <t>3.5</t>
  </si>
  <si>
    <t>6.24</t>
  </si>
  <si>
    <t>2019/07-12</t>
  </si>
  <si>
    <t>12.25</t>
  </si>
  <si>
    <t>241,814,661,977,990</t>
  </si>
  <si>
    <t>56,474,096,162,990</t>
  </si>
  <si>
    <t>12.13</t>
  </si>
  <si>
    <t>12.16</t>
  </si>
  <si>
    <t>2020/01-06</t>
  </si>
  <si>
    <t>1.20</t>
  </si>
  <si>
    <t>347,093,781,145,425</t>
  </si>
  <si>
    <t>75,751,881,335,425</t>
  </si>
  <si>
    <t>1.17</t>
  </si>
  <si>
    <t>2020/07-12</t>
  </si>
  <si>
    <t>9.9</t>
  </si>
  <si>
    <t>253,559,424,386,545</t>
  </si>
  <si>
    <t>56,461,647,320,545</t>
  </si>
  <si>
    <t>12.8</t>
  </si>
  <si>
    <t>12.30</t>
  </si>
  <si>
    <t>2021/01-06</t>
  </si>
  <si>
    <t>6.28</t>
  </si>
  <si>
    <t>261,240,506,554,140</t>
  </si>
  <si>
    <t>64,856,228,985,140</t>
  </si>
  <si>
    <t>3.11</t>
  </si>
  <si>
    <t>6.14</t>
  </si>
  <si>
    <t>2021/07-12</t>
  </si>
  <si>
    <t>12.7</t>
  </si>
  <si>
    <t>12.27</t>
  </si>
  <si>
    <t>259,133,279,151,218</t>
  </si>
  <si>
    <t>66,344,068,635,218</t>
  </si>
  <si>
    <t>9.7</t>
  </si>
  <si>
    <t>2022/01-06</t>
  </si>
  <si>
    <t>4.18</t>
  </si>
  <si>
    <t>307,960,248,336,204</t>
  </si>
  <si>
    <t>64,762,357,590,204</t>
  </si>
  <si>
    <t>6.7</t>
  </si>
  <si>
    <t>1.5</t>
  </si>
  <si>
    <t>2022/07-12</t>
  </si>
  <si>
    <t>288,170,776,823,865</t>
  </si>
  <si>
    <t>67,022,801,835,865</t>
  </si>
  <si>
    <t>2023/01-06</t>
  </si>
  <si>
    <t>6.6</t>
  </si>
  <si>
    <t>4.10</t>
  </si>
  <si>
    <t>320,648,296,117,367</t>
  </si>
  <si>
    <t>73,847,774,485,367</t>
  </si>
  <si>
    <t>1.4</t>
  </si>
  <si>
    <t>2023/07-12</t>
  </si>
  <si>
    <t>329,027,767,966,650</t>
  </si>
  <si>
    <t>72,907,315,271,650</t>
  </si>
  <si>
    <t>2024/01-03</t>
  </si>
  <si>
    <t>1.30</t>
  </si>
  <si>
    <t>202,335,086,454,637</t>
  </si>
  <si>
    <t>45,028,668,477,637</t>
  </si>
  <si>
    <t>日経225mini</t>
  </si>
  <si>
    <t>Nikkei 225 mini</t>
  </si>
  <si>
    <t>35,884,337,026,900</t>
  </si>
  <si>
    <t>962,523,509,600</t>
  </si>
  <si>
    <t>1.16</t>
  </si>
  <si>
    <t>211,973,301,162,000</t>
  </si>
  <si>
    <t>7,489,701,616,400</t>
  </si>
  <si>
    <t>1.9</t>
  </si>
  <si>
    <t>6.15</t>
  </si>
  <si>
    <t>260,298,270,263,500</t>
  </si>
  <si>
    <t>10,152,174,517,300</t>
  </si>
  <si>
    <t>9.17</t>
  </si>
  <si>
    <t>1.22</t>
  </si>
  <si>
    <t>3.28</t>
  </si>
  <si>
    <t>223,134,631,041,300</t>
  </si>
  <si>
    <t>10,453,608,664,000</t>
  </si>
  <si>
    <t>2.12</t>
  </si>
  <si>
    <t>11.9</t>
  </si>
  <si>
    <t>171,177,011,715,129</t>
  </si>
  <si>
    <t>7,803,136,534,529</t>
  </si>
  <si>
    <t>5.19</t>
  </si>
  <si>
    <t>2.21</t>
  </si>
  <si>
    <t>210,581,670,627,601</t>
  </si>
  <si>
    <t>9,511,906,790,501</t>
  </si>
  <si>
    <t>1.13</t>
  </si>
  <si>
    <t>6.12</t>
  </si>
  <si>
    <t>234,495,745,628,051</t>
  </si>
  <si>
    <t>12,734,527,521,551</t>
  </si>
  <si>
    <t>11.10</t>
  </si>
  <si>
    <t>2.7</t>
  </si>
  <si>
    <t>5.22</t>
  </si>
  <si>
    <t>287,190,844,059,264</t>
  </si>
  <si>
    <t>15,413,903,368,764</t>
  </si>
  <si>
    <t>10.11</t>
  </si>
  <si>
    <t>7.27</t>
  </si>
  <si>
    <t>319,000,975,852,403</t>
  </si>
  <si>
    <t>19,059,039,063,803</t>
  </si>
  <si>
    <t>5.10</t>
  </si>
  <si>
    <t>256,220,324,741,147</t>
  </si>
  <si>
    <t>15,863,356,792,747</t>
  </si>
  <si>
    <t>6.4</t>
  </si>
  <si>
    <t>6.17</t>
  </si>
  <si>
    <t>8.6</t>
  </si>
  <si>
    <t>255,076,791,231,071</t>
  </si>
  <si>
    <t>17,095,421,528,271</t>
  </si>
  <si>
    <t>3.2</t>
  </si>
  <si>
    <t>425,938,298,323,368</t>
  </si>
  <si>
    <t>32,072,269,205,068</t>
  </si>
  <si>
    <t>4.13</t>
  </si>
  <si>
    <t>280,370,809,254,504</t>
  </si>
  <si>
    <t>20,694,053,964,304</t>
  </si>
  <si>
    <t>7.2</t>
  </si>
  <si>
    <t>12.14</t>
  </si>
  <si>
    <t>5.12</t>
  </si>
  <si>
    <t>321,317,143,734,303</t>
  </si>
  <si>
    <t>27,142,671,234,303</t>
  </si>
  <si>
    <t>5.14</t>
  </si>
  <si>
    <t>11.29</t>
  </si>
  <si>
    <t>322,684,997,385,226</t>
  </si>
  <si>
    <t>25,194,491,581,426</t>
  </si>
  <si>
    <t>7.19</t>
  </si>
  <si>
    <t>7.5</t>
  </si>
  <si>
    <t>1.25</t>
  </si>
  <si>
    <t>410,869,879,301,295</t>
  </si>
  <si>
    <t>31,144,196,978,995</t>
  </si>
  <si>
    <t>10.14</t>
  </si>
  <si>
    <t>334,551,342,439,215</t>
  </si>
  <si>
    <t>26,581,798,057,315</t>
  </si>
  <si>
    <t>10.13</t>
  </si>
  <si>
    <t>5.8</t>
  </si>
  <si>
    <t>364,620,675,392,410</t>
  </si>
  <si>
    <t>29,762,435,444,710</t>
  </si>
  <si>
    <t>2.24</t>
  </si>
  <si>
    <t>10.10</t>
  </si>
  <si>
    <t>404,265,299,495,599</t>
  </si>
  <si>
    <t>27,280,418,286,799</t>
  </si>
  <si>
    <t>7.28</t>
  </si>
  <si>
    <t>9.5</t>
  </si>
  <si>
    <t>3.21</t>
  </si>
  <si>
    <t>3.29</t>
  </si>
  <si>
    <t>239,420,492,876,224</t>
  </si>
  <si>
    <t>16,250,139,056,124</t>
  </si>
  <si>
    <t>日経225マイクロ先物</t>
  </si>
  <si>
    <t>Nikkei 225 Micro Futures</t>
  </si>
  <si>
    <t>6.23</t>
  </si>
  <si>
    <t>5.29</t>
  </si>
  <si>
    <t>409,083,855,450</t>
  </si>
  <si>
    <t>6.30</t>
  </si>
  <si>
    <t>10.24</t>
  </si>
  <si>
    <t>6,332,444,349,300</t>
  </si>
  <si>
    <t>7.4</t>
  </si>
  <si>
    <t>6,431,630,192,050</t>
  </si>
  <si>
    <t>TOPIX先物</t>
  </si>
  <si>
    <t>TOPIX Futures</t>
  </si>
  <si>
    <t>1988/07-12</t>
  </si>
  <si>
    <t>9.3</t>
  </si>
  <si>
    <t>10.22</t>
  </si>
  <si>
    <t>42,082,206,350,000</t>
  </si>
  <si>
    <t>－</t>
  </si>
  <si>
    <t>10.27</t>
  </si>
  <si>
    <t>1989/01-06</t>
  </si>
  <si>
    <t>1.11</t>
  </si>
  <si>
    <t>44,022,094,550,000</t>
  </si>
  <si>
    <t>3.27</t>
  </si>
  <si>
    <t>1989/07-12</t>
  </si>
  <si>
    <t>12.29</t>
  </si>
  <si>
    <t>53,083,046,320,000</t>
  </si>
  <si>
    <t>12.22</t>
  </si>
  <si>
    <t>1990/01-06</t>
  </si>
  <si>
    <t>4.2</t>
  </si>
  <si>
    <t>48,538,060,950,000</t>
  </si>
  <si>
    <t>2.13</t>
  </si>
  <si>
    <t>1990/07-12</t>
  </si>
  <si>
    <t>7.23</t>
  </si>
  <si>
    <t>10.2</t>
  </si>
  <si>
    <t>23,236,639,050,000</t>
  </si>
  <si>
    <t>9.14</t>
  </si>
  <si>
    <t>1991/01-06</t>
  </si>
  <si>
    <t>3.15</t>
  </si>
  <si>
    <t>17,662,314,320,000</t>
  </si>
  <si>
    <t>1991/07-12</t>
  </si>
  <si>
    <t>10.28</t>
  </si>
  <si>
    <t>13,893,191,670,000</t>
  </si>
  <si>
    <t>8.19</t>
  </si>
  <si>
    <t>12.19</t>
  </si>
  <si>
    <t>1992/01-06</t>
  </si>
  <si>
    <t>3.12</t>
  </si>
  <si>
    <t>2.10</t>
  </si>
  <si>
    <t>8,841,011,640,000</t>
  </si>
  <si>
    <t>5.1</t>
  </si>
  <si>
    <t>1992/07-12</t>
  </si>
  <si>
    <t>9.10</t>
  </si>
  <si>
    <t>8.3</t>
  </si>
  <si>
    <t>9,731,549,230,000</t>
  </si>
  <si>
    <t>7.17</t>
  </si>
  <si>
    <t>1993/01-06</t>
  </si>
  <si>
    <t>13,401,307,340,000</t>
  </si>
  <si>
    <t>1993/07-12</t>
  </si>
  <si>
    <t>12.3</t>
  </si>
  <si>
    <t>19,614,833,990,000</t>
  </si>
  <si>
    <t>1994/01-06</t>
  </si>
  <si>
    <t>1.31</t>
  </si>
  <si>
    <t>22,733,179,670,000</t>
  </si>
  <si>
    <t>6.10</t>
  </si>
  <si>
    <t>1994/07-12</t>
  </si>
  <si>
    <t>7.18</t>
  </si>
  <si>
    <t>19,356,182,450,000</t>
  </si>
  <si>
    <t>1995/01-06</t>
  </si>
  <si>
    <t>6.2</t>
  </si>
  <si>
    <t>18,190,813,400,000</t>
  </si>
  <si>
    <t>3.1</t>
  </si>
  <si>
    <t>6.19</t>
  </si>
  <si>
    <t>3.3</t>
  </si>
  <si>
    <t>1995/07-12</t>
  </si>
  <si>
    <t>11.30</t>
  </si>
  <si>
    <t>19,912,565,970,000</t>
  </si>
  <si>
    <t>11.8</t>
  </si>
  <si>
    <t>7.6</t>
  </si>
  <si>
    <t>1996/01-06</t>
  </si>
  <si>
    <t>4.8</t>
  </si>
  <si>
    <t>24,766,073,240,000</t>
  </si>
  <si>
    <t>1996/07-12</t>
  </si>
  <si>
    <t>21,042,263,460,000</t>
  </si>
  <si>
    <t>1997/01-06</t>
  </si>
  <si>
    <t>1.6</t>
  </si>
  <si>
    <t>22,392,299,740,000</t>
  </si>
  <si>
    <t>1997/07-12</t>
  </si>
  <si>
    <t>9.4</t>
  </si>
  <si>
    <t>7.22</t>
  </si>
  <si>
    <t>19,781,631,180,000</t>
  </si>
  <si>
    <t>10.20</t>
  </si>
  <si>
    <t>9.16</t>
  </si>
  <si>
    <t>1998/01-06</t>
  </si>
  <si>
    <t>16,443,147,910,000</t>
  </si>
  <si>
    <t>1998/07-12</t>
  </si>
  <si>
    <t>8.20</t>
  </si>
  <si>
    <t>15,630,135,310,000</t>
  </si>
  <si>
    <t>548,527,630,000</t>
  </si>
  <si>
    <t>1999/01-06</t>
  </si>
  <si>
    <t>6.18</t>
  </si>
  <si>
    <t>19,058,771,865,000</t>
  </si>
  <si>
    <t>3,125,924,280,000</t>
  </si>
  <si>
    <t>3.31</t>
  </si>
  <si>
    <t>1999/07-12</t>
  </si>
  <si>
    <t>24,987,989,725,000</t>
  </si>
  <si>
    <t>5,188,777,255,000</t>
  </si>
  <si>
    <t>9.29</t>
  </si>
  <si>
    <t>2000/01-06</t>
  </si>
  <si>
    <t>35,799,374,601,000</t>
  </si>
  <si>
    <t>9,386,799,756,000</t>
  </si>
  <si>
    <t>2000/07-12</t>
  </si>
  <si>
    <t>28,444,101,569,000</t>
  </si>
  <si>
    <t>8,594,172,464,000</t>
  </si>
  <si>
    <t>2001/01-06</t>
  </si>
  <si>
    <t>2.5</t>
  </si>
  <si>
    <t>29,378,618,137,000</t>
  </si>
  <si>
    <t>8,899,201,602,000</t>
  </si>
  <si>
    <t>2001/07-12</t>
  </si>
  <si>
    <t>7.16</t>
  </si>
  <si>
    <t>29,663,438,264,000</t>
  </si>
  <si>
    <t>9,603,848,604,000</t>
  </si>
  <si>
    <t>2002/01-06</t>
  </si>
  <si>
    <t>5.2</t>
  </si>
  <si>
    <t>36,351,373,781,000</t>
  </si>
  <si>
    <t>12,104,647,681,000</t>
  </si>
  <si>
    <t>1.7</t>
  </si>
  <si>
    <t>2002/07-12</t>
  </si>
  <si>
    <t>33,550,734,800,000</t>
  </si>
  <si>
    <t>11,330,466,345,000</t>
  </si>
  <si>
    <t>9.18</t>
  </si>
  <si>
    <t>2003/01-06</t>
  </si>
  <si>
    <t>1.14</t>
  </si>
  <si>
    <t>37,254,826,695,000</t>
  </si>
  <si>
    <t>14,974,638,600,000</t>
  </si>
  <si>
    <t>3.19</t>
  </si>
  <si>
    <t>2003/07-12</t>
  </si>
  <si>
    <t>48,938,032,875,000</t>
  </si>
  <si>
    <t>16,539,084,750,000</t>
  </si>
  <si>
    <t>2004/01-06</t>
  </si>
  <si>
    <t>62,963,648,738,000</t>
  </si>
  <si>
    <t>21,396,756,983,000</t>
  </si>
  <si>
    <t>2004/07-12</t>
  </si>
  <si>
    <t>52,911,111,443,000</t>
  </si>
  <si>
    <t>18,827,506,813,000</t>
  </si>
  <si>
    <t>9.8</t>
  </si>
  <si>
    <t>2005/01-06</t>
  </si>
  <si>
    <t>62,982,639,442,000</t>
  </si>
  <si>
    <t>21,901,082,167,000</t>
  </si>
  <si>
    <t>2005/07-12</t>
  </si>
  <si>
    <t>7.26</t>
  </si>
  <si>
    <t>104,477,005,104,000</t>
  </si>
  <si>
    <t>28,180,642,064,000</t>
  </si>
  <si>
    <t>2006/01-06</t>
  </si>
  <si>
    <t>3.24</t>
  </si>
  <si>
    <t>134,491,846,017,000</t>
  </si>
  <si>
    <t>33,735,781,427,000</t>
  </si>
  <si>
    <t>6.27</t>
  </si>
  <si>
    <t>2006/07-12</t>
  </si>
  <si>
    <t>106,911,741,910,000</t>
  </si>
  <si>
    <t>26,438,282,465,000</t>
  </si>
  <si>
    <t>2007/01-06</t>
  </si>
  <si>
    <t>133,581,811,156,000</t>
  </si>
  <si>
    <t>33,771,649,436,000</t>
  </si>
  <si>
    <t>2007/07-12</t>
  </si>
  <si>
    <t>139,706,160,753,000</t>
  </si>
  <si>
    <t>29,929,819,493,000</t>
  </si>
  <si>
    <t>2008/01-06</t>
  </si>
  <si>
    <t>2.8</t>
  </si>
  <si>
    <t>119,825,291,515,000</t>
  </si>
  <si>
    <t>17,015,917,206,000</t>
  </si>
  <si>
    <t>6.20</t>
  </si>
  <si>
    <t>2008/07-12</t>
  </si>
  <si>
    <t>95,490,973,557,000</t>
  </si>
  <si>
    <t>14,648,370,666,000</t>
  </si>
  <si>
    <t>2009/01-06</t>
  </si>
  <si>
    <t>1.19</t>
  </si>
  <si>
    <t>63,716,031,372,000</t>
  </si>
  <si>
    <t>12,663,587,570,000</t>
  </si>
  <si>
    <t>1.26</t>
  </si>
  <si>
    <t>2009/07-12</t>
  </si>
  <si>
    <t>67,570,003,073,000</t>
  </si>
  <si>
    <t>11,162,316,472,000</t>
  </si>
  <si>
    <t>2010/01-06</t>
  </si>
  <si>
    <t>6.8</t>
  </si>
  <si>
    <t>68,269,740,606,000</t>
  </si>
  <si>
    <t>11,773,859,835,000</t>
  </si>
  <si>
    <t>2010/07-12</t>
  </si>
  <si>
    <t>59,940,633,521,000</t>
  </si>
  <si>
    <t>9,932,831,724,000</t>
  </si>
  <si>
    <t>2011/01-06</t>
  </si>
  <si>
    <t>4.25</t>
  </si>
  <si>
    <t>65,767,274,501,000</t>
  </si>
  <si>
    <t>11,596,500,036,000</t>
  </si>
  <si>
    <t>2011/07-12</t>
  </si>
  <si>
    <t>53,736,594,625,000</t>
  </si>
  <si>
    <t>10,813,731,697,000</t>
  </si>
  <si>
    <t>2012/01-06</t>
  </si>
  <si>
    <t>59,775,292,700,000</t>
  </si>
  <si>
    <t>12,644,006,388,000</t>
  </si>
  <si>
    <t>2012/07-12</t>
  </si>
  <si>
    <t>8.13</t>
  </si>
  <si>
    <t>56,912,532,409,000</t>
  </si>
  <si>
    <t>11,716,989,625,000</t>
  </si>
  <si>
    <t>2013/01-06</t>
  </si>
  <si>
    <t>1.21</t>
  </si>
  <si>
    <t>131,603,397,369,000</t>
  </si>
  <si>
    <t>23,035,806,276,000</t>
  </si>
  <si>
    <t>2013/07-12</t>
  </si>
  <si>
    <t>124,036,059,054,000</t>
  </si>
  <si>
    <t>22,658,178,264,000</t>
  </si>
  <si>
    <t>2014/01-06</t>
  </si>
  <si>
    <t>4.21</t>
  </si>
  <si>
    <t>122,969,386,254,000</t>
  </si>
  <si>
    <t>24,291,359,454,000</t>
  </si>
  <si>
    <t>3.18</t>
  </si>
  <si>
    <t>143,235,086,373,000</t>
  </si>
  <si>
    <t>33,334,408,649,000</t>
  </si>
  <si>
    <t>10.23</t>
  </si>
  <si>
    <t>5.26</t>
  </si>
  <si>
    <t>166,907,012,770,000</t>
  </si>
  <si>
    <t>38,267,321,441,000</t>
  </si>
  <si>
    <t>178,306,685,812,000</t>
  </si>
  <si>
    <t>36,306,072,757,000</t>
  </si>
  <si>
    <t>9.25</t>
  </si>
  <si>
    <t>5.30</t>
  </si>
  <si>
    <t>155,386,953,260,000</t>
  </si>
  <si>
    <t>29,927,259,392,000</t>
  </si>
  <si>
    <t>151,664,384,328,698</t>
  </si>
  <si>
    <t>32,193,064,701,698</t>
  </si>
  <si>
    <t>9.12</t>
  </si>
  <si>
    <t>181,357,483,471,352</t>
  </si>
  <si>
    <t>42,605,474,869,352</t>
  </si>
  <si>
    <t>2.6</t>
  </si>
  <si>
    <t>216,270,555,041,180</t>
  </si>
  <si>
    <t>49,513,065,288,180</t>
  </si>
  <si>
    <t>4.23</t>
  </si>
  <si>
    <t>226,979,324,371,618</t>
  </si>
  <si>
    <t>48,979,330,539,618</t>
  </si>
  <si>
    <t>6.5</t>
  </si>
  <si>
    <t>222,192,934,260,418</t>
  </si>
  <si>
    <t>47,770,783,348,418</t>
  </si>
  <si>
    <t>197,101,181,869,683</t>
  </si>
  <si>
    <t>46,959,829,793,683</t>
  </si>
  <si>
    <t>223,245,732,303,069</t>
  </si>
  <si>
    <t>51,480,899,044,069</t>
  </si>
  <si>
    <t>232,196,791,174,906</t>
  </si>
  <si>
    <t>47,604,148,156,906</t>
  </si>
  <si>
    <t>204,189,246,369,128</t>
  </si>
  <si>
    <t>47,453,736,401,128</t>
  </si>
  <si>
    <t>4.5</t>
  </si>
  <si>
    <t>230,592,909,833,417</t>
  </si>
  <si>
    <t>55,613,117,095,317</t>
  </si>
  <si>
    <t>225,303,959,722,778</t>
  </si>
  <si>
    <t>54,912,887,753,778</t>
  </si>
  <si>
    <t>12.24</t>
  </si>
  <si>
    <t>244,763,000,641,081</t>
  </si>
  <si>
    <t>59,337,110,868,081</t>
  </si>
  <si>
    <t>246,908,986,906,959</t>
  </si>
  <si>
    <t>62,074,718,872,959</t>
  </si>
  <si>
    <t>279,443,615,439,303</t>
  </si>
  <si>
    <t>76,929,112,998,303</t>
  </si>
  <si>
    <t>306,815,005,929,093</t>
  </si>
  <si>
    <t>75,930,708,913,093</t>
  </si>
  <si>
    <t>7.25</t>
  </si>
  <si>
    <t>1.29</t>
  </si>
  <si>
    <t>179,376,929,527,046</t>
  </si>
  <si>
    <t>50,272,130,015,046</t>
  </si>
  <si>
    <t>ミニTOPIX先物</t>
  </si>
  <si>
    <t>mini-TOPIX Futures</t>
  </si>
  <si>
    <t>6.25</t>
  </si>
  <si>
    <t>99,137,411,250</t>
  </si>
  <si>
    <t>8.18</t>
  </si>
  <si>
    <t>640,526,938,750</t>
  </si>
  <si>
    <t>550,201,000</t>
  </si>
  <si>
    <t>124,322,403,800</t>
  </si>
  <si>
    <t>428,419,250</t>
  </si>
  <si>
    <t>1.15</t>
  </si>
  <si>
    <t>8.28</t>
  </si>
  <si>
    <t>483,723,161,750</t>
  </si>
  <si>
    <t>555,805,450</t>
  </si>
  <si>
    <t>11.27</t>
  </si>
  <si>
    <t>3.30</t>
  </si>
  <si>
    <t>620,303,038,050</t>
  </si>
  <si>
    <t>2,802,109,100</t>
  </si>
  <si>
    <t>4.7</t>
  </si>
  <si>
    <t>8.31</t>
  </si>
  <si>
    <t>316,850,188,450</t>
  </si>
  <si>
    <t>1,120,220,300</t>
  </si>
  <si>
    <t>11.24</t>
  </si>
  <si>
    <t>4.4</t>
  </si>
  <si>
    <t>278,431,441,450</t>
  </si>
  <si>
    <t>4,212,057,350</t>
  </si>
  <si>
    <t>11.22</t>
  </si>
  <si>
    <t>228,524,076,900</t>
  </si>
  <si>
    <t>789,567,500</t>
  </si>
  <si>
    <t>4.27</t>
  </si>
  <si>
    <t>767,877,792,300</t>
  </si>
  <si>
    <t>669,698,250</t>
  </si>
  <si>
    <t>9.28</t>
  </si>
  <si>
    <t>886,971,945,050</t>
  </si>
  <si>
    <t>2,055,568,450</t>
  </si>
  <si>
    <t>7.10</t>
  </si>
  <si>
    <t>5.24</t>
  </si>
  <si>
    <t>2,375,392,128,500</t>
  </si>
  <si>
    <t>22,911,192,250</t>
  </si>
  <si>
    <t>10.16</t>
  </si>
  <si>
    <t>1,112,402,057,700</t>
  </si>
  <si>
    <t>4,476,295,300</t>
  </si>
  <si>
    <t>2.26</t>
  </si>
  <si>
    <t>2,273,222,138,300</t>
  </si>
  <si>
    <t>18,773,803,500</t>
  </si>
  <si>
    <t>10.31</t>
  </si>
  <si>
    <t>3,760,982,892,400</t>
  </si>
  <si>
    <t>22,997,246,750</t>
  </si>
  <si>
    <t>4.1</t>
  </si>
  <si>
    <t>5.25</t>
  </si>
  <si>
    <t>3,518,523,696,450</t>
  </si>
  <si>
    <t>53,033,580,150</t>
  </si>
  <si>
    <t>12.2</t>
  </si>
  <si>
    <t>3,128,006,087,950</t>
  </si>
  <si>
    <t>46,785,729,400</t>
  </si>
  <si>
    <t>1.8</t>
  </si>
  <si>
    <t>5.17</t>
  </si>
  <si>
    <t>2,477,879,235,900</t>
  </si>
  <si>
    <t>74,498,086,100</t>
  </si>
  <si>
    <t>5.6</t>
  </si>
  <si>
    <t>8.15</t>
  </si>
  <si>
    <t>1,539,502,338,142</t>
  </si>
  <si>
    <t>101,290,558,642</t>
  </si>
  <si>
    <t>2,025,579,767,009</t>
  </si>
  <si>
    <t>117,961,943,309</t>
  </si>
  <si>
    <t>3,953,287,583,378</t>
  </si>
  <si>
    <t>57,476,133,678</t>
  </si>
  <si>
    <t>3,832,856,915,271</t>
  </si>
  <si>
    <t>89,367,371,621</t>
  </si>
  <si>
    <t>3,879,577,730,516</t>
  </si>
  <si>
    <t>95,746,107,216</t>
  </si>
  <si>
    <t>11.6</t>
  </si>
  <si>
    <t>10.5</t>
  </si>
  <si>
    <t>3,282,980,118,009</t>
  </si>
  <si>
    <t>131,048,584,059</t>
  </si>
  <si>
    <t>4,158,542,648,141</t>
  </si>
  <si>
    <t>180,352,299,941</t>
  </si>
  <si>
    <t>6,453,082,918,350</t>
  </si>
  <si>
    <t>343,995,306,650</t>
  </si>
  <si>
    <t>6,527,480,839,653</t>
  </si>
  <si>
    <t>240,088,706,503</t>
  </si>
  <si>
    <t>8,383,400,980,731</t>
  </si>
  <si>
    <t>223,047,143,181</t>
  </si>
  <si>
    <t>12.1</t>
  </si>
  <si>
    <t>8,891,558,232,136</t>
  </si>
  <si>
    <t>278,952,674,986</t>
  </si>
  <si>
    <t>8,211,159,306,734</t>
  </si>
  <si>
    <t>317,315,280,534</t>
  </si>
  <si>
    <t>5,823,849,722,940</t>
  </si>
  <si>
    <t>287,220,398,790</t>
  </si>
  <si>
    <t>7,055,599,019,857</t>
  </si>
  <si>
    <t>298,068,248,357</t>
  </si>
  <si>
    <t>7,913,320,247,486</t>
  </si>
  <si>
    <t>299,061,748,836</t>
  </si>
  <si>
    <t>4,518,000,803,140</t>
  </si>
  <si>
    <t>161,379,702,090</t>
  </si>
  <si>
    <t>JPXプライム150指数先物</t>
  </si>
  <si>
    <t>JPX Prime 150 Index Futures</t>
  </si>
  <si>
    <t>30,011,980</t>
  </si>
  <si>
    <t>26,473,480</t>
  </si>
  <si>
    <t>JPX日経インデックス400先物</t>
  </si>
  <si>
    <t>JPX-Nikkei Index 400 Futures</t>
  </si>
  <si>
    <t>2,067,886,020,000</t>
  </si>
  <si>
    <t>537,714,198,500</t>
  </si>
  <si>
    <t>11.25</t>
  </si>
  <si>
    <t>7,166,958,165,000</t>
  </si>
  <si>
    <t>1,591,864,312,200</t>
  </si>
  <si>
    <t>7,460,958,314,600</t>
  </si>
  <si>
    <t>1,530,409,882,100</t>
  </si>
  <si>
    <t>4,880,592,912,700</t>
  </si>
  <si>
    <t>1,149,795,835,900</t>
  </si>
  <si>
    <t>4,127,158,328,973</t>
  </si>
  <si>
    <t>1,157,541,446,873</t>
  </si>
  <si>
    <t>4,742,869,219,169</t>
  </si>
  <si>
    <t>1,006,547,958,269</t>
  </si>
  <si>
    <t>3.22</t>
  </si>
  <si>
    <t>6,424,628,406,638</t>
  </si>
  <si>
    <t>1,145,332,975,938</t>
  </si>
  <si>
    <t>6,556,452,806,798</t>
  </si>
  <si>
    <t>888,738,633,098</t>
  </si>
  <si>
    <t>5,857,298,905,256</t>
  </si>
  <si>
    <t>1,126,916,353,156</t>
  </si>
  <si>
    <t>8.22</t>
  </si>
  <si>
    <t>7.3</t>
  </si>
  <si>
    <t>5.28</t>
  </si>
  <si>
    <t>4,899,272,725,113</t>
  </si>
  <si>
    <t>1,152,035,365,813</t>
  </si>
  <si>
    <t>4,580,043,107,716</t>
  </si>
  <si>
    <t>1,159,728,445,416</t>
  </si>
  <si>
    <t>4,523,526,484,571</t>
  </si>
  <si>
    <t>934,517,315,571</t>
  </si>
  <si>
    <t>3,657,235,128,764</t>
  </si>
  <si>
    <t>630,871,831,764</t>
  </si>
  <si>
    <t>4,305,337,028,284</t>
  </si>
  <si>
    <t>558,044,427,484</t>
  </si>
  <si>
    <t>3,009,720,939,579</t>
  </si>
  <si>
    <t>461,059,694,279</t>
  </si>
  <si>
    <t>3,055,781,556,348</t>
  </si>
  <si>
    <t>393,860,981,348</t>
  </si>
  <si>
    <t>2,326,870,776,474</t>
  </si>
  <si>
    <t>424,070,016,074</t>
  </si>
  <si>
    <t>2,954,818,880,157</t>
  </si>
  <si>
    <t>544,177,473,357</t>
  </si>
  <si>
    <t>3,311,202,771,631</t>
  </si>
  <si>
    <t>604,447,252,531</t>
  </si>
  <si>
    <t>1,605,487,106,478</t>
  </si>
  <si>
    <t>306,564,901,778</t>
  </si>
  <si>
    <t>TOPIX Core30先物</t>
  </si>
  <si>
    <t>TOPIX Core30 Futures</t>
  </si>
  <si>
    <t>5,776,438,500</t>
  </si>
  <si>
    <t>161,428,000</t>
  </si>
  <si>
    <t>118,799,589,100</t>
  </si>
  <si>
    <t>97,515,542,800</t>
  </si>
  <si>
    <t>8.14</t>
  </si>
  <si>
    <t>80,608,296,900</t>
  </si>
  <si>
    <t>76,556,348,500</t>
  </si>
  <si>
    <t>92,201,174,100</t>
  </si>
  <si>
    <t>89,201,599,600</t>
  </si>
  <si>
    <t>65,853,587,600</t>
  </si>
  <si>
    <t>65,064,063,600</t>
  </si>
  <si>
    <t>4.14</t>
  </si>
  <si>
    <t>8.24</t>
  </si>
  <si>
    <t>56,187,000,000</t>
  </si>
  <si>
    <t>24,098,179,000</t>
  </si>
  <si>
    <t>24,093,500,000</t>
  </si>
  <si>
    <t>15,804,604,500</t>
  </si>
  <si>
    <t>15,802,250,000</t>
  </si>
  <si>
    <t>1,709,279,500</t>
  </si>
  <si>
    <t>2,300,477,800</t>
  </si>
  <si>
    <t>4.16</t>
  </si>
  <si>
    <t>3,952,903,500</t>
  </si>
  <si>
    <t>1,075,102,400</t>
  </si>
  <si>
    <t>1,043,070,300</t>
  </si>
  <si>
    <t>1,037,955,800</t>
  </si>
  <si>
    <t>1,549,509,400</t>
  </si>
  <si>
    <t>977,431,900</t>
  </si>
  <si>
    <t>1,435,000,000</t>
  </si>
  <si>
    <t>1,165,495,500</t>
  </si>
  <si>
    <t>3.16</t>
  </si>
  <si>
    <t>2,262,759,100</t>
  </si>
  <si>
    <t>1,130,094,600</t>
  </si>
  <si>
    <t>1,834,007,500</t>
  </si>
  <si>
    <t>1,167,917,000</t>
  </si>
  <si>
    <t>11.14</t>
  </si>
  <si>
    <t>1,690,473,520</t>
  </si>
  <si>
    <t>1,448,519,520</t>
  </si>
  <si>
    <t>1,242,143,900</t>
  </si>
  <si>
    <t>838,291,400</t>
  </si>
  <si>
    <t>1.27</t>
  </si>
  <si>
    <t>873,706,420</t>
  </si>
  <si>
    <t>746,877,920</t>
  </si>
  <si>
    <t>1,313,382,420</t>
  </si>
  <si>
    <t>973,271,920</t>
  </si>
  <si>
    <t>1,198,863,780</t>
  </si>
  <si>
    <t>813,796,280</t>
  </si>
  <si>
    <t>9.19</t>
  </si>
  <si>
    <t>1.10</t>
  </si>
  <si>
    <t>984,759,000</t>
  </si>
  <si>
    <t>775,385,000</t>
  </si>
  <si>
    <t>543,374,510</t>
  </si>
  <si>
    <t>448,451,010</t>
  </si>
  <si>
    <t>497,688,640</t>
  </si>
  <si>
    <t>443,667,640</t>
  </si>
  <si>
    <t>287,564,900</t>
  </si>
  <si>
    <t>267,743,900</t>
  </si>
  <si>
    <t>238,801,800</t>
  </si>
  <si>
    <t>229,478,800</t>
  </si>
  <si>
    <t>240,666,240</t>
  </si>
  <si>
    <t>231,016,240</t>
  </si>
  <si>
    <t>10.29</t>
  </si>
  <si>
    <t>7.15</t>
  </si>
  <si>
    <t>366,407,270</t>
  </si>
  <si>
    <t>342,480,270</t>
  </si>
  <si>
    <t>356,501,800</t>
  </si>
  <si>
    <t>314,007,800</t>
  </si>
  <si>
    <t>491,250,370</t>
  </si>
  <si>
    <t>430,662,870</t>
  </si>
  <si>
    <t>505,413,960</t>
  </si>
  <si>
    <t>486,920,960</t>
  </si>
  <si>
    <t>401,639,760</t>
  </si>
  <si>
    <t>365,973,760</t>
  </si>
  <si>
    <t>東証銀行業株価指数先物</t>
  </si>
  <si>
    <t>TOPIX Banks Index Futures</t>
  </si>
  <si>
    <t>4.30</t>
  </si>
  <si>
    <t>3,771,877,000</t>
  </si>
  <si>
    <t>9.2</t>
  </si>
  <si>
    <t>914,756,000</t>
  </si>
  <si>
    <t>6.22</t>
  </si>
  <si>
    <t>44,806,457,000</t>
  </si>
  <si>
    <t>6.29</t>
  </si>
  <si>
    <t>72,474,739,000</t>
  </si>
  <si>
    <t>2.15</t>
  </si>
  <si>
    <t>85,231,682,000</t>
  </si>
  <si>
    <t>2.14</t>
  </si>
  <si>
    <t>7.13</t>
  </si>
  <si>
    <t>107,521,311,000</t>
  </si>
  <si>
    <t>2.28</t>
  </si>
  <si>
    <t>22,551,915,000</t>
  </si>
  <si>
    <t>16,827,345,000</t>
  </si>
  <si>
    <t>3,410,400,000</t>
  </si>
  <si>
    <t>10.12</t>
  </si>
  <si>
    <t>3.4</t>
  </si>
  <si>
    <t>75,929,082,000</t>
  </si>
  <si>
    <t>72,065,921,000</t>
  </si>
  <si>
    <t>5.31</t>
  </si>
  <si>
    <t>181,862,339,000</t>
  </si>
  <si>
    <t>181,735,521,000</t>
  </si>
  <si>
    <t>174,462,400,000</t>
  </si>
  <si>
    <t>174,404,358,000</t>
  </si>
  <si>
    <t>30,010,287,000</t>
  </si>
  <si>
    <t>29,956,245,000</t>
  </si>
  <si>
    <t>11.11</t>
  </si>
  <si>
    <t>1,517,348,000</t>
  </si>
  <si>
    <t>1,514,800,000</t>
  </si>
  <si>
    <t>2,694,090,000</t>
  </si>
  <si>
    <t>3.25</t>
  </si>
  <si>
    <t>8,338,546,000</t>
  </si>
  <si>
    <t>4.19</t>
  </si>
  <si>
    <t>3,987,725,000</t>
  </si>
  <si>
    <t>11,638,419,000</t>
  </si>
  <si>
    <t>17,057,755,000</t>
  </si>
  <si>
    <t>19,034,440,000</t>
  </si>
  <si>
    <t>18,798,482,000</t>
  </si>
  <si>
    <t>3.17</t>
  </si>
  <si>
    <t>33,099,214,000</t>
  </si>
  <si>
    <t>32,614,688,000</t>
  </si>
  <si>
    <t>30,888,423,000</t>
  </si>
  <si>
    <t>28,917,913,000</t>
  </si>
  <si>
    <t>16,732,231,000</t>
  </si>
  <si>
    <t>15,936,357,000</t>
  </si>
  <si>
    <t>542,397,000</t>
  </si>
  <si>
    <t>100,508,000</t>
  </si>
  <si>
    <t>57,296,170,465</t>
  </si>
  <si>
    <t>56,612,240,465</t>
  </si>
  <si>
    <t>142,923,902,352</t>
  </si>
  <si>
    <t>142,731,762,352</t>
  </si>
  <si>
    <t>180,374,732,388</t>
  </si>
  <si>
    <t>179,025,195,388</t>
  </si>
  <si>
    <t>489,411,665,426</t>
  </si>
  <si>
    <t>486,139,684,426</t>
  </si>
  <si>
    <t>236,017,936,674</t>
  </si>
  <si>
    <t>233,305,962,674</t>
  </si>
  <si>
    <t>271,326,325,852</t>
  </si>
  <si>
    <t>271,225,338,852</t>
  </si>
  <si>
    <t>343,667,357,920</t>
  </si>
  <si>
    <t>343,618,297,920</t>
  </si>
  <si>
    <t>197,176,295,500</t>
  </si>
  <si>
    <t>197,009,646,500</t>
  </si>
  <si>
    <t>225,836,267,630</t>
  </si>
  <si>
    <t>225,347,372,630</t>
  </si>
  <si>
    <t>353,417,913,659</t>
  </si>
  <si>
    <t>353,404,537,659</t>
  </si>
  <si>
    <t>247,673,442,695</t>
  </si>
  <si>
    <t>247,621,567,695</t>
  </si>
  <si>
    <t>286,128,584,207</t>
  </si>
  <si>
    <t>283,279,612,207</t>
  </si>
  <si>
    <t>9.1</t>
  </si>
  <si>
    <t>606,202,247,806</t>
  </si>
  <si>
    <t>604,009,609,806</t>
  </si>
  <si>
    <t>951,106,077,396</t>
  </si>
  <si>
    <t>945,526,184,396</t>
  </si>
  <si>
    <t>924,604,950,030</t>
  </si>
  <si>
    <t>922,939,802,030</t>
  </si>
  <si>
    <t>683,933,216,101</t>
  </si>
  <si>
    <t>683,645,649,101</t>
  </si>
  <si>
    <t>東証REIT指数先物</t>
  </si>
  <si>
    <t>TSE REIT Index Futures</t>
  </si>
  <si>
    <t>10,478,145,000</t>
  </si>
  <si>
    <t>7,094,415,500</t>
  </si>
  <si>
    <t>85,187,371,900</t>
  </si>
  <si>
    <t>52,369,024,800</t>
  </si>
  <si>
    <t>20,583,743,200</t>
  </si>
  <si>
    <t>17,738,646,700</t>
  </si>
  <si>
    <t>26,219,305,000</t>
  </si>
  <si>
    <t>25,459,803,000</t>
  </si>
  <si>
    <t>18,243,799,600</t>
  </si>
  <si>
    <t>18,074,044,100</t>
  </si>
  <si>
    <t>26,184,738,700</t>
  </si>
  <si>
    <t>25,811,115,200</t>
  </si>
  <si>
    <t>29,168,438,200</t>
  </si>
  <si>
    <t>29,021,517,200</t>
  </si>
  <si>
    <t>21,959,318,400</t>
  </si>
  <si>
    <t>21,946,815,400</t>
  </si>
  <si>
    <t>11.28</t>
  </si>
  <si>
    <t>25,210,653,700</t>
  </si>
  <si>
    <t>25,192,410,700</t>
  </si>
  <si>
    <t>32,930,859,300</t>
  </si>
  <si>
    <t>31,223,819,600</t>
  </si>
  <si>
    <t>7.31</t>
  </si>
  <si>
    <t>59,383,516,200</t>
  </si>
  <si>
    <t>52,797,530,700</t>
  </si>
  <si>
    <t>44,417,484,500</t>
  </si>
  <si>
    <t>38,769,171,500</t>
  </si>
  <si>
    <t>2.19</t>
  </si>
  <si>
    <t>84,373,940,900</t>
  </si>
  <si>
    <t>79,993,332,800</t>
  </si>
  <si>
    <t>8.4</t>
  </si>
  <si>
    <t>131,142,207,900</t>
  </si>
  <si>
    <t>125,692,019,700</t>
  </si>
  <si>
    <t>6.3</t>
  </si>
  <si>
    <t>149,387,420,800</t>
  </si>
  <si>
    <t>134,344,025,000</t>
  </si>
  <si>
    <t>156,526,348,300</t>
  </si>
  <si>
    <t>141,848,431,800</t>
  </si>
  <si>
    <t>7.9</t>
  </si>
  <si>
    <t>5.9</t>
  </si>
  <si>
    <t>248,762,573,400</t>
  </si>
  <si>
    <t>231,577,852,800</t>
  </si>
  <si>
    <t>8.5</t>
  </si>
  <si>
    <t>214,613,684,510</t>
  </si>
  <si>
    <t>187,642,419,410</t>
  </si>
  <si>
    <t>248,160,930,270</t>
  </si>
  <si>
    <t>210,703,303,870</t>
  </si>
  <si>
    <t>1.12</t>
  </si>
  <si>
    <t>11.7</t>
  </si>
  <si>
    <t>275,514,246,775</t>
  </si>
  <si>
    <t>217,013,336,875</t>
  </si>
  <si>
    <t>270,348,158,713</t>
  </si>
  <si>
    <t>222,622,420,613</t>
  </si>
  <si>
    <t>10.3</t>
  </si>
  <si>
    <t>315,246,588,910</t>
  </si>
  <si>
    <t>286,306,524,110</t>
  </si>
  <si>
    <t>8.8</t>
  </si>
  <si>
    <t>1.18</t>
  </si>
  <si>
    <t>462,910,581,356</t>
  </si>
  <si>
    <t>377,550,145,856</t>
  </si>
  <si>
    <t>1.24</t>
  </si>
  <si>
    <t>1,171,894,477,680</t>
  </si>
  <si>
    <t>863,651,579,680</t>
  </si>
  <si>
    <t>7.8</t>
  </si>
  <si>
    <t>1,044,573,244,200</t>
  </si>
  <si>
    <t>813,548,011,900</t>
  </si>
  <si>
    <t>12.21</t>
  </si>
  <si>
    <t>734,863,067,315</t>
  </si>
  <si>
    <t>554,490,530,515</t>
  </si>
  <si>
    <t>869,035,047,080</t>
  </si>
  <si>
    <t>675,694,923,280</t>
  </si>
  <si>
    <t>857,746,481,580</t>
  </si>
  <si>
    <t>728,102,515,180</t>
  </si>
  <si>
    <t>917,127,631,087</t>
  </si>
  <si>
    <t>788,543,751,187</t>
  </si>
  <si>
    <t>7.14</t>
  </si>
  <si>
    <t>999,625,812,396</t>
  </si>
  <si>
    <t>856,667,370,096</t>
  </si>
  <si>
    <t>10.17</t>
  </si>
  <si>
    <t>1,151,617,863,674</t>
  </si>
  <si>
    <t>1,012,748,112,074</t>
  </si>
  <si>
    <t>8.17</t>
  </si>
  <si>
    <t>1,224,636,461,284</t>
  </si>
  <si>
    <t>1,041,993,342,184</t>
  </si>
  <si>
    <t>613,489,681,974</t>
  </si>
  <si>
    <t>515,331,751,074</t>
  </si>
  <si>
    <t>RNプライム指数先物</t>
  </si>
  <si>
    <t>RN Prime Index Futures</t>
  </si>
  <si>
    <t>東証グロース市場250指数先物</t>
  </si>
  <si>
    <t>TSE Growth Market 250 Index Futures</t>
  </si>
  <si>
    <t>49,513,811,559</t>
  </si>
  <si>
    <t>5,604,077,759</t>
  </si>
  <si>
    <t>66,971,234,080</t>
  </si>
  <si>
    <t>7,123,006,880</t>
  </si>
  <si>
    <t>209,595,122,630</t>
  </si>
  <si>
    <t>10,420,732,130</t>
  </si>
  <si>
    <t>307,804,483,960</t>
  </si>
  <si>
    <t>37,242,083,260</t>
  </si>
  <si>
    <t>8.1</t>
  </si>
  <si>
    <t>407,124,433,461</t>
  </si>
  <si>
    <t>42,882,248,061</t>
  </si>
  <si>
    <t>281,811,339,420</t>
  </si>
  <si>
    <t>48,640,246,920</t>
  </si>
  <si>
    <t>171,766,967,870</t>
  </si>
  <si>
    <t>43,186,279,870</t>
  </si>
  <si>
    <t>569,863,384,728</t>
  </si>
  <si>
    <t>54,427,668,728</t>
  </si>
  <si>
    <t>10.1</t>
  </si>
  <si>
    <t>1,091,565,134,830</t>
  </si>
  <si>
    <t>105,937,638,330</t>
  </si>
  <si>
    <t>662,761,976,110</t>
  </si>
  <si>
    <t>106,997,829,610</t>
  </si>
  <si>
    <t>760,738,123,200</t>
  </si>
  <si>
    <t>136,222,257,700</t>
  </si>
  <si>
    <t>1,718,110,581,896</t>
  </si>
  <si>
    <t>214,203,408,396</t>
  </si>
  <si>
    <t>6.21</t>
  </si>
  <si>
    <t>774,929,686,231</t>
  </si>
  <si>
    <t>145,705,413,731</t>
  </si>
  <si>
    <t>704,099,438,100</t>
  </si>
  <si>
    <t>136,028,142,600</t>
  </si>
  <si>
    <t>797,122,213,636</t>
  </si>
  <si>
    <t>151,965,225,136</t>
  </si>
  <si>
    <t>418,865,475,037</t>
  </si>
  <si>
    <t>81,372,870,537</t>
  </si>
  <si>
    <t>NYダウ先物</t>
  </si>
  <si>
    <t>DJIA Futures</t>
  </si>
  <si>
    <t>10,946,847,200</t>
  </si>
  <si>
    <t>73,144,016,700</t>
  </si>
  <si>
    <t>8.12</t>
  </si>
  <si>
    <t>58,048,871,800</t>
  </si>
  <si>
    <t>8.10</t>
  </si>
  <si>
    <t>49,389,302,200</t>
  </si>
  <si>
    <t>64,177,938,200</t>
  </si>
  <si>
    <t>5.15</t>
  </si>
  <si>
    <t>53,584,636,700</t>
  </si>
  <si>
    <t>9.15</t>
  </si>
  <si>
    <t>102,482,101,500</t>
  </si>
  <si>
    <t>327,459,255,800</t>
  </si>
  <si>
    <t>259,014,971,000</t>
  </si>
  <si>
    <t>302,956,754,900</t>
  </si>
  <si>
    <t>424,481,566,400</t>
  </si>
  <si>
    <t>15,926,505,700</t>
  </si>
  <si>
    <t>600,305,397,800</t>
  </si>
  <si>
    <t>74,104,524,500</t>
  </si>
  <si>
    <t>431,636,860,980</t>
  </si>
  <si>
    <t>45,705,853,680</t>
  </si>
  <si>
    <t>6.1</t>
  </si>
  <si>
    <t>597,796,308,700</t>
  </si>
  <si>
    <t>230,129,469,500</t>
  </si>
  <si>
    <t>771,710,106,340</t>
  </si>
  <si>
    <t>209,175,303,240</t>
  </si>
  <si>
    <t>9.21</t>
  </si>
  <si>
    <t>1,067,043,198,900</t>
  </si>
  <si>
    <t>99,929,008,300</t>
  </si>
  <si>
    <t>4.20</t>
  </si>
  <si>
    <t>7.7</t>
  </si>
  <si>
    <t>1,076,873,650,300</t>
  </si>
  <si>
    <t>71,488,601,400</t>
  </si>
  <si>
    <t>9.20</t>
  </si>
  <si>
    <t>12.20</t>
  </si>
  <si>
    <t>908,088,509,180</t>
  </si>
  <si>
    <t>118,810,485,780</t>
  </si>
  <si>
    <t>728,313,868,400</t>
  </si>
  <si>
    <t>9,427,602,300</t>
  </si>
  <si>
    <t>2.20</t>
  </si>
  <si>
    <t>309,658,010,420</t>
  </si>
  <si>
    <t>6,690,112,320</t>
  </si>
  <si>
    <t>台湾加権指数先物</t>
  </si>
  <si>
    <t>TAIEX Futures</t>
  </si>
  <si>
    <t>7.20</t>
  </si>
  <si>
    <t>7.21</t>
  </si>
  <si>
    <t>183,801,300</t>
  </si>
  <si>
    <t>1,020,000</t>
  </si>
  <si>
    <t>26,212,600</t>
  </si>
  <si>
    <t>11.16</t>
  </si>
  <si>
    <t>199,042,200</t>
  </si>
  <si>
    <t>161,745,600</t>
  </si>
  <si>
    <t>8.7</t>
  </si>
  <si>
    <t>94,873,900</t>
  </si>
  <si>
    <t>455,588,600</t>
  </si>
  <si>
    <t>448,476,800</t>
  </si>
  <si>
    <t>939,618,500</t>
  </si>
  <si>
    <t>FTSE中国50指数先物</t>
  </si>
  <si>
    <t>FTSE China 50 Index Futures</t>
  </si>
  <si>
    <t>7,802,000</t>
  </si>
  <si>
    <t>8.2</t>
  </si>
  <si>
    <t>5,396,000</t>
  </si>
  <si>
    <t>120,924,000</t>
  </si>
  <si>
    <t>251,946,500</t>
  </si>
  <si>
    <t>日経平均・配当指数先物</t>
  </si>
  <si>
    <t>Nikkei 225 Dividend Index Futures</t>
  </si>
  <si>
    <t>10.19</t>
  </si>
  <si>
    <t>3,225,733,500</t>
  </si>
  <si>
    <t>2,165,668,500</t>
  </si>
  <si>
    <t>11.12</t>
  </si>
  <si>
    <t>6,921,400,000</t>
  </si>
  <si>
    <t>6,586,600,000</t>
  </si>
  <si>
    <t>3,812,250,000</t>
  </si>
  <si>
    <t>9.22</t>
  </si>
  <si>
    <t>4.11</t>
  </si>
  <si>
    <t>1,592,750,000</t>
  </si>
  <si>
    <t>1,500,350,000</t>
  </si>
  <si>
    <t>22,882,368,600</t>
  </si>
  <si>
    <t>25,353,930,300</t>
  </si>
  <si>
    <t>1,024,887,600</t>
  </si>
  <si>
    <t>964,237,600</t>
  </si>
  <si>
    <t>1,254,480,000</t>
  </si>
  <si>
    <t>8.11</t>
  </si>
  <si>
    <t>673,384,000</t>
  </si>
  <si>
    <t>670,235,000</t>
  </si>
  <si>
    <t>2.2</t>
  </si>
  <si>
    <t>1,641,673,500</t>
  </si>
  <si>
    <t>1,629,604,500</t>
  </si>
  <si>
    <t>9.24</t>
  </si>
  <si>
    <t>3,741,000</t>
  </si>
  <si>
    <t>2.4</t>
  </si>
  <si>
    <t>23,780,500</t>
  </si>
  <si>
    <t>6,616,560,000</t>
  </si>
  <si>
    <t>1,800,030,000</t>
  </si>
  <si>
    <t>770,105,000</t>
  </si>
  <si>
    <t>769,220,000</t>
  </si>
  <si>
    <t>132,680,000</t>
  </si>
  <si>
    <t>1,128,932,500</t>
  </si>
  <si>
    <t>1,126,200,000</t>
  </si>
  <si>
    <t>11.1</t>
  </si>
  <si>
    <t>77,256,000</t>
  </si>
  <si>
    <t>9,932,050,000</t>
  </si>
  <si>
    <t>8,726,089,000</t>
  </si>
  <si>
    <t>8,692,777,000</t>
  </si>
  <si>
    <t>785,248,000</t>
  </si>
  <si>
    <t>783,248,000</t>
  </si>
  <si>
    <t>4,517,874,000</t>
  </si>
  <si>
    <t>4,506,514,500</t>
  </si>
  <si>
    <t>863,420,300</t>
  </si>
  <si>
    <t>3,038,228,500</t>
  </si>
  <si>
    <t>3,022,562,500</t>
  </si>
  <si>
    <t>20,755,000</t>
  </si>
  <si>
    <t>39,436,000</t>
  </si>
  <si>
    <t>36,366,000</t>
  </si>
  <si>
    <t>1,369,086,000</t>
  </si>
  <si>
    <t>1,362,781,000</t>
  </si>
  <si>
    <t>1,050,122,000</t>
  </si>
  <si>
    <t>日経平均VI先物</t>
  </si>
  <si>
    <t>Nikkei 225 VI Futures</t>
  </si>
  <si>
    <t>4,529,438,000</t>
  </si>
  <si>
    <t>1,139,717,500</t>
  </si>
  <si>
    <t>12.18</t>
  </si>
  <si>
    <t>5.13</t>
  </si>
  <si>
    <t>25,801,777,500</t>
  </si>
  <si>
    <t>14,807,164,000</t>
  </si>
  <si>
    <t>8.26</t>
  </si>
  <si>
    <t>23,762,249,500</t>
  </si>
  <si>
    <t>3,021,150,500</t>
  </si>
  <si>
    <t>17,801,275,000</t>
  </si>
  <si>
    <t>1,174,606,000</t>
  </si>
  <si>
    <t>11.4</t>
  </si>
  <si>
    <t>4,004,596,000</t>
  </si>
  <si>
    <t>806,000,000</t>
  </si>
  <si>
    <t>1,821,960,000</t>
  </si>
  <si>
    <t>566,000,000</t>
  </si>
  <si>
    <t>1,164,931,500</t>
  </si>
  <si>
    <t>188,420,500</t>
  </si>
  <si>
    <t>2.22</t>
  </si>
  <si>
    <t>1,005,926,000</t>
  </si>
  <si>
    <t>889,926,500</t>
  </si>
  <si>
    <t>8.16</t>
  </si>
  <si>
    <t>1,549,041,000</t>
  </si>
  <si>
    <t>8.29</t>
  </si>
  <si>
    <t>3,519,693,500</t>
  </si>
  <si>
    <t>5,638,594,500</t>
  </si>
  <si>
    <t>11.19</t>
  </si>
  <si>
    <t>3,009,144,500</t>
  </si>
  <si>
    <t>5.20</t>
  </si>
  <si>
    <t>6,150,486,500</t>
  </si>
  <si>
    <t>1.28</t>
  </si>
  <si>
    <t>11.5</t>
  </si>
  <si>
    <t>4,656,116,000</t>
  </si>
  <si>
    <t>4.26</t>
  </si>
  <si>
    <t>2,093,404,500</t>
  </si>
  <si>
    <t>2.9</t>
  </si>
  <si>
    <t>10.21</t>
  </si>
  <si>
    <t>537,889,500</t>
  </si>
  <si>
    <t>342,111,000</t>
  </si>
  <si>
    <t>7.24</t>
  </si>
  <si>
    <t>314,434,000</t>
  </si>
  <si>
    <t>10.4</t>
  </si>
  <si>
    <t>129,169,500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</si>
  <si>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</si>
  <si>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</si>
  <si>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</si>
  <si>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</si>
  <si>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</si>
  <si>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</si>
  <si>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</si>
  <si>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</si>
  <si>
    <t>中期国債先物</t>
  </si>
  <si>
    <t>5-year JGB Futures</t>
  </si>
  <si>
    <t>2.16</t>
  </si>
  <si>
    <t>18,839,294,730,000</t>
  </si>
  <si>
    <t>11.15</t>
  </si>
  <si>
    <t>10,592,602,830,000</t>
  </si>
  <si>
    <t>7,554,077,340,000</t>
  </si>
  <si>
    <t>5,992,731,130,000</t>
  </si>
  <si>
    <t>10,128,536,660,000</t>
  </si>
  <si>
    <t>2.27</t>
  </si>
  <si>
    <t>8.27</t>
  </si>
  <si>
    <t>12,430,597,720,000</t>
  </si>
  <si>
    <t>9,252,065,860,000</t>
  </si>
  <si>
    <t>3,748,408,170,000</t>
  </si>
  <si>
    <t>5,740,352,590,000</t>
  </si>
  <si>
    <t>6,457,661,240,000</t>
  </si>
  <si>
    <t>228,582,270,000</t>
  </si>
  <si>
    <t>13,151,020,000</t>
  </si>
  <si>
    <t>2.1</t>
  </si>
  <si>
    <t>4,304,090,000</t>
  </si>
  <si>
    <t>3.20</t>
  </si>
  <si>
    <t>長期国債先物</t>
  </si>
  <si>
    <t>10-year JGB Futures</t>
  </si>
  <si>
    <t>1985/07-12</t>
  </si>
  <si>
    <t>10.25</t>
  </si>
  <si>
    <t>44,551,524,570,000</t>
  </si>
  <si>
    <t>1986/01-06</t>
  </si>
  <si>
    <t>313,737,797,950,000</t>
  </si>
  <si>
    <t>1986/07-12</t>
  </si>
  <si>
    <t>659,701,316,920,000</t>
  </si>
  <si>
    <t>11.13</t>
  </si>
  <si>
    <t>1987/01-06</t>
  </si>
  <si>
    <t>5.18</t>
  </si>
  <si>
    <t>1,163,971,128,200,000</t>
  </si>
  <si>
    <t>4.15</t>
  </si>
  <si>
    <t>1987/07-12</t>
  </si>
  <si>
    <t>800,016,938,160,000</t>
  </si>
  <si>
    <t>1988/01-06</t>
  </si>
  <si>
    <t>921,182,111,720,000</t>
  </si>
  <si>
    <t>1,050,126,825,720,000</t>
  </si>
  <si>
    <t>898,527,799,530,000</t>
  </si>
  <si>
    <t>5.23</t>
  </si>
  <si>
    <t>1,082,247,663,800,000</t>
  </si>
  <si>
    <t>773,650,650,100,000</t>
  </si>
  <si>
    <t>750,678,882,710,000</t>
  </si>
  <si>
    <t>625,294,274,180,000</t>
  </si>
  <si>
    <t>7.12</t>
  </si>
  <si>
    <t>624,137,702,490,000</t>
  </si>
  <si>
    <t>11.26</t>
  </si>
  <si>
    <t>9.26</t>
  </si>
  <si>
    <t>587,637,398,490,000</t>
  </si>
  <si>
    <t>649,423,536,230,000</t>
  </si>
  <si>
    <t>786,703,395,490,000</t>
  </si>
  <si>
    <t>897,151,294,220,000</t>
  </si>
  <si>
    <t>10.8</t>
  </si>
  <si>
    <t>785,828,128,470,000</t>
  </si>
  <si>
    <t>4.6</t>
  </si>
  <si>
    <t>650,234,342,690,000</t>
  </si>
  <si>
    <t>833,465,501,280,000</t>
  </si>
  <si>
    <t>2.23</t>
  </si>
  <si>
    <t>804,475,751,090,000</t>
  </si>
  <si>
    <t>714,116,844,940,000</t>
  </si>
  <si>
    <t>788,246,850,640,000</t>
  </si>
  <si>
    <t>789,084,888,720,000</t>
  </si>
  <si>
    <t>713,802,292,650,000</t>
  </si>
  <si>
    <t>698,160,495,390,000</t>
  </si>
  <si>
    <t>740,747,801,350,000</t>
  </si>
  <si>
    <t>3.23</t>
  </si>
  <si>
    <t>733,458,681,450,000</t>
  </si>
  <si>
    <t>547,373,731,610,000</t>
  </si>
  <si>
    <t>706,709,368,300,000</t>
  </si>
  <si>
    <t>608,150,184,490,000</t>
  </si>
  <si>
    <t>554,705,693,620,000</t>
  </si>
  <si>
    <t>10.15</t>
  </si>
  <si>
    <t>471,412,610,550,000</t>
  </si>
  <si>
    <t>447,503,282,050,000</t>
  </si>
  <si>
    <t>274,533,660,000</t>
  </si>
  <si>
    <t>437,543,402,280,000</t>
  </si>
  <si>
    <t>153,647,010,000</t>
  </si>
  <si>
    <t>406,151,837,870,000</t>
  </si>
  <si>
    <t>28,610,000,000</t>
  </si>
  <si>
    <t>501,955,914,740,000</t>
  </si>
  <si>
    <t>13,782,000,000</t>
  </si>
  <si>
    <t>565,703,585,290,000</t>
  </si>
  <si>
    <t>167,463,150,000</t>
  </si>
  <si>
    <t>537,771,714,430,000</t>
  </si>
  <si>
    <t>538,624,860,000</t>
  </si>
  <si>
    <t>576,248,243,980,000</t>
  </si>
  <si>
    <t>79,949,650,000</t>
  </si>
  <si>
    <t>4.28</t>
  </si>
  <si>
    <t>790,039,029,490,000</t>
  </si>
  <si>
    <t>51,213,150,000</t>
  </si>
  <si>
    <t>853,478,808,390,000</t>
  </si>
  <si>
    <t>1,324,324,250,000</t>
  </si>
  <si>
    <t>762,424,496,440,000</t>
  </si>
  <si>
    <t>1,525,237,710,000</t>
  </si>
  <si>
    <t>5.7</t>
  </si>
  <si>
    <t>874,178,124,330,000</t>
  </si>
  <si>
    <t>1,806,001,530,000</t>
  </si>
  <si>
    <t>946,326,373,170,000</t>
  </si>
  <si>
    <t>3,971,876,520,000</t>
  </si>
  <si>
    <t>896,222,263,920,000</t>
  </si>
  <si>
    <t>10,573,497,820,000</t>
  </si>
  <si>
    <t>565,774,141,590,000</t>
  </si>
  <si>
    <t>6,938,840,060,000</t>
  </si>
  <si>
    <t>443,355,191,200,000</t>
  </si>
  <si>
    <t>5,713,392,310,000</t>
  </si>
  <si>
    <t>492,742,326,280,000</t>
  </si>
  <si>
    <t>7,810,136,630,000</t>
  </si>
  <si>
    <t>510,581,796,030,000</t>
  </si>
  <si>
    <t>8,667,430,930,000</t>
  </si>
  <si>
    <t>619,253,444,970,000</t>
  </si>
  <si>
    <t>9,183,478,130,000</t>
  </si>
  <si>
    <t>483,206,769,460,000</t>
  </si>
  <si>
    <t>12,892,631,050,000</t>
  </si>
  <si>
    <t>487,881,734,660,000</t>
  </si>
  <si>
    <t>14,966,456,830,000</t>
  </si>
  <si>
    <t>645,829,818,220,000</t>
  </si>
  <si>
    <t>39,672,748,590,000</t>
  </si>
  <si>
    <t>626,002,093,010,000</t>
  </si>
  <si>
    <t>37,327,167,160,000</t>
  </si>
  <si>
    <t>768,096,166,920,000</t>
  </si>
  <si>
    <t>48,289,659,960,000</t>
  </si>
  <si>
    <t>548,050,632,230,000</t>
  </si>
  <si>
    <t>40,979,853,410,000</t>
  </si>
  <si>
    <t>585,674,606,090,000</t>
  </si>
  <si>
    <t>48,993,772,300,000</t>
  </si>
  <si>
    <t>695,020,165,610,000</t>
  </si>
  <si>
    <t>39,389,169,150,000</t>
  </si>
  <si>
    <t>690,907,257,580,000</t>
  </si>
  <si>
    <t>40,141,815,080,000</t>
  </si>
  <si>
    <t>590,997,293,810,000</t>
  </si>
  <si>
    <t>30,517,424,100,000</t>
  </si>
  <si>
    <t>593,787,033,250,000</t>
  </si>
  <si>
    <t>28,212,120,990,000</t>
  </si>
  <si>
    <t>524,208,122,791,000</t>
  </si>
  <si>
    <t>25,001,292,711,000</t>
  </si>
  <si>
    <t>549,775,819,111,500</t>
  </si>
  <si>
    <t>34,158,739,991,500</t>
  </si>
  <si>
    <t>683,485,734,435,000</t>
  </si>
  <si>
    <t>38,722,802,595,000</t>
  </si>
  <si>
    <t>716,182,876,502,500</t>
  </si>
  <si>
    <t>49,906,738,292,500</t>
  </si>
  <si>
    <t>837,385,372,162,200</t>
  </si>
  <si>
    <t>65,475,986,732,200</t>
  </si>
  <si>
    <t>742,201,200,505,700</t>
  </si>
  <si>
    <t>46,683,854,725,700</t>
  </si>
  <si>
    <t>7.29</t>
  </si>
  <si>
    <t>732,153,092,496,200</t>
  </si>
  <si>
    <t>49,433,776,936,200</t>
  </si>
  <si>
    <t>542,458,237,498,300</t>
  </si>
  <si>
    <t>35,601,994,098,300</t>
  </si>
  <si>
    <t>547,204,918,248,800</t>
  </si>
  <si>
    <t>34,049,076,148,800</t>
  </si>
  <si>
    <t>618,965,650,897,400</t>
  </si>
  <si>
    <t>40,402,434,677,400</t>
  </si>
  <si>
    <t>622,705,845,376,200</t>
  </si>
  <si>
    <t>55,491,673,316,200</t>
  </si>
  <si>
    <t>665,540,716,998,700</t>
  </si>
  <si>
    <t>57,185,662,318,700</t>
  </si>
  <si>
    <t>542,070,478,444,700</t>
  </si>
  <si>
    <t>54,990,500,194,700</t>
  </si>
  <si>
    <t>593,888,779,820,900</t>
  </si>
  <si>
    <t>71,471,032,250,900</t>
  </si>
  <si>
    <t>808,141,780,840,600</t>
  </si>
  <si>
    <t>86,230,323,160,600</t>
  </si>
  <si>
    <t>390,164,124,336,500</t>
  </si>
  <si>
    <t>45,585,826,746,500</t>
  </si>
  <si>
    <t>長期国債先物（現金決済型ミニ）</t>
  </si>
  <si>
    <t>mini-10-year JGB Futures (Cash-Settled)</t>
  </si>
  <si>
    <t>632,592,000</t>
  </si>
  <si>
    <t>4.24</t>
  </si>
  <si>
    <t>110,072,515,500</t>
  </si>
  <si>
    <t>395,149,111,000</t>
  </si>
  <si>
    <t>269,936,000</t>
  </si>
  <si>
    <t>62,521,795,000</t>
  </si>
  <si>
    <t>193,721,084,000</t>
  </si>
  <si>
    <t>1,502,078,000</t>
  </si>
  <si>
    <t>63,072,067,000</t>
  </si>
  <si>
    <t>359,706,000</t>
  </si>
  <si>
    <t>3.26</t>
  </si>
  <si>
    <t>112,051,634,500</t>
  </si>
  <si>
    <t>347,960,000</t>
  </si>
  <si>
    <t>196,544,723,500</t>
  </si>
  <si>
    <t>335,859,500</t>
  </si>
  <si>
    <t>11.20</t>
  </si>
  <si>
    <t>471,183,315,000</t>
  </si>
  <si>
    <t>927,247,000</t>
  </si>
  <si>
    <t>10.9</t>
  </si>
  <si>
    <t>127,272,905,500</t>
  </si>
  <si>
    <t>340,741,000</t>
  </si>
  <si>
    <t>73,021,068,500</t>
  </si>
  <si>
    <t>637,049,000</t>
  </si>
  <si>
    <t>13,822,231,000</t>
  </si>
  <si>
    <t>9,705,148,500</t>
  </si>
  <si>
    <t>14,402,757,500</t>
  </si>
  <si>
    <t>6,766,862,000</t>
  </si>
  <si>
    <t>44,978,520,500</t>
  </si>
  <si>
    <t>9,500,356,000</t>
  </si>
  <si>
    <t>20,508,366,000</t>
  </si>
  <si>
    <t>20,707,258,000</t>
  </si>
  <si>
    <t>4,514,785,000</t>
  </si>
  <si>
    <t>7,402,917,000</t>
  </si>
  <si>
    <t>8,595,815,000</t>
  </si>
  <si>
    <t>22,518,883,000</t>
  </si>
  <si>
    <t>26,959,413,000</t>
  </si>
  <si>
    <t>30,827,810,000</t>
  </si>
  <si>
    <t>25,589,819,000</t>
  </si>
  <si>
    <t>13,661,045,000</t>
  </si>
  <si>
    <t>超長期国債先物（ミニ）</t>
  </si>
  <si>
    <t>mini-20-year JGB Futures</t>
  </si>
  <si>
    <t>4,181,358,450,000</t>
  </si>
  <si>
    <t>1,810,954,770,000</t>
  </si>
  <si>
    <t>1,322,941,560,000</t>
  </si>
  <si>
    <t>4.9</t>
  </si>
  <si>
    <t>855,149,400,000</t>
  </si>
  <si>
    <t>340,799,450,000</t>
  </si>
  <si>
    <t>355,514,430,000</t>
  </si>
  <si>
    <t>255,381,670,000</t>
  </si>
  <si>
    <t>10.18</t>
  </si>
  <si>
    <t>219,562,660,000</t>
  </si>
  <si>
    <t>174,766,700,000</t>
  </si>
  <si>
    <t>172,656,620,000</t>
  </si>
  <si>
    <t>163,770,900,000</t>
  </si>
  <si>
    <t>139,893,200,000</t>
  </si>
  <si>
    <t>212,995,650,000</t>
  </si>
  <si>
    <t>157,641,400,000</t>
  </si>
  <si>
    <t>176,287,900,000</t>
  </si>
  <si>
    <t>145,601,540,000</t>
  </si>
  <si>
    <t>139,869,710,000</t>
  </si>
  <si>
    <t>133,737,090,000</t>
  </si>
  <si>
    <t>167,945,470,000</t>
  </si>
  <si>
    <t>18,039,190,000</t>
  </si>
  <si>
    <t>586,381,420,000</t>
  </si>
  <si>
    <t>121,301,620,000</t>
  </si>
  <si>
    <t>426,496,640,000</t>
  </si>
  <si>
    <t>188,457,800,000</t>
  </si>
  <si>
    <t>129,995,150,000</t>
  </si>
  <si>
    <t>8,714,350,000</t>
  </si>
  <si>
    <t>323,404,120,000</t>
  </si>
  <si>
    <t>58,049,480,000</t>
  </si>
  <si>
    <t>106,670,460,000</t>
  </si>
  <si>
    <t>45,383,240,000</t>
  </si>
  <si>
    <t>22,183,380,000</t>
  </si>
  <si>
    <t>29,232,100,000</t>
  </si>
  <si>
    <t>17,463,210,000</t>
  </si>
  <si>
    <t>14,197,710,000</t>
  </si>
  <si>
    <t>9,438,770,000</t>
  </si>
  <si>
    <t>6,219,360,000</t>
  </si>
  <si>
    <t>1,082,372,000</t>
  </si>
  <si>
    <t>44,880,000</t>
  </si>
  <si>
    <t>5.16</t>
  </si>
  <si>
    <t>TONA3か月金利先物</t>
  </si>
  <si>
    <t>3-Month TONA Futures</t>
  </si>
  <si>
    <t>1,026,462,052,375</t>
  </si>
  <si>
    <t>4,229,731,231,225</t>
  </si>
  <si>
    <t>56,429,540,400</t>
  </si>
  <si>
    <t>11,004,789,283,175</t>
  </si>
  <si>
    <t>49,990,000</t>
  </si>
  <si>
    <t>金標準先物</t>
  </si>
  <si>
    <t>Gold Standard Futures</t>
  </si>
  <si>
    <t>23,249,838,577,000</t>
  </si>
  <si>
    <t>17,312,586,000</t>
  </si>
  <si>
    <t>20,106,844,827,000</t>
  </si>
  <si>
    <t>2,399,000,000</t>
  </si>
  <si>
    <t>18,356,751,012,000</t>
  </si>
  <si>
    <t>3,385,775,000</t>
  </si>
  <si>
    <t>10.7</t>
  </si>
  <si>
    <t>30,599,599,784,000</t>
  </si>
  <si>
    <t>2,028,445,000</t>
  </si>
  <si>
    <t>25,189,505,654,000</t>
  </si>
  <si>
    <t>2,050,941,000</t>
  </si>
  <si>
    <t>32,991,003,390,000</t>
  </si>
  <si>
    <t>5,552,571,000</t>
  </si>
  <si>
    <t>36,435,776,302,000</t>
  </si>
  <si>
    <t>2,718,396,000</t>
  </si>
  <si>
    <t>10.26</t>
  </si>
  <si>
    <t>21,620,049,804,000</t>
  </si>
  <si>
    <t>7,723,825,000</t>
  </si>
  <si>
    <t>金ミニ先物</t>
  </si>
  <si>
    <t>Gold Mini Futures</t>
  </si>
  <si>
    <t>611,977,432,900</t>
  </si>
  <si>
    <t>5,450,173,500</t>
  </si>
  <si>
    <t>619,722,798,600</t>
  </si>
  <si>
    <t>615,000</t>
  </si>
  <si>
    <t>493,070,802,500</t>
  </si>
  <si>
    <t>5,203,400</t>
  </si>
  <si>
    <t>908,015,415,000</t>
  </si>
  <si>
    <t>754,800</t>
  </si>
  <si>
    <t>2.3</t>
  </si>
  <si>
    <t>543,318,821,350</t>
  </si>
  <si>
    <t>31,323,050</t>
  </si>
  <si>
    <t>532,172,968,350</t>
  </si>
  <si>
    <t>33,294,350</t>
  </si>
  <si>
    <t>596,401,642,200</t>
  </si>
  <si>
    <t>38,141,400</t>
  </si>
  <si>
    <t>10.6</t>
  </si>
  <si>
    <t>325,476,262,200</t>
  </si>
  <si>
    <t>10,280,000</t>
  </si>
  <si>
    <t>金限日先物</t>
  </si>
  <si>
    <t>Gold Rolling-Spot Futures</t>
  </si>
  <si>
    <t>387,243,637,500</t>
  </si>
  <si>
    <t>5,801,092,700</t>
  </si>
  <si>
    <t>11.18</t>
  </si>
  <si>
    <t>223,857,798,200</t>
  </si>
  <si>
    <t>641,400</t>
  </si>
  <si>
    <t>187,643,700,800</t>
  </si>
  <si>
    <t>415,890,800</t>
  </si>
  <si>
    <t>452,475,132,800</t>
  </si>
  <si>
    <t>205,219,700</t>
  </si>
  <si>
    <t>413,704,094,200</t>
  </si>
  <si>
    <t>80,776,100</t>
  </si>
  <si>
    <t>921,308,586,600</t>
  </si>
  <si>
    <t>31,291,500</t>
  </si>
  <si>
    <t>979,094,671,600</t>
  </si>
  <si>
    <t>388,563,000</t>
  </si>
  <si>
    <t>558,574,367,400</t>
  </si>
  <si>
    <t>184,039,200</t>
  </si>
  <si>
    <t>銀先物</t>
  </si>
  <si>
    <t>Silver Futures</t>
  </si>
  <si>
    <t>26,210,733,000</t>
  </si>
  <si>
    <t>277,712,000</t>
  </si>
  <si>
    <t>26,041,379,000</t>
  </si>
  <si>
    <t>13,068,000</t>
  </si>
  <si>
    <t>11,826,394,000</t>
  </si>
  <si>
    <t>22,866,111,000</t>
  </si>
  <si>
    <t>15,301,000</t>
  </si>
  <si>
    <t>10,933,947,000</t>
  </si>
  <si>
    <t>11,739,000</t>
  </si>
  <si>
    <t>7,850,789,000</t>
  </si>
  <si>
    <t>9,090,000</t>
  </si>
  <si>
    <t>4,238,370,000</t>
  </si>
  <si>
    <t>10,940,000</t>
  </si>
  <si>
    <t>7.11</t>
  </si>
  <si>
    <t>856,207,000</t>
  </si>
  <si>
    <t>3,450,000</t>
  </si>
  <si>
    <t>白金標準先物</t>
  </si>
  <si>
    <t>Platinum Standard Futures</t>
  </si>
  <si>
    <t>1,207,576,176,500</t>
  </si>
  <si>
    <t>1,267,365,500</t>
  </si>
  <si>
    <t>9.23</t>
  </si>
  <si>
    <t>2,758,450,119,000</t>
  </si>
  <si>
    <t>893,504,500</t>
  </si>
  <si>
    <t>2,252,180,311,500</t>
  </si>
  <si>
    <t>1,632,925,500</t>
  </si>
  <si>
    <t>2,426,911,700,000</t>
  </si>
  <si>
    <t>347,946,000</t>
  </si>
  <si>
    <t>2,572,107,799,000</t>
  </si>
  <si>
    <t>508,332,000</t>
  </si>
  <si>
    <t>2,547,016,420,000</t>
  </si>
  <si>
    <t>447,608,500</t>
  </si>
  <si>
    <t>2,489,060,551,500</t>
  </si>
  <si>
    <t>387,068,000</t>
  </si>
  <si>
    <t>1,763,733,200,500</t>
  </si>
  <si>
    <t>11,503,062,500</t>
  </si>
  <si>
    <t>白金ミニ先物</t>
  </si>
  <si>
    <t>Platinum Mini Futures</t>
  </si>
  <si>
    <t>7.30</t>
  </si>
  <si>
    <t>31,081,580,400</t>
  </si>
  <si>
    <t>113,795,700</t>
  </si>
  <si>
    <t>63,984,236,700</t>
  </si>
  <si>
    <t>1,089,000</t>
  </si>
  <si>
    <t>75,530,949,000</t>
  </si>
  <si>
    <t>17,555,800</t>
  </si>
  <si>
    <t>103,675,481,700</t>
  </si>
  <si>
    <t>23,551,500</t>
  </si>
  <si>
    <t>90,239,245,900</t>
  </si>
  <si>
    <t>2,554,600</t>
  </si>
  <si>
    <t>56,560,692,550</t>
  </si>
  <si>
    <t>1,643,700</t>
  </si>
  <si>
    <t>42,315,052,350</t>
  </si>
  <si>
    <t>829,700</t>
  </si>
  <si>
    <t>24,249,778,550</t>
  </si>
  <si>
    <t>白金限日先物</t>
  </si>
  <si>
    <t>Platinum Rolling-Spot Futures</t>
  </si>
  <si>
    <t>12,751,372,800</t>
  </si>
  <si>
    <t>27,813,147,800</t>
  </si>
  <si>
    <t>373,451,300</t>
  </si>
  <si>
    <t>18,948,868,200</t>
  </si>
  <si>
    <t>2,444,300</t>
  </si>
  <si>
    <t>31,952,943,400</t>
  </si>
  <si>
    <t>31,701,600</t>
  </si>
  <si>
    <t>49,907,925,900</t>
  </si>
  <si>
    <t>2,636,100</t>
  </si>
  <si>
    <t>112,730,530,700</t>
  </si>
  <si>
    <t>181,684,361,400</t>
  </si>
  <si>
    <t>165,479,732,700</t>
  </si>
  <si>
    <t>25,668,000</t>
  </si>
  <si>
    <t>パラジウム先物</t>
  </si>
  <si>
    <t>Palladium Futures</t>
  </si>
  <si>
    <t>9.30</t>
  </si>
  <si>
    <t>8,289,669,500</t>
  </si>
  <si>
    <t>6,028,772,000</t>
  </si>
  <si>
    <t>526,715,000</t>
  </si>
  <si>
    <t>1,345,456,500</t>
  </si>
  <si>
    <t>757,121,000</t>
  </si>
  <si>
    <t>3,826,000</t>
  </si>
  <si>
    <t>202,322,000</t>
  </si>
  <si>
    <t>45,685,000</t>
  </si>
  <si>
    <t>26,982,500</t>
  </si>
  <si>
    <t>CME原油等指数先物</t>
  </si>
  <si>
    <t>CME Petroleum Index Futures</t>
  </si>
  <si>
    <t>18,690,700,600</t>
  </si>
  <si>
    <t>206,524,000</t>
  </si>
  <si>
    <t>7,460,012,500</t>
  </si>
  <si>
    <t>95,537,000</t>
  </si>
  <si>
    <t>355,347,000</t>
  </si>
  <si>
    <t>7,213,500</t>
  </si>
  <si>
    <t>238,619,000</t>
  </si>
  <si>
    <t>371,561,000</t>
  </si>
  <si>
    <t>84,374,000</t>
  </si>
  <si>
    <t>243,580,500</t>
  </si>
  <si>
    <t>ゴム（RSS3）先物</t>
  </si>
  <si>
    <t>RSS3 Rubber Futures</t>
  </si>
  <si>
    <t>10.30</t>
  </si>
  <si>
    <t>622,309,960,500</t>
  </si>
  <si>
    <t>3,463,133,000</t>
  </si>
  <si>
    <t>487,160,363,000</t>
  </si>
  <si>
    <t>1,980,202,500</t>
  </si>
  <si>
    <t>2.25</t>
  </si>
  <si>
    <t>376,066,941,700</t>
  </si>
  <si>
    <t>1,269,303,200</t>
  </si>
  <si>
    <t>386,133,476,500</t>
  </si>
  <si>
    <t>1,725,729,500</t>
  </si>
  <si>
    <t>313,015,633,500</t>
  </si>
  <si>
    <t>1,501,946,000</t>
  </si>
  <si>
    <t>321,087,387,500</t>
  </si>
  <si>
    <t>2,675,473,000</t>
  </si>
  <si>
    <t>400,628,907,000</t>
  </si>
  <si>
    <t>2,062,803,500</t>
  </si>
  <si>
    <t>207,258,181,000</t>
  </si>
  <si>
    <t>2,021,336,500</t>
  </si>
  <si>
    <t>ゴム（TSR20）先物</t>
  </si>
  <si>
    <t>TSR20 Rubber Futures</t>
  </si>
  <si>
    <t>57,500,000</t>
  </si>
  <si>
    <t>29,000,000</t>
  </si>
  <si>
    <t>24,519,500</t>
  </si>
  <si>
    <t>3,514,000</t>
  </si>
  <si>
    <t>328,491,000</t>
  </si>
  <si>
    <t>12,318,000</t>
  </si>
  <si>
    <t>390,135,000</t>
  </si>
  <si>
    <t>3,069,000</t>
  </si>
  <si>
    <t>240,016,500</t>
  </si>
  <si>
    <t>52,946,000</t>
  </si>
  <si>
    <t>31,296,000</t>
  </si>
  <si>
    <t>15,180,000</t>
  </si>
  <si>
    <t>とうもろこし先物</t>
  </si>
  <si>
    <t>Corn Futures</t>
  </si>
  <si>
    <t>22,402,578,500</t>
  </si>
  <si>
    <t>298,516,000</t>
  </si>
  <si>
    <t>72,300,738,500</t>
  </si>
  <si>
    <t>554,668,500</t>
  </si>
  <si>
    <t>49,283,922,500</t>
  </si>
  <si>
    <t>237,437,500</t>
  </si>
  <si>
    <t>76,510,028,500</t>
  </si>
  <si>
    <t>2,246,548,500</t>
  </si>
  <si>
    <t>55,679,513,000</t>
  </si>
  <si>
    <t>1,114,928,000</t>
  </si>
  <si>
    <t>20,775,106,500</t>
  </si>
  <si>
    <t>839,227,500</t>
  </si>
  <si>
    <t>22,038,975,500</t>
  </si>
  <si>
    <t>899,102,000</t>
  </si>
  <si>
    <t>2,962,425,000</t>
  </si>
  <si>
    <t>224,300,000</t>
  </si>
  <si>
    <t>一般大豆先物</t>
  </si>
  <si>
    <t>Soybean Futures</t>
  </si>
  <si>
    <t>2,420,000</t>
  </si>
  <si>
    <t>3,152,500</t>
  </si>
  <si>
    <t>小豆先物</t>
  </si>
  <si>
    <t>Azuki (Red Bean) Futures</t>
  </si>
  <si>
    <t>17,104,800</t>
  </si>
  <si>
    <t>1,700,000</t>
  </si>
  <si>
    <t>12.23</t>
  </si>
  <si>
    <t>6,128,000</t>
  </si>
  <si>
    <t>1,952,800</t>
  </si>
  <si>
    <t>バージガソリン先物</t>
  </si>
  <si>
    <t>Gasoline Futures</t>
  </si>
  <si>
    <t>54,061,453,500</t>
  </si>
  <si>
    <t>3,310,601,500</t>
  </si>
  <si>
    <t>66,344,836,000</t>
  </si>
  <si>
    <t>4,081,665,000</t>
  </si>
  <si>
    <t>40,924,677,500</t>
  </si>
  <si>
    <t>2,333,287,000</t>
  </si>
  <si>
    <t>12,154,013,500</t>
  </si>
  <si>
    <t>2,219,553,500</t>
  </si>
  <si>
    <t>587,929,500</t>
  </si>
  <si>
    <t>203,564,000</t>
  </si>
  <si>
    <t>7,500,000</t>
  </si>
  <si>
    <t>バージ灯油先物</t>
  </si>
  <si>
    <t>Kerosene Futures</t>
  </si>
  <si>
    <t>35,689,541,000</t>
  </si>
  <si>
    <t>2,116,725,500</t>
  </si>
  <si>
    <t>42,411,375,500</t>
  </si>
  <si>
    <t>5,218,989,000</t>
  </si>
  <si>
    <t>20,177,234,000</t>
  </si>
  <si>
    <t>2,508,138,500</t>
  </si>
  <si>
    <t>9,117,526,500</t>
  </si>
  <si>
    <t>1,656,273,500</t>
  </si>
  <si>
    <t>11.21</t>
  </si>
  <si>
    <t>998,628,000</t>
  </si>
  <si>
    <t>723,477,500</t>
  </si>
  <si>
    <t>84,500,500</t>
  </si>
  <si>
    <t>77,000,000</t>
  </si>
  <si>
    <t>バージ軽油先物</t>
  </si>
  <si>
    <t>Gas Oil Futures</t>
  </si>
  <si>
    <t>プラッツドバイ原油先物</t>
  </si>
  <si>
    <t>Platts Dubai Crude Oil Futures</t>
  </si>
  <si>
    <t>3,287,425,611,500</t>
  </si>
  <si>
    <t>40,545,619,000</t>
  </si>
  <si>
    <t>4,442,816,509,500</t>
  </si>
  <si>
    <t>63,261,730,000</t>
  </si>
  <si>
    <t>4,469,995,138,500</t>
  </si>
  <si>
    <t>77,675,560,000</t>
  </si>
  <si>
    <t>5,145,140,387,500</t>
  </si>
  <si>
    <t>121,671,195,000</t>
  </si>
  <si>
    <t>3,618,086,122,550</t>
  </si>
  <si>
    <t>88,535,289,050</t>
  </si>
  <si>
    <t>3,094,335,309,050</t>
  </si>
  <si>
    <t>54,870,253,050</t>
  </si>
  <si>
    <t>4.12</t>
  </si>
  <si>
    <t>3,192,657,201,750</t>
  </si>
  <si>
    <t>69,017,967,250</t>
  </si>
  <si>
    <t>1,353,610,840,500</t>
  </si>
  <si>
    <t>6,548,035,000</t>
  </si>
  <si>
    <t>東エリア・ベースロード電力先物</t>
  </si>
  <si>
    <t>East Area Baseload Electricity Futures</t>
  </si>
  <si>
    <t>1,621,386,456</t>
  </si>
  <si>
    <t>1,320,544,320</t>
  </si>
  <si>
    <t>3,505,368,456</t>
  </si>
  <si>
    <t>3,187,262,496</t>
  </si>
  <si>
    <t>6,524,895,288</t>
  </si>
  <si>
    <t>5,913,760,464</t>
  </si>
  <si>
    <t>11,392,246,512</t>
  </si>
  <si>
    <t>10,375,058,160</t>
  </si>
  <si>
    <t>15,236,194,680</t>
  </si>
  <si>
    <t>13,463,987,712</t>
  </si>
  <si>
    <t>10,740,096,720</t>
  </si>
  <si>
    <t>9,547,896,360</t>
  </si>
  <si>
    <t>2,573,100,984</t>
  </si>
  <si>
    <t>1,036,336,344</t>
  </si>
  <si>
    <t>280,963,080</t>
  </si>
  <si>
    <t>39,568,560</t>
  </si>
  <si>
    <t>西エリア・ベースロード電力先物</t>
  </si>
  <si>
    <t>West Area Baseload Electricity Futures</t>
  </si>
  <si>
    <t>232,707,264</t>
  </si>
  <si>
    <t>187,794,000</t>
  </si>
  <si>
    <t>1,284,699,456</t>
  </si>
  <si>
    <t>958,426,800</t>
  </si>
  <si>
    <t>2,024,139,696</t>
  </si>
  <si>
    <t>1,796,870,112</t>
  </si>
  <si>
    <t>11.2</t>
  </si>
  <si>
    <t>3,785,033,472</t>
  </si>
  <si>
    <t>3,592,792,512</t>
  </si>
  <si>
    <t>6,890,363,952</t>
  </si>
  <si>
    <t>6,442,182,000</t>
  </si>
  <si>
    <t>1,662,900,408</t>
  </si>
  <si>
    <t>1,410,823,920</t>
  </si>
  <si>
    <t>631,823,280</t>
  </si>
  <si>
    <t>288,690,960</t>
  </si>
  <si>
    <t>87,087,768</t>
  </si>
  <si>
    <t>東エリア・日中ロード電力先物</t>
  </si>
  <si>
    <t>East Area Peakload Electricity Futures</t>
  </si>
  <si>
    <t>166,979,808</t>
  </si>
  <si>
    <t>114,790,200</t>
  </si>
  <si>
    <t>816,563,112</t>
  </si>
  <si>
    <t>695,961,600</t>
  </si>
  <si>
    <t>412,593,192</t>
  </si>
  <si>
    <t>316,999,680</t>
  </si>
  <si>
    <t>2,591,657,796</t>
  </si>
  <si>
    <t>2,537,038,356</t>
  </si>
  <si>
    <t>2,193,258,336</t>
  </si>
  <si>
    <t>2,100,601,536</t>
  </si>
  <si>
    <t>815,410,212</t>
  </si>
  <si>
    <t>733,780,680</t>
  </si>
  <si>
    <t>156,968,484</t>
  </si>
  <si>
    <t>25,444,800</t>
  </si>
  <si>
    <t>168,537,480</t>
  </si>
  <si>
    <t>100,968,960</t>
  </si>
  <si>
    <t>西エリア・日中ロード電力先物</t>
  </si>
  <si>
    <t>West Area Peakload Electricity Futures</t>
  </si>
  <si>
    <t>129,972,408</t>
  </si>
  <si>
    <t>110,928,000</t>
  </si>
  <si>
    <t>510,843,984</t>
  </si>
  <si>
    <t>353,400,240</t>
  </si>
  <si>
    <t>57,693,000</t>
  </si>
  <si>
    <t>36,609,000</t>
  </si>
  <si>
    <t>1,863,897,000</t>
  </si>
  <si>
    <t>1,006,244,400</t>
  </si>
  <si>
    <t>991,880,400</t>
  </si>
  <si>
    <t>113,470,260</t>
  </si>
  <si>
    <t>60,908,940</t>
  </si>
  <si>
    <t>73,496,100</t>
  </si>
  <si>
    <t>6,019,200</t>
  </si>
  <si>
    <t>33,646,452</t>
  </si>
  <si>
    <t>9,507,600</t>
  </si>
  <si>
    <t>東エリア・週間ベースロード電力先物</t>
  </si>
  <si>
    <t>East Area Baseload Electricity Futures (Weekly)</t>
  </si>
  <si>
    <t>1,515,360</t>
  </si>
  <si>
    <t>西エリア・週間ベースロード電力先物</t>
  </si>
  <si>
    <t>West Area Baseload Electricity Futures (Weekly)</t>
  </si>
  <si>
    <t>991,536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</si>
  <si>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</si>
  <si>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</si>
  <si>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</si>
  <si>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</si>
  <si>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348,000</t>
  </si>
  <si>
    <t>LNG（プラッツJKM）先物</t>
  </si>
  <si>
    <t>LNG（Platts JKM）Futures</t>
  </si>
  <si>
    <t>11,900,000</t>
  </si>
  <si>
    <t>3,550,000</t>
  </si>
  <si>
    <t>6,300,000</t>
  </si>
  <si>
    <t>中京ローリーガソリン先物</t>
  </si>
  <si>
    <t>Chukyo Gasoline Futures</t>
  </si>
  <si>
    <t>1,854,246,200</t>
  </si>
  <si>
    <t>326,215,000</t>
  </si>
  <si>
    <t>2,062,314,200</t>
  </si>
  <si>
    <t>599,523,200</t>
  </si>
  <si>
    <t>1,991,051,800</t>
  </si>
  <si>
    <t>778,834,900</t>
  </si>
  <si>
    <t>889,444,900</t>
  </si>
  <si>
    <t>235,661,000</t>
  </si>
  <si>
    <t>535,744,200</t>
  </si>
  <si>
    <t>191,906,200</t>
  </si>
  <si>
    <t>617,547,100</t>
  </si>
  <si>
    <t>285,174,900</t>
  </si>
  <si>
    <t>642,881,200</t>
  </si>
  <si>
    <t>361,738,600</t>
  </si>
  <si>
    <t>247,780,700</t>
  </si>
  <si>
    <t>157,109,500</t>
  </si>
  <si>
    <t>中京ローリー灯油先物</t>
  </si>
  <si>
    <t>Chukyo Kerosene Futures</t>
  </si>
  <si>
    <t>2,853,369,800</t>
  </si>
  <si>
    <t>663,955,200</t>
  </si>
  <si>
    <t>1,520,453,900</t>
  </si>
  <si>
    <t>454,629,300</t>
  </si>
  <si>
    <t>2,755,546,400</t>
  </si>
  <si>
    <t>863,057,600</t>
  </si>
  <si>
    <t>841,426,500</t>
  </si>
  <si>
    <t>281,269,000</t>
  </si>
  <si>
    <t>297,000,000</t>
  </si>
  <si>
    <t>98,038,000</t>
  </si>
  <si>
    <t>134,920,800</t>
  </si>
  <si>
    <t>21,987,800</t>
  </si>
  <si>
    <t>220,215,400</t>
  </si>
  <si>
    <t>54,739,000</t>
  </si>
  <si>
    <t>54,910,000</t>
  </si>
  <si>
    <t>日経225オプション</t>
  </si>
  <si>
    <t>Nikkei 225 Options</t>
  </si>
  <si>
    <t>プット</t>
  </si>
  <si>
    <t>Put</t>
  </si>
  <si>
    <t>266,035,723,000</t>
  </si>
  <si>
    <t>174,511,469,000</t>
  </si>
  <si>
    <t>コール</t>
  </si>
  <si>
    <t>Call</t>
  </si>
  <si>
    <t>438,356,758,000</t>
  </si>
  <si>
    <t>341,689,807,000</t>
  </si>
  <si>
    <t>合計</t>
  </si>
  <si>
    <t>Total</t>
  </si>
  <si>
    <t>704,392,481,000</t>
  </si>
  <si>
    <t>516,201,276,000</t>
  </si>
  <si>
    <t>1,504,521,590,000</t>
  </si>
  <si>
    <t>1,055,830,186,000</t>
  </si>
  <si>
    <t>1,661,139,781,000</t>
  </si>
  <si>
    <t>1,220,714,153,000</t>
  </si>
  <si>
    <t>3,165,661,371,000</t>
  </si>
  <si>
    <t>2,276,544,339,000</t>
  </si>
  <si>
    <t>2,014,467,918,000</t>
  </si>
  <si>
    <t>1,248,504,111,000</t>
  </si>
  <si>
    <t>1,527,025,879,000</t>
  </si>
  <si>
    <t>966,652,231,000</t>
  </si>
  <si>
    <t>3,541,493,797,000</t>
  </si>
  <si>
    <t>2,215,156,342,000</t>
  </si>
  <si>
    <t>2,432,985,740,000</t>
  </si>
  <si>
    <t>1,731,064,432,000</t>
  </si>
  <si>
    <t>1,823,937,745,000</t>
  </si>
  <si>
    <t>1,304,035,841,000</t>
  </si>
  <si>
    <t>4,256,923,485,000</t>
  </si>
  <si>
    <t>3,035,100,273,000</t>
  </si>
  <si>
    <t>1,441,585,144,750</t>
  </si>
  <si>
    <t>1,068,602,720,750</t>
  </si>
  <si>
    <t>1,560,592,179,299</t>
  </si>
  <si>
    <t>1,207,595,837,299</t>
  </si>
  <si>
    <t>3,002,177,324,049</t>
  </si>
  <si>
    <t>2,276,198,558,049</t>
  </si>
  <si>
    <t>1,403,058,850,304</t>
  </si>
  <si>
    <t>1,092,952,745,304</t>
  </si>
  <si>
    <t>1,233,590,355,456</t>
  </si>
  <si>
    <t>957,800,981,456</t>
  </si>
  <si>
    <t>2,636,649,205,760</t>
  </si>
  <si>
    <t>2,050,753,726,760</t>
  </si>
  <si>
    <t>1,592,655,242,094</t>
  </si>
  <si>
    <t>1,203,987,033,094</t>
  </si>
  <si>
    <t>1,618,739,481,538</t>
  </si>
  <si>
    <t>1,243,734,420,538</t>
  </si>
  <si>
    <t>3,211,394,723,632</t>
  </si>
  <si>
    <t>2,447,721,453,632</t>
  </si>
  <si>
    <t>2,091,546,062,742</t>
  </si>
  <si>
    <t>1,564,013,985,742</t>
  </si>
  <si>
    <t>1,287,767,708,500</t>
  </si>
  <si>
    <t>926,477,892,500</t>
  </si>
  <si>
    <t>3,379,313,771,242</t>
  </si>
  <si>
    <t>2,490,491,878,242</t>
  </si>
  <si>
    <t>1,861,075,521,026</t>
  </si>
  <si>
    <t>1,300,636,325,526</t>
  </si>
  <si>
    <t>1,174,318,520,511</t>
  </si>
  <si>
    <t>748,953,473,011</t>
  </si>
  <si>
    <t>3,035,394,041,537</t>
  </si>
  <si>
    <t>2,049,589,798,537</t>
  </si>
  <si>
    <t>1,670,335,553,145</t>
  </si>
  <si>
    <t>1,274,678,633,145</t>
  </si>
  <si>
    <t>900,060,041,222</t>
  </si>
  <si>
    <t>615,741,192,222</t>
  </si>
  <si>
    <t>2,570,395,594,367</t>
  </si>
  <si>
    <t>1,890,419,825,367</t>
  </si>
  <si>
    <t>1,368,315,949,188</t>
  </si>
  <si>
    <t>957,744,751,188</t>
  </si>
  <si>
    <t>8.21</t>
  </si>
  <si>
    <t>838,524,485,161</t>
  </si>
  <si>
    <t>524,323,113,161</t>
  </si>
  <si>
    <t>2,206,840,434,349</t>
  </si>
  <si>
    <t>1,482,067,864,349</t>
  </si>
  <si>
    <t>3,553,048,236,906</t>
  </si>
  <si>
    <t>2,476,320,369,906</t>
  </si>
  <si>
    <t>1,752,594,779,108</t>
  </si>
  <si>
    <t>1,123,810,616,108</t>
  </si>
  <si>
    <t>5,305,643,016,014</t>
  </si>
  <si>
    <t>3,600,130,986,014</t>
  </si>
  <si>
    <t>1,314,011,595,785</t>
  </si>
  <si>
    <t>895,425,907,785</t>
  </si>
  <si>
    <t>1,091,165,056,454</t>
  </si>
  <si>
    <t>707,985,790,454</t>
  </si>
  <si>
    <t>2,405,176,652,239</t>
  </si>
  <si>
    <t>1,603,411,698,239</t>
  </si>
  <si>
    <t>1,764,194,514,393</t>
  </si>
  <si>
    <t>1,188,607,359,393</t>
  </si>
  <si>
    <t>1,255,204,385,915</t>
  </si>
  <si>
    <t>773,743,424,915</t>
  </si>
  <si>
    <t>3,019,398,900,308</t>
  </si>
  <si>
    <t>1,962,350,784,308</t>
  </si>
  <si>
    <t>1,610,740,910,122</t>
  </si>
  <si>
    <t>1,103,346,852,122</t>
  </si>
  <si>
    <t>1,041,152,062,160</t>
  </si>
  <si>
    <t>640,835,991,160</t>
  </si>
  <si>
    <t>2,651,892,972,282</t>
  </si>
  <si>
    <t>1,744,182,843,282</t>
  </si>
  <si>
    <t>2,098,657,512,434</t>
  </si>
  <si>
    <t>1,553,693,023,434</t>
  </si>
  <si>
    <t>1,133,485,358,983</t>
  </si>
  <si>
    <t>775,667,835,983</t>
  </si>
  <si>
    <t>3,232,142,871,417</t>
  </si>
  <si>
    <t>2,329,360,859,417</t>
  </si>
  <si>
    <t>2,225,740,683,276</t>
  </si>
  <si>
    <t>1,791,465,554,276</t>
  </si>
  <si>
    <t>1,286,636,308,075</t>
  </si>
  <si>
    <t>981,314,808,075</t>
  </si>
  <si>
    <t>3,512,376,991,351</t>
  </si>
  <si>
    <t>2,772,780,362,351</t>
  </si>
  <si>
    <t>1,906,455,995,152</t>
  </si>
  <si>
    <t>1,504,587,853,152</t>
  </si>
  <si>
    <t>1,510,678,875,951</t>
  </si>
  <si>
    <t>1,094,694,144,951</t>
  </si>
  <si>
    <t>3,417,134,871,103</t>
  </si>
  <si>
    <t>2,599,281,998,103</t>
  </si>
  <si>
    <t>1,494,147,888,099</t>
  </si>
  <si>
    <t>1,129,389,022,099</t>
  </si>
  <si>
    <t>1,079,626,506,144</t>
  </si>
  <si>
    <t>756,447,925,144</t>
  </si>
  <si>
    <t>2,573,774,394,243</t>
  </si>
  <si>
    <t>1,885,836,947,243</t>
  </si>
  <si>
    <t>905,917,114,252</t>
  </si>
  <si>
    <t>744,743,124,252</t>
  </si>
  <si>
    <t>950,296,269,186</t>
  </si>
  <si>
    <t>726,630,814,186</t>
  </si>
  <si>
    <t>1,856,213,383,438</t>
  </si>
  <si>
    <t>1,471,373,938,438</t>
  </si>
  <si>
    <t>日経225ミニオプション</t>
  </si>
  <si>
    <t>Nikkei 225 mini Options</t>
  </si>
  <si>
    <t>7,350,875,050</t>
  </si>
  <si>
    <t>244,257,550</t>
  </si>
  <si>
    <t>8,403,175,675</t>
  </si>
  <si>
    <t>425,718,775</t>
  </si>
  <si>
    <t>15,754,050,725</t>
  </si>
  <si>
    <t>669,976,325</t>
  </si>
  <si>
    <t>23,542,283,590</t>
  </si>
  <si>
    <t>1,413,200,790</t>
  </si>
  <si>
    <t>21,745,987,045</t>
  </si>
  <si>
    <t>1,388,248,445</t>
  </si>
  <si>
    <t>45,288,270,635</t>
  </si>
  <si>
    <t>2,801,449,235</t>
  </si>
  <si>
    <t>13,620,558,690</t>
  </si>
  <si>
    <t>621,398,990</t>
  </si>
  <si>
    <t>16,709,703,350</t>
  </si>
  <si>
    <t>1,016,398,950</t>
  </si>
  <si>
    <t>30,330,262,040</t>
  </si>
  <si>
    <t>1,637,797,940</t>
  </si>
  <si>
    <t>TOPIXオプション</t>
  </si>
  <si>
    <t>TOPIX Options</t>
  </si>
  <si>
    <t>222,962,255,000</t>
  </si>
  <si>
    <t>510,144,735,000</t>
  </si>
  <si>
    <t>733,106,990,000</t>
  </si>
  <si>
    <t>74,944,535,000</t>
  </si>
  <si>
    <t>74,389,250,000</t>
  </si>
  <si>
    <t>149,333,785,000</t>
  </si>
  <si>
    <t>34,360,405,000</t>
  </si>
  <si>
    <t>39,247,360,000</t>
  </si>
  <si>
    <t>9.27</t>
  </si>
  <si>
    <t>73,607,765,000</t>
  </si>
  <si>
    <t>13,156,735,000</t>
  </si>
  <si>
    <t>96,857,825,000</t>
  </si>
  <si>
    <t>110,014,560,000</t>
  </si>
  <si>
    <t>4.3</t>
  </si>
  <si>
    <t>3,594,300,000</t>
  </si>
  <si>
    <t>3,653,365,000</t>
  </si>
  <si>
    <t>7,247,665,000</t>
  </si>
  <si>
    <t>4.17</t>
  </si>
  <si>
    <t>2,041,550,000</t>
  </si>
  <si>
    <t>2,686,255,000</t>
  </si>
  <si>
    <t>4,727,805,000</t>
  </si>
  <si>
    <t>1,894,650,000</t>
  </si>
  <si>
    <t>11.17</t>
  </si>
  <si>
    <t>2,081,225,000</t>
  </si>
  <si>
    <t>3,975,875,000</t>
  </si>
  <si>
    <t>1,523,770,000</t>
  </si>
  <si>
    <t>2,700,000,000</t>
  </si>
  <si>
    <t>4,223,770,000</t>
  </si>
  <si>
    <t>1,733,750,000</t>
  </si>
  <si>
    <t>2,080,215,000</t>
  </si>
  <si>
    <t>3,813,965,000</t>
  </si>
  <si>
    <t>807,020,000</t>
  </si>
  <si>
    <t>2.18</t>
  </si>
  <si>
    <t>1,009,635,000</t>
  </si>
  <si>
    <t>5.11</t>
  </si>
  <si>
    <t>1,816,655,000</t>
  </si>
  <si>
    <t>821,705,000</t>
  </si>
  <si>
    <t>757,990,000</t>
  </si>
  <si>
    <t>1,579,695,000</t>
  </si>
  <si>
    <t>1,028,045,000</t>
  </si>
  <si>
    <t>6,286,760,000</t>
  </si>
  <si>
    <t>7,314,805,000</t>
  </si>
  <si>
    <t>747,505,000</t>
  </si>
  <si>
    <t>900,780,000</t>
  </si>
  <si>
    <t>1,648,285,000</t>
  </si>
  <si>
    <t>732,270,000</t>
  </si>
  <si>
    <t>1,107,240,000</t>
  </si>
  <si>
    <t>1,839,510,000</t>
  </si>
  <si>
    <t>667,800,000</t>
  </si>
  <si>
    <t>605,665,000</t>
  </si>
  <si>
    <t>1,273,465,000</t>
  </si>
  <si>
    <t>872,650,000</t>
  </si>
  <si>
    <t>994,570,000</t>
  </si>
  <si>
    <t>1,867,220,000</t>
  </si>
  <si>
    <t>431,350,000</t>
  </si>
  <si>
    <t>340,700,000</t>
  </si>
  <si>
    <t>772,050,000</t>
  </si>
  <si>
    <t>59,445,000</t>
  </si>
  <si>
    <t>53,335,000</t>
  </si>
  <si>
    <t>112,780,000</t>
  </si>
  <si>
    <t>33,590,000</t>
  </si>
  <si>
    <t>28,940,000</t>
  </si>
  <si>
    <t>62,530,000</t>
  </si>
  <si>
    <t>28,060,000</t>
  </si>
  <si>
    <t>25,970,000</t>
  </si>
  <si>
    <t>54,030,000</t>
  </si>
  <si>
    <t>409,930,000</t>
  </si>
  <si>
    <t>139,290,000</t>
  </si>
  <si>
    <t>549,220,000</t>
  </si>
  <si>
    <t>387,445,000</t>
  </si>
  <si>
    <t>526,540,000</t>
  </si>
  <si>
    <t>913,985,000</t>
  </si>
  <si>
    <t>51,875,000</t>
  </si>
  <si>
    <t>42,925,000</t>
  </si>
  <si>
    <t>94,800,000</t>
  </si>
  <si>
    <t>211,265,000</t>
  </si>
  <si>
    <t>218,505,000</t>
  </si>
  <si>
    <t>429,770,000</t>
  </si>
  <si>
    <t>1,832,740,000</t>
  </si>
  <si>
    <t>1,494,340,000</t>
  </si>
  <si>
    <t>3,327,080,000</t>
  </si>
  <si>
    <t>3,460,555,000</t>
  </si>
  <si>
    <t>769,508,000</t>
  </si>
  <si>
    <t>4,230,063,000</t>
  </si>
  <si>
    <t>15,738,848,000</t>
  </si>
  <si>
    <t>3,582,591,000</t>
  </si>
  <si>
    <t>19,321,439,000</t>
  </si>
  <si>
    <t>4,735,003,000</t>
  </si>
  <si>
    <t>4,021,916,000</t>
  </si>
  <si>
    <t>8,756,919,000</t>
  </si>
  <si>
    <t>644,260,000</t>
  </si>
  <si>
    <t>4,511,145,000</t>
  </si>
  <si>
    <t>5,155,405,000</t>
  </si>
  <si>
    <t>272,545,000</t>
  </si>
  <si>
    <t>1.23</t>
  </si>
  <si>
    <t>3,228,485,000</t>
  </si>
  <si>
    <t>3,501,030,000</t>
  </si>
  <si>
    <t>375,355,000</t>
  </si>
  <si>
    <t>2,987,380,000</t>
  </si>
  <si>
    <t>3,362,735,000</t>
  </si>
  <si>
    <t>82,810,000</t>
  </si>
  <si>
    <t>4,053,640,000</t>
  </si>
  <si>
    <t>4,136,450,000</t>
  </si>
  <si>
    <t>449,910,000</t>
  </si>
  <si>
    <t>12,752,525,000</t>
  </si>
  <si>
    <t>13,202,435,000</t>
  </si>
  <si>
    <t>784,335,000</t>
  </si>
  <si>
    <t>5,488,295,000</t>
  </si>
  <si>
    <t>6,272,630,000</t>
  </si>
  <si>
    <t>431,236,000</t>
  </si>
  <si>
    <t>6,840,605,000</t>
  </si>
  <si>
    <t>7,271,841,000</t>
  </si>
  <si>
    <t>550,453,000</t>
  </si>
  <si>
    <t>21,800,000</t>
  </si>
  <si>
    <t>5,586,920,000</t>
  </si>
  <si>
    <t>683,500,000</t>
  </si>
  <si>
    <t>6,137,373,000</t>
  </si>
  <si>
    <t>705,300,000</t>
  </si>
  <si>
    <t>2,670,070,000</t>
  </si>
  <si>
    <t>118,650,000</t>
  </si>
  <si>
    <t>3,057,245,000</t>
  </si>
  <si>
    <t>191,625,000</t>
  </si>
  <si>
    <t>5,727,315,000</t>
  </si>
  <si>
    <t>310,275,000</t>
  </si>
  <si>
    <t>11,237,457,000</t>
  </si>
  <si>
    <t>11,038,782,000</t>
  </si>
  <si>
    <t>8,434,000,000</t>
  </si>
  <si>
    <t>8,314,194,000</t>
  </si>
  <si>
    <t>19,671,457,000</t>
  </si>
  <si>
    <t>19,352,976,000</t>
  </si>
  <si>
    <t>32,983,427,000</t>
  </si>
  <si>
    <t>32,911,552,000</t>
  </si>
  <si>
    <t>4,641,325,000</t>
  </si>
  <si>
    <t>4,559,925,000</t>
  </si>
  <si>
    <t>37,624,752,000</t>
  </si>
  <si>
    <t>37,471,477,000</t>
  </si>
  <si>
    <t>2,189,337,000</t>
  </si>
  <si>
    <t>7,206,731,000</t>
  </si>
  <si>
    <t>7,206,381,000</t>
  </si>
  <si>
    <t>9,396,068,000</t>
  </si>
  <si>
    <t>9,395,718,000</t>
  </si>
  <si>
    <t>4,117,320,000</t>
  </si>
  <si>
    <t>4,115,354,000</t>
  </si>
  <si>
    <t>7,358,302,000</t>
  </si>
  <si>
    <t>7,349,912,000</t>
  </si>
  <si>
    <t>11,475,622,000</t>
  </si>
  <si>
    <t>11,465,266,000</t>
  </si>
  <si>
    <t>5,606,250,000</t>
  </si>
  <si>
    <t>10,332,594,000</t>
  </si>
  <si>
    <t>10,332,114,000</t>
  </si>
  <si>
    <t>15,938,844,000</t>
  </si>
  <si>
    <t>15,938,364,000</t>
  </si>
  <si>
    <t>2,597,461,000</t>
  </si>
  <si>
    <t>3,052,040,000</t>
  </si>
  <si>
    <t>3,051,390,000</t>
  </si>
  <si>
    <t>5,649,501,000</t>
  </si>
  <si>
    <t>5,648,851,000</t>
  </si>
  <si>
    <t>3,144,690,000</t>
  </si>
  <si>
    <t>2,687,695,000</t>
  </si>
  <si>
    <t>5,832,385,000</t>
  </si>
  <si>
    <t>924,011,000</t>
  </si>
  <si>
    <t>942,657,000</t>
  </si>
  <si>
    <t>940,048,000</t>
  </si>
  <si>
    <t>1,866,668,000</t>
  </si>
  <si>
    <t>1,864,059,000</t>
  </si>
  <si>
    <t>320,302,000</t>
  </si>
  <si>
    <t>1,627,600,000</t>
  </si>
  <si>
    <t>1,947,902,000</t>
  </si>
  <si>
    <t>237,802,000</t>
  </si>
  <si>
    <t>3,985,934,000</t>
  </si>
  <si>
    <t>4,223,736,000</t>
  </si>
  <si>
    <t>4,326,778,000</t>
  </si>
  <si>
    <t>67,487,136,000</t>
  </si>
  <si>
    <t>71,813,914,000</t>
  </si>
  <si>
    <t>14,813,821,000</t>
  </si>
  <si>
    <t>27,328,795,000</t>
  </si>
  <si>
    <t>42,142,616,000</t>
  </si>
  <si>
    <t>10,993,406,000</t>
  </si>
  <si>
    <t>18,381,631,000</t>
  </si>
  <si>
    <t>29,375,037,000</t>
  </si>
  <si>
    <t>15,612,421,000</t>
  </si>
  <si>
    <t>15,598,923,000</t>
  </si>
  <si>
    <t>21,732,205,000</t>
  </si>
  <si>
    <t>21,729,563,000</t>
  </si>
  <si>
    <t>37,344,626,000</t>
  </si>
  <si>
    <t>37,328,486,000</t>
  </si>
  <si>
    <t>19,509,773,000</t>
  </si>
  <si>
    <t>19,507,453,000</t>
  </si>
  <si>
    <t>35,163,868,000</t>
  </si>
  <si>
    <t>35,158,527,000</t>
  </si>
  <si>
    <t>54,673,641,000</t>
  </si>
  <si>
    <t>54,665,980,000</t>
  </si>
  <si>
    <t>5,032,151,000</t>
  </si>
  <si>
    <t>14,325,123,000</t>
  </si>
  <si>
    <t>19,357,274,000</t>
  </si>
  <si>
    <t>5,144,541,000</t>
  </si>
  <si>
    <t>4,916,167,000</t>
  </si>
  <si>
    <t>4,438,318,000</t>
  </si>
  <si>
    <t>4,371,386,000</t>
  </si>
  <si>
    <t>9,582,859,000</t>
  </si>
  <si>
    <t>9,287,553,000</t>
  </si>
  <si>
    <t>13,984,708,250</t>
  </si>
  <si>
    <t>13,981,583,250</t>
  </si>
  <si>
    <t>10,110,469,732</t>
  </si>
  <si>
    <t>9,983,709,732</t>
  </si>
  <si>
    <t>24,095,177,982</t>
  </si>
  <si>
    <t>23,965,292,982</t>
  </si>
  <si>
    <t>25,101,851,155</t>
  </si>
  <si>
    <t>24,985,985,155</t>
  </si>
  <si>
    <t>14,618,425,507</t>
  </si>
  <si>
    <t>39,720,276,662</t>
  </si>
  <si>
    <t>39,604,410,662</t>
  </si>
  <si>
    <t>20,179,356,977</t>
  </si>
  <si>
    <t>20,042,478,390</t>
  </si>
  <si>
    <t>40,221,835,367</t>
  </si>
  <si>
    <t>16,646,684,990</t>
  </si>
  <si>
    <t>12,793,592,272</t>
  </si>
  <si>
    <t>29,440,277,262</t>
  </si>
  <si>
    <t>18,418,586,143</t>
  </si>
  <si>
    <t>12,964,854,650</t>
  </si>
  <si>
    <t>31,383,440,793</t>
  </si>
  <si>
    <t>32,209,931,257</t>
  </si>
  <si>
    <t>13,239,031,120</t>
  </si>
  <si>
    <t>45,448,962,377</t>
  </si>
  <si>
    <t>19,413,980,837</t>
  </si>
  <si>
    <t>19,388,895,837</t>
  </si>
  <si>
    <t>13,040,916,653</t>
  </si>
  <si>
    <t>32,454,897,490</t>
  </si>
  <si>
    <t>32,429,812,490</t>
  </si>
  <si>
    <t>64,096,260,476</t>
  </si>
  <si>
    <t>14,529,221,058</t>
  </si>
  <si>
    <t>78,625,481,534</t>
  </si>
  <si>
    <t>25,086,727,048</t>
  </si>
  <si>
    <t>15,120,957,844</t>
  </si>
  <si>
    <t>40,207,684,892</t>
  </si>
  <si>
    <t>40,165,450,302</t>
  </si>
  <si>
    <t>29,044,627,791</t>
  </si>
  <si>
    <t>69,210,078,093</t>
  </si>
  <si>
    <t>38,139,728,814</t>
  </si>
  <si>
    <t>25,526,551,054</t>
  </si>
  <si>
    <t>63,666,279,868</t>
  </si>
  <si>
    <t>80,026,349,779</t>
  </si>
  <si>
    <t>80,016,079,779</t>
  </si>
  <si>
    <t>15,955,184,052</t>
  </si>
  <si>
    <t>15,946,199,052</t>
  </si>
  <si>
    <t>95,981,533,831</t>
  </si>
  <si>
    <t>95,962,278,831</t>
  </si>
  <si>
    <t>79,678,438,360</t>
  </si>
  <si>
    <t>79,668,306,360</t>
  </si>
  <si>
    <t>16,097,162,424</t>
  </si>
  <si>
    <t>16,096,382,424</t>
  </si>
  <si>
    <t>95,775,600,784</t>
  </si>
  <si>
    <t>95,764,688,784</t>
  </si>
  <si>
    <t>78,188,268,491</t>
  </si>
  <si>
    <t>77,961,934,491</t>
  </si>
  <si>
    <t>36,447,909,495</t>
  </si>
  <si>
    <t>36,316,709,495</t>
  </si>
  <si>
    <t>114,636,177,986</t>
  </si>
  <si>
    <t>114,278,643,986</t>
  </si>
  <si>
    <t>79,349,662,218</t>
  </si>
  <si>
    <t>79,217,988,218</t>
  </si>
  <si>
    <t>59,702,329,518</t>
  </si>
  <si>
    <t>59,341,081,518</t>
  </si>
  <si>
    <t>139,051,991,736</t>
  </si>
  <si>
    <t>138,559,069,736</t>
  </si>
  <si>
    <t>2.29</t>
  </si>
  <si>
    <t>72,242,479,729</t>
  </si>
  <si>
    <t>72,162,338,729</t>
  </si>
  <si>
    <t>71,603,314,224</t>
  </si>
  <si>
    <t>70,766,389,224</t>
  </si>
  <si>
    <t>143,845,793,953</t>
  </si>
  <si>
    <t>142,928,727,953</t>
  </si>
  <si>
    <t>JPX日経インデックス400オプション</t>
  </si>
  <si>
    <t>JPX-Nikkei Index 400 Options</t>
  </si>
  <si>
    <t>44,610,000</t>
  </si>
  <si>
    <t>44,010,000</t>
  </si>
  <si>
    <t>460,000</t>
  </si>
  <si>
    <t>88,620,000</t>
  </si>
  <si>
    <t>東証銀行業株価指数オプション</t>
  </si>
  <si>
    <t>TOPIX Banks Index Options</t>
  </si>
  <si>
    <t>東証REIT指数オプション</t>
  </si>
  <si>
    <t>TSE REIT Index Options</t>
  </si>
  <si>
    <t>長期国債先物オプション</t>
  </si>
  <si>
    <t>Options on 10-year JGB Futures</t>
  </si>
  <si>
    <t>232,866,410,000</t>
  </si>
  <si>
    <t>305,391,170,000</t>
  </si>
  <si>
    <t>538,257,580,000</t>
  </si>
  <si>
    <t>422,934,850,000</t>
  </si>
  <si>
    <t>427,564,080,000</t>
  </si>
  <si>
    <t>850,498,930,000</t>
  </si>
  <si>
    <t>168,034,420,000</t>
  </si>
  <si>
    <t>185,848,690,000</t>
  </si>
  <si>
    <t>353,883,110,000</t>
  </si>
  <si>
    <t>5.21</t>
  </si>
  <si>
    <t>79,515,910,000</t>
  </si>
  <si>
    <t>237,254,350,000</t>
  </si>
  <si>
    <t>316,770,260,000</t>
  </si>
  <si>
    <t>75,212,970,000</t>
  </si>
  <si>
    <t>159,399,030,000</t>
  </si>
  <si>
    <t>234,612,000,000</t>
  </si>
  <si>
    <t>74,498,730,000</t>
  </si>
  <si>
    <t>223,457,760,000</t>
  </si>
  <si>
    <t>297,956,490,000</t>
  </si>
  <si>
    <t>115,806,700,000</t>
  </si>
  <si>
    <t>167,828,680,000</t>
  </si>
  <si>
    <t>283,635,380,000</t>
  </si>
  <si>
    <t>102,281,730,000</t>
  </si>
  <si>
    <t>313,592,870,000</t>
  </si>
  <si>
    <t>415,874,600,000</t>
  </si>
  <si>
    <t>307,438,430,000</t>
  </si>
  <si>
    <t>210,761,170,000</t>
  </si>
  <si>
    <t>518,199,600,000</t>
  </si>
  <si>
    <t>173,856,790,000</t>
  </si>
  <si>
    <t>144,630,140,000</t>
  </si>
  <si>
    <t>318,486,930,000</t>
  </si>
  <si>
    <t>170,548,070,000</t>
  </si>
  <si>
    <t>365,922,030,000</t>
  </si>
  <si>
    <t>536,470,100,000</t>
  </si>
  <si>
    <t>202,624,640,000</t>
  </si>
  <si>
    <t>224,970,290,000</t>
  </si>
  <si>
    <t>427,594,930,000</t>
  </si>
  <si>
    <t>188,890,780,000</t>
  </si>
  <si>
    <t>130,177,270,000</t>
  </si>
  <si>
    <t>319,068,050,000</t>
  </si>
  <si>
    <t>154,709,400,000</t>
  </si>
  <si>
    <t>281,804,540,000</t>
  </si>
  <si>
    <t>436,513,940,000</t>
  </si>
  <si>
    <t>207,183,820,000</t>
  </si>
  <si>
    <t>156,807,040,000</t>
  </si>
  <si>
    <t>363,990,860,000</t>
  </si>
  <si>
    <t>133,622,250,000</t>
  </si>
  <si>
    <t>202,481,960,000</t>
  </si>
  <si>
    <t>336,104,210,000</t>
  </si>
  <si>
    <t>145,556,260,000</t>
  </si>
  <si>
    <t>109,377,060,000</t>
  </si>
  <si>
    <t>254,933,320,000</t>
  </si>
  <si>
    <t>212,696,560,000</t>
  </si>
  <si>
    <t>150,976,720,000</t>
  </si>
  <si>
    <t>363,673,280,000</t>
  </si>
  <si>
    <t>233,334,500,000</t>
  </si>
  <si>
    <t>143,967,600,000</t>
  </si>
  <si>
    <t>377,302,100,000</t>
  </si>
  <si>
    <t>108,587,960,000</t>
  </si>
  <si>
    <t>79,265,000,000</t>
  </si>
  <si>
    <t>187,852,960,000</t>
  </si>
  <si>
    <t>103,487,800,000</t>
  </si>
  <si>
    <t>78,041,180,000</t>
  </si>
  <si>
    <t>181,528,980,000</t>
  </si>
  <si>
    <t>68,756,780,000</t>
  </si>
  <si>
    <t>8.23</t>
  </si>
  <si>
    <t>62,127,650,000</t>
  </si>
  <si>
    <t>130,884,430,000</t>
  </si>
  <si>
    <t>69,779,550,000</t>
  </si>
  <si>
    <t>78,687,520,000</t>
  </si>
  <si>
    <t>148,467,070,000</t>
  </si>
  <si>
    <t>66,984,760,000</t>
  </si>
  <si>
    <t>43,792,420,000</t>
  </si>
  <si>
    <t>110,777,180,000</t>
  </si>
  <si>
    <t>61,216,300,000</t>
  </si>
  <si>
    <t>42,683,480,000</t>
  </si>
  <si>
    <t>103,899,780,000</t>
  </si>
  <si>
    <t>48,681,950,000</t>
  </si>
  <si>
    <t>49,009,680,000</t>
  </si>
  <si>
    <t>97,691,630,000</t>
  </si>
  <si>
    <t>54,389,360,000</t>
  </si>
  <si>
    <t>39,962,020,000</t>
  </si>
  <si>
    <t>94,351,380,000</t>
  </si>
  <si>
    <t>132,226,030,000</t>
  </si>
  <si>
    <t>65,969,770,000</t>
  </si>
  <si>
    <t>198,195,800,000</t>
  </si>
  <si>
    <t>115,816,570,000</t>
  </si>
  <si>
    <t>72,576,260,000</t>
  </si>
  <si>
    <t>188,392,830,000</t>
  </si>
  <si>
    <t>79,399,900,000</t>
  </si>
  <si>
    <t>68,344,960,000</t>
  </si>
  <si>
    <t>147,744,860,000</t>
  </si>
  <si>
    <t>81,058,840,000</t>
  </si>
  <si>
    <t>64,491,600,000</t>
  </si>
  <si>
    <t>145,550,440,000</t>
  </si>
  <si>
    <t>132,399,830,000</t>
  </si>
  <si>
    <t>79,211,040,000</t>
  </si>
  <si>
    <t>211,610,870,000</t>
  </si>
  <si>
    <t>195,573,970,000</t>
  </si>
  <si>
    <t>88,279,970,000</t>
  </si>
  <si>
    <t>283,853,940,000</t>
  </si>
  <si>
    <t>116,377,620,000</t>
  </si>
  <si>
    <t>100,697,990,000</t>
  </si>
  <si>
    <t>217,075,610,000</t>
  </si>
  <si>
    <t>145,452,500,000</t>
  </si>
  <si>
    <t>17,088,570,000</t>
  </si>
  <si>
    <t>107,417,980,000</t>
  </si>
  <si>
    <t>4,863,090,000</t>
  </si>
  <si>
    <t>252,870,480,000</t>
  </si>
  <si>
    <t>21,951,660,000</t>
  </si>
  <si>
    <t>168,561,100,000</t>
  </si>
  <si>
    <t>23,639,140,000</t>
  </si>
  <si>
    <t>212,941,960,000</t>
  </si>
  <si>
    <t>27,208,420,000</t>
  </si>
  <si>
    <t>381,503,060,000</t>
  </si>
  <si>
    <t>50,847,560,000</t>
  </si>
  <si>
    <t>225,253,170,000</t>
  </si>
  <si>
    <t>42,603,950,000</t>
  </si>
  <si>
    <t>203,033,790,000</t>
  </si>
  <si>
    <t>26,504,110,000</t>
  </si>
  <si>
    <t>428,286,960,000</t>
  </si>
  <si>
    <t>69,108,060,000</t>
  </si>
  <si>
    <t>137,208,270,000</t>
  </si>
  <si>
    <t>15,866,040,000</t>
  </si>
  <si>
    <t>169,984,220,000</t>
  </si>
  <si>
    <t>30,383,590,000</t>
  </si>
  <si>
    <t>307,192,490,000</t>
  </si>
  <si>
    <t>46,249,630,000</t>
  </si>
  <si>
    <t>121,474,860,000</t>
  </si>
  <si>
    <t>9,955,300,000</t>
  </si>
  <si>
    <t>161,493,720,000</t>
  </si>
  <si>
    <t>13,351,840,000</t>
  </si>
  <si>
    <t>282,968,580,000</t>
  </si>
  <si>
    <t>23,307,140,000</t>
  </si>
  <si>
    <t>138,722,820,000</t>
  </si>
  <si>
    <t>12,485,580,000</t>
  </si>
  <si>
    <t>151,349,930,000</t>
  </si>
  <si>
    <t>19,531,270,000</t>
  </si>
  <si>
    <t>290,072,750,000</t>
  </si>
  <si>
    <t>32,016,850,000</t>
  </si>
  <si>
    <t>76,109,230,000</t>
  </si>
  <si>
    <t>10,246,600,000</t>
  </si>
  <si>
    <t>86,197,610,000</t>
  </si>
  <si>
    <t>16,342,680,000</t>
  </si>
  <si>
    <t>162,306,840,000</t>
  </si>
  <si>
    <t>26,589,280,000</t>
  </si>
  <si>
    <t>121,836,790,000</t>
  </si>
  <si>
    <t>15,356,200,000</t>
  </si>
  <si>
    <t>107,805,920,000</t>
  </si>
  <si>
    <t>15,153,670,000</t>
  </si>
  <si>
    <t>229,642,710,000</t>
  </si>
  <si>
    <t>30,509,870,000</t>
  </si>
  <si>
    <t>83,213,640,000</t>
  </si>
  <si>
    <t>10,218,350,000</t>
  </si>
  <si>
    <t>75,785,510,000</t>
  </si>
  <si>
    <t>7,425,590,000</t>
  </si>
  <si>
    <t>158,999,150,000</t>
  </si>
  <si>
    <t>17,643,940,000</t>
  </si>
  <si>
    <t>94,339,400,000</t>
  </si>
  <si>
    <t>14,020,390,000</t>
  </si>
  <si>
    <t>89,458,990,000</t>
  </si>
  <si>
    <t>16,798,990,000</t>
  </si>
  <si>
    <t>183,798,390,000</t>
  </si>
  <si>
    <t>30,819,380,000</t>
  </si>
  <si>
    <t>107,283,660,000</t>
  </si>
  <si>
    <t>17,814,670,000</t>
  </si>
  <si>
    <t>91,143,240,000</t>
  </si>
  <si>
    <t>21,146,610,000</t>
  </si>
  <si>
    <t>198,426,900,000</t>
  </si>
  <si>
    <t>38,961,280,000</t>
  </si>
  <si>
    <t>67,550,290,000</t>
  </si>
  <si>
    <t>7,639,200,000</t>
  </si>
  <si>
    <t>40,383,530,000</t>
  </si>
  <si>
    <t>4,375,630,000</t>
  </si>
  <si>
    <t>107,933,820,000</t>
  </si>
  <si>
    <t>12,014,830,000</t>
  </si>
  <si>
    <t>130,043,460,000</t>
  </si>
  <si>
    <t>36,101,540,000</t>
  </si>
  <si>
    <t>83,647,820,000</t>
  </si>
  <si>
    <t>12,105,290,000</t>
  </si>
  <si>
    <t>213,691,280,000</t>
  </si>
  <si>
    <t>48,206,830,000</t>
  </si>
  <si>
    <t>52,257,460,000</t>
  </si>
  <si>
    <t>10,572,150,000</t>
  </si>
  <si>
    <t>34,865,300,000</t>
  </si>
  <si>
    <t>5,074,250,000</t>
  </si>
  <si>
    <t>87,122,760,000</t>
  </si>
  <si>
    <t>15,646,400,000</t>
  </si>
  <si>
    <t>39,283,170,000</t>
  </si>
  <si>
    <t>11,919,920,000</t>
  </si>
  <si>
    <t>26,890,860,000</t>
  </si>
  <si>
    <t>5,050,440,000</t>
  </si>
  <si>
    <t>66,174,030,000</t>
  </si>
  <si>
    <t>16,970,360,000</t>
  </si>
  <si>
    <t>33,072,600,000</t>
  </si>
  <si>
    <t>5,811,480,000</t>
  </si>
  <si>
    <t>19,805,660,000</t>
  </si>
  <si>
    <t>2,187,370,000</t>
  </si>
  <si>
    <t>52,878,260,000</t>
  </si>
  <si>
    <t>7,998,850,000</t>
  </si>
  <si>
    <t>65,889,100,000</t>
  </si>
  <si>
    <t>8,830,640,000</t>
  </si>
  <si>
    <t>26,715,190,000</t>
  </si>
  <si>
    <t>1,947,170,000</t>
  </si>
  <si>
    <t>92,604,290,000</t>
  </si>
  <si>
    <t>10,777,810,000</t>
  </si>
  <si>
    <t>29,857,610,000</t>
  </si>
  <si>
    <t>5,203,790,000</t>
  </si>
  <si>
    <t>21,529,490,000</t>
  </si>
  <si>
    <t>3,432,460,000</t>
  </si>
  <si>
    <t>51,387,100,000</t>
  </si>
  <si>
    <t>8,636,250,000</t>
  </si>
  <si>
    <t>35,855,860,000</t>
  </si>
  <si>
    <t>5,827,720,000</t>
  </si>
  <si>
    <t>29,560,200,000</t>
  </si>
  <si>
    <t>3,400,360,000</t>
  </si>
  <si>
    <t>65,416,060,000</t>
  </si>
  <si>
    <t>9,228,080,000</t>
  </si>
  <si>
    <t>44,166,167,500</t>
  </si>
  <si>
    <t>8,080,407,500</t>
  </si>
  <si>
    <t>19,814,077,500</t>
  </si>
  <si>
    <t>1,564,677,500</t>
  </si>
  <si>
    <t>63,980,245,000</t>
  </si>
  <si>
    <t>9,645,085,000</t>
  </si>
  <si>
    <t>19,564,245,000</t>
  </si>
  <si>
    <t>1,436,285,000</t>
  </si>
  <si>
    <t>15,800,310,000</t>
  </si>
  <si>
    <t>1,488,710,000</t>
  </si>
  <si>
    <t>35,364,555,000</t>
  </si>
  <si>
    <t>2,924,995,000</t>
  </si>
  <si>
    <t>23,403,137,500</t>
  </si>
  <si>
    <t>3,040,437,500</t>
  </si>
  <si>
    <t>18,090,472,500</t>
  </si>
  <si>
    <t>978,352,500</t>
  </si>
  <si>
    <t>41,493,610,000</t>
  </si>
  <si>
    <t>4,018,790,000</t>
  </si>
  <si>
    <t>15,128,025,000</t>
  </si>
  <si>
    <t>903,005,000</t>
  </si>
  <si>
    <t>12,879,662,500</t>
  </si>
  <si>
    <t>547,832,500</t>
  </si>
  <si>
    <t>28,007,687,500</t>
  </si>
  <si>
    <t>1,450,837,500</t>
  </si>
  <si>
    <t>26,561,517,500</t>
  </si>
  <si>
    <t>4,154,717,500</t>
  </si>
  <si>
    <t>15,776,542,500</t>
  </si>
  <si>
    <t>1,249,502,500</t>
  </si>
  <si>
    <t>42,338,060,000</t>
  </si>
  <si>
    <t>5,404,220,000</t>
  </si>
  <si>
    <t>10,932,572,500</t>
  </si>
  <si>
    <t>812,072,500</t>
  </si>
  <si>
    <t>11,873,515,000</t>
  </si>
  <si>
    <t>498,375,000</t>
  </si>
  <si>
    <t>22,806,087,500</t>
  </si>
  <si>
    <t>1,310,447,500</t>
  </si>
  <si>
    <t>23,671,345,000</t>
  </si>
  <si>
    <t>2,599,105,000</t>
  </si>
  <si>
    <t>20,975,465,000</t>
  </si>
  <si>
    <t>2,149,025,000</t>
  </si>
  <si>
    <t>44,646,810,000</t>
  </si>
  <si>
    <t>4,748,130,000</t>
  </si>
  <si>
    <t>11,880,097,500</t>
  </si>
  <si>
    <t>792,317,500</t>
  </si>
  <si>
    <t>14,117,360,000</t>
  </si>
  <si>
    <t>2,891,310,000</t>
  </si>
  <si>
    <t>25,997,457,500</t>
  </si>
  <si>
    <t>3,683,627,500</t>
  </si>
  <si>
    <t>5,913,342,500</t>
  </si>
  <si>
    <t>369,272,500</t>
  </si>
  <si>
    <t>6,223,717,500</t>
  </si>
  <si>
    <t>729,557,500</t>
  </si>
  <si>
    <t>12,137,060,000</t>
  </si>
  <si>
    <t>1,098,830,000</t>
  </si>
  <si>
    <t>4,817,647,500</t>
  </si>
  <si>
    <t>831,757,500</t>
  </si>
  <si>
    <t>4,550,875,000</t>
  </si>
  <si>
    <t>114,575,000</t>
  </si>
  <si>
    <t>9,368,522,500</t>
  </si>
  <si>
    <t>946,332,500</t>
  </si>
  <si>
    <t>3,477,422,500</t>
  </si>
  <si>
    <t>492,782,500</t>
  </si>
  <si>
    <t>3,155,240,000</t>
  </si>
  <si>
    <t>281,980,000</t>
  </si>
  <si>
    <t>6,632,662,500</t>
  </si>
  <si>
    <t>774,762,500</t>
  </si>
  <si>
    <t>4,489,540,000</t>
  </si>
  <si>
    <t>1,447,130,000</t>
  </si>
  <si>
    <t>3,184,017,500</t>
  </si>
  <si>
    <t>1,122,117,500</t>
  </si>
  <si>
    <t>7,673,557,500</t>
  </si>
  <si>
    <t>2,569,247,500</t>
  </si>
  <si>
    <t>2,554,160,000</t>
  </si>
  <si>
    <t>295,300,000</t>
  </si>
  <si>
    <t>1,733,360,000</t>
  </si>
  <si>
    <t>371,450,000</t>
  </si>
  <si>
    <t>4,287,520,000</t>
  </si>
  <si>
    <t>666,750,000</t>
  </si>
  <si>
    <t>3,347,557,500</t>
  </si>
  <si>
    <t>936,687,500</t>
  </si>
  <si>
    <t>2,762,022,500</t>
  </si>
  <si>
    <t>202,302,500</t>
  </si>
  <si>
    <t>6,109,580,000</t>
  </si>
  <si>
    <t>1,138,990,000</t>
  </si>
  <si>
    <t>7,352,885,000</t>
  </si>
  <si>
    <t>4,292,805,000</t>
  </si>
  <si>
    <t>3,564,075,000</t>
  </si>
  <si>
    <t>1,522,175,000</t>
  </si>
  <si>
    <t>10,916,960,000</t>
  </si>
  <si>
    <t>5,814,980,000</t>
  </si>
  <si>
    <t>3,779,520,000</t>
  </si>
  <si>
    <t>2,967,240,000</t>
  </si>
  <si>
    <t>1,308,320,000</t>
  </si>
  <si>
    <t>807,650,000</t>
  </si>
  <si>
    <t>5,087,840,000</t>
  </si>
  <si>
    <t>3,774,890,000</t>
  </si>
  <si>
    <t>有価証券オプション</t>
  </si>
  <si>
    <t>Securities Options</t>
  </si>
  <si>
    <t>1,347,039,500</t>
  </si>
  <si>
    <t>2,176,992,500</t>
  </si>
  <si>
    <t>3,524,032,000</t>
  </si>
  <si>
    <t>182,229,000</t>
  </si>
  <si>
    <t>507,762,500</t>
  </si>
  <si>
    <t>689,991,500</t>
  </si>
  <si>
    <t>778,808,850</t>
  </si>
  <si>
    <t>537,950,650</t>
  </si>
  <si>
    <t>1,316,759,500</t>
  </si>
  <si>
    <t>2,063,071,600</t>
  </si>
  <si>
    <t>1,066,226,700</t>
  </si>
  <si>
    <t>3,129,298,300</t>
  </si>
  <si>
    <t>2,974,985,950</t>
  </si>
  <si>
    <t>2,728,570,250</t>
  </si>
  <si>
    <t>5,703,556,200</t>
  </si>
  <si>
    <t>11,659,344,450</t>
  </si>
  <si>
    <t>5,444,683,850</t>
  </si>
  <si>
    <t>17,104,028,300</t>
  </si>
  <si>
    <t>5,057,539,050</t>
  </si>
  <si>
    <t>3,814,772,000</t>
  </si>
  <si>
    <t>8,872,311,050</t>
  </si>
  <si>
    <t>2,660,215,300</t>
  </si>
  <si>
    <t>2,513,818,250</t>
  </si>
  <si>
    <t>5,174,033,550</t>
  </si>
  <si>
    <t>2,092,804,100</t>
  </si>
  <si>
    <t>4,221,552,550</t>
  </si>
  <si>
    <t>6,314,356,650</t>
  </si>
  <si>
    <t>1,569,155,150</t>
  </si>
  <si>
    <t>1,336,988,550</t>
  </si>
  <si>
    <t>2,906,143,700</t>
  </si>
  <si>
    <t>693,333,400</t>
  </si>
  <si>
    <t>869,386,100</t>
  </si>
  <si>
    <t>1,562,719,500</t>
  </si>
  <si>
    <t>394,874,550</t>
  </si>
  <si>
    <t>680,723,400</t>
  </si>
  <si>
    <t>1,075,597,950</t>
  </si>
  <si>
    <t>383,705,600</t>
  </si>
  <si>
    <t>628,734,450</t>
  </si>
  <si>
    <t>1,012,440,050</t>
  </si>
  <si>
    <t>385,918,000</t>
  </si>
  <si>
    <t>1,211,373,050</t>
  </si>
  <si>
    <t>1,597,291,050</t>
  </si>
  <si>
    <t>1,176,091,600</t>
  </si>
  <si>
    <t>1,130,619,000</t>
  </si>
  <si>
    <t>2,306,710,600</t>
  </si>
  <si>
    <t>590,268,750</t>
  </si>
  <si>
    <t>2,442,957,000</t>
  </si>
  <si>
    <t>3,033,225,750</t>
  </si>
  <si>
    <t>510,085,600</t>
  </si>
  <si>
    <t>110,561,000</t>
  </si>
  <si>
    <t>620,646,600</t>
  </si>
  <si>
    <t>935,782,050</t>
  </si>
  <si>
    <t>188,072,800</t>
  </si>
  <si>
    <t>1,123,854,850</t>
  </si>
  <si>
    <t>840,325,600</t>
  </si>
  <si>
    <t>467,207,650</t>
  </si>
  <si>
    <t>1,307,533,250</t>
  </si>
  <si>
    <t>493,790,300</t>
  </si>
  <si>
    <t>3,000,000</t>
  </si>
  <si>
    <t>344,900,725</t>
  </si>
  <si>
    <t>4,500,000</t>
  </si>
  <si>
    <t>838,691,025</t>
  </si>
  <si>
    <t>349,985,050</t>
  </si>
  <si>
    <t>5,862,000</t>
  </si>
  <si>
    <t>109,038,750</t>
  </si>
  <si>
    <t>35,100,000</t>
  </si>
  <si>
    <t>459,023,800</t>
  </si>
  <si>
    <t>40,962,000</t>
  </si>
  <si>
    <t>93,998,400</t>
  </si>
  <si>
    <t>34,765,500</t>
  </si>
  <si>
    <t>63,971,450</t>
  </si>
  <si>
    <t>6,170,750</t>
  </si>
  <si>
    <t>157,969,850</t>
  </si>
  <si>
    <t>40,936,250</t>
  </si>
  <si>
    <t>217,720,750</t>
  </si>
  <si>
    <t>32,761,300</t>
  </si>
  <si>
    <t>45,401,100</t>
  </si>
  <si>
    <t>1,156,950</t>
  </si>
  <si>
    <t>263,121,850</t>
  </si>
  <si>
    <t>33,918,250</t>
  </si>
  <si>
    <t>1,070,975,410</t>
  </si>
  <si>
    <t>29,559,760</t>
  </si>
  <si>
    <t>308,134,050</t>
  </si>
  <si>
    <t>33,078,750</t>
  </si>
  <si>
    <t>1,379,109,460</t>
  </si>
  <si>
    <t>62,638,510</t>
  </si>
  <si>
    <t>2,381,045,603</t>
  </si>
  <si>
    <t>1,972,451,378</t>
  </si>
  <si>
    <t>548,362,308</t>
  </si>
  <si>
    <t>419,533,343</t>
  </si>
  <si>
    <t>2,929,407,911</t>
  </si>
  <si>
    <t>2,391,984,721</t>
  </si>
  <si>
    <t>2,633,878,395</t>
  </si>
  <si>
    <t>2,627,699,555</t>
  </si>
  <si>
    <t>569,488,346</t>
  </si>
  <si>
    <t>559,499,266</t>
  </si>
  <si>
    <t>3,203,366,741</t>
  </si>
  <si>
    <t>3,187,198,821</t>
  </si>
  <si>
    <t>859,202,359</t>
  </si>
  <si>
    <t>829,252,871</t>
  </si>
  <si>
    <t>1,492,902,131</t>
  </si>
  <si>
    <t>1,458,300,739</t>
  </si>
  <si>
    <t>2,352,104,490</t>
  </si>
  <si>
    <t>2,287,553,610</t>
  </si>
  <si>
    <t>348,311,006</t>
  </si>
  <si>
    <t>242,979,521</t>
  </si>
  <si>
    <t>1,759,815,223</t>
  </si>
  <si>
    <t>1,609,821,003</t>
  </si>
  <si>
    <t>2,108,126,229</t>
  </si>
  <si>
    <t>1,852,800,524</t>
  </si>
  <si>
    <t>703,706,626</t>
  </si>
  <si>
    <t>458,880,910</t>
  </si>
  <si>
    <t>1,001,289,155</t>
  </si>
  <si>
    <t>765,925,540</t>
  </si>
  <si>
    <t>1,704,995,781</t>
  </si>
  <si>
    <t>1,224,806,450</t>
  </si>
  <si>
    <t>359,406,232</t>
  </si>
  <si>
    <t>95,623,521</t>
  </si>
  <si>
    <t>879,611,925</t>
  </si>
  <si>
    <t>553,801,239</t>
  </si>
  <si>
    <t>1,239,018,157</t>
  </si>
  <si>
    <t>649,424,760</t>
  </si>
  <si>
    <t>541,073,895</t>
  </si>
  <si>
    <t>65,197,425</t>
  </si>
  <si>
    <t>963,362,208</t>
  </si>
  <si>
    <t>453,653,254</t>
  </si>
  <si>
    <t>1,504,436,103</t>
  </si>
  <si>
    <t>518,850,679</t>
  </si>
  <si>
    <t>1,280,716,583</t>
  </si>
  <si>
    <t>323,945,940</t>
  </si>
  <si>
    <t>3,094,750,100</t>
  </si>
  <si>
    <t>1,846,427,311</t>
  </si>
  <si>
    <t>4,375,466,683</t>
  </si>
  <si>
    <t>2,170,373,251</t>
  </si>
  <si>
    <t>2,144,408,243</t>
  </si>
  <si>
    <t>1,301,341,470</t>
  </si>
  <si>
    <t>2,372,022,126</t>
  </si>
  <si>
    <t>1,406,715,237</t>
  </si>
  <si>
    <t>4,516,430,369</t>
  </si>
  <si>
    <t>2,708,056,707</t>
  </si>
  <si>
    <t>2,541,775,955</t>
  </si>
  <si>
    <t>1,614,961,130</t>
  </si>
  <si>
    <t>2,247,637,906</t>
  </si>
  <si>
    <t>1,278,177,395</t>
  </si>
  <si>
    <t>4,789,413,861</t>
  </si>
  <si>
    <t>2,893,138,525</t>
  </si>
  <si>
    <t>2,154,598,050</t>
  </si>
  <si>
    <t>1,711,562,050</t>
  </si>
  <si>
    <t>3,097,720,299</t>
  </si>
  <si>
    <t>2,643,320,669</t>
  </si>
  <si>
    <t>5,252,318,349</t>
  </si>
  <si>
    <t>4,354,882,719</t>
  </si>
  <si>
    <t>1,390,414,250</t>
  </si>
  <si>
    <t>1,123,050,520</t>
  </si>
  <si>
    <t>1,988,946,488</t>
  </si>
  <si>
    <t>1,685,897,968</t>
  </si>
  <si>
    <t>3,379,360,738</t>
  </si>
  <si>
    <t>2,808,948,488</t>
  </si>
  <si>
    <t>1,502,337,830</t>
  </si>
  <si>
    <t>1,166,184,920</t>
  </si>
  <si>
    <t>1,312,392,040</t>
  </si>
  <si>
    <t>975,815,420</t>
  </si>
  <si>
    <t>2,814,729,870</t>
  </si>
  <si>
    <t>2,142,000,340</t>
  </si>
  <si>
    <t>1,972,922,500</t>
  </si>
  <si>
    <t>1,815,843,730</t>
  </si>
  <si>
    <t>1,135,825,545</t>
  </si>
  <si>
    <t>957,543,930</t>
  </si>
  <si>
    <t>3,108,748,045</t>
  </si>
  <si>
    <t>2,773,387,660</t>
  </si>
  <si>
    <t>1,765,219,005</t>
  </si>
  <si>
    <t>1,643,780,670</t>
  </si>
  <si>
    <t>1,624,431,350</t>
  </si>
  <si>
    <t>1,444,189,935</t>
  </si>
  <si>
    <t>3,389,650,355</t>
  </si>
  <si>
    <t>3,087,970,605</t>
  </si>
  <si>
    <t>1,682,520,725</t>
  </si>
  <si>
    <t>1,574,911,110</t>
  </si>
  <si>
    <t>3,049,916,349</t>
  </si>
  <si>
    <t>2,926,580,784</t>
  </si>
  <si>
    <t>4,732,437,074</t>
  </si>
  <si>
    <t>4,501,491,894</t>
  </si>
  <si>
    <t>3,770,562,570</t>
  </si>
  <si>
    <t>3,764,275,110</t>
  </si>
  <si>
    <t>4,717,580,219</t>
  </si>
  <si>
    <t>4,711,138,569</t>
  </si>
  <si>
    <t>8,488,142,789</t>
  </si>
  <si>
    <t>8,475,413,679</t>
  </si>
  <si>
    <t>2,402,549,190</t>
  </si>
  <si>
    <t>2,384,759,950</t>
  </si>
  <si>
    <t>2,098,867,860</t>
  </si>
  <si>
    <t>2,076,734,600</t>
  </si>
  <si>
    <t>4,501,417,050</t>
  </si>
  <si>
    <t>4,461,494,550</t>
  </si>
  <si>
    <t>2,131,965,302</t>
  </si>
  <si>
    <t>2,111,107,042</t>
  </si>
  <si>
    <t>2,293,133,180</t>
  </si>
  <si>
    <t>2,258,673,900</t>
  </si>
  <si>
    <t>4,425,098,482</t>
  </si>
  <si>
    <t>4,369,780,942</t>
  </si>
  <si>
    <t>1,697,681,290</t>
  </si>
  <si>
    <t>1,664,695,290</t>
  </si>
  <si>
    <t>2,263,106,380</t>
  </si>
  <si>
    <t>2,179,314,110</t>
  </si>
  <si>
    <t>3,960,787,670</t>
  </si>
  <si>
    <t>3,844,009,400</t>
  </si>
  <si>
    <t>2,269,386,760</t>
  </si>
  <si>
    <t>2,234,682,700</t>
  </si>
  <si>
    <t>4,784,309,200</t>
  </si>
  <si>
    <t>4,709,326,050</t>
  </si>
  <si>
    <t>7,053,695,960</t>
  </si>
  <si>
    <t>6,944,008,750</t>
  </si>
  <si>
    <t>1,269,261,897</t>
  </si>
  <si>
    <t>1,219,865,656</t>
  </si>
  <si>
    <t>1,581,833,237</t>
  </si>
  <si>
    <t>1,383,131,377</t>
  </si>
  <si>
    <t>2,851,095,134</t>
  </si>
  <si>
    <t>2,602,997,033</t>
  </si>
  <si>
    <t>618,239,610</t>
  </si>
  <si>
    <t>571,717,820</t>
  </si>
  <si>
    <t>648,770,298</t>
  </si>
  <si>
    <t>362,875,090</t>
  </si>
  <si>
    <t>1,267,009,908</t>
  </si>
  <si>
    <t>934,592,910</t>
  </si>
  <si>
    <t>668,090,238</t>
  </si>
  <si>
    <t>555,267,890</t>
  </si>
  <si>
    <t>591,562,847</t>
  </si>
  <si>
    <t>202,322,520</t>
  </si>
  <si>
    <t>1,259,653,085</t>
  </si>
  <si>
    <t>757,590,410</t>
  </si>
  <si>
    <t>597,875,098</t>
  </si>
  <si>
    <t>542,936,990</t>
  </si>
  <si>
    <t>309,350,076</t>
  </si>
  <si>
    <t>63,539,520</t>
  </si>
  <si>
    <t>907,225,174</t>
  </si>
  <si>
    <t>606,476,510</t>
  </si>
  <si>
    <t>511,181,735</t>
  </si>
  <si>
    <t>413,690,120</t>
  </si>
  <si>
    <t>313,411,407</t>
  </si>
  <si>
    <t>78,308,340</t>
  </si>
  <si>
    <t>824,593,142</t>
  </si>
  <si>
    <t>491,998,460</t>
  </si>
  <si>
    <t>453,110,744</t>
  </si>
  <si>
    <t>356,826,760</t>
  </si>
  <si>
    <t>418,345,558</t>
  </si>
  <si>
    <t>114,145,500</t>
  </si>
  <si>
    <t>871,456,302</t>
  </si>
  <si>
    <t>470,972,260</t>
  </si>
  <si>
    <t>457,653,172</t>
  </si>
  <si>
    <t>282,792,170</t>
  </si>
  <si>
    <t>893,776,509</t>
  </si>
  <si>
    <t>401,696,240</t>
  </si>
  <si>
    <t>1,351,429,681</t>
  </si>
  <si>
    <t>684,488,410</t>
  </si>
  <si>
    <t>1,068,848,307</t>
  </si>
  <si>
    <t>946,629,680</t>
  </si>
  <si>
    <t>724,408,820</t>
  </si>
  <si>
    <t>379,064,410</t>
  </si>
  <si>
    <t>1,793,257,127</t>
  </si>
  <si>
    <t>1,325,694,090</t>
  </si>
  <si>
    <t>377,071,535</t>
  </si>
  <si>
    <t>334,967,400</t>
  </si>
  <si>
    <t>482,004,857</t>
  </si>
  <si>
    <t>192,398,030</t>
  </si>
  <si>
    <t>859,076,392</t>
  </si>
  <si>
    <t>527,365,430</t>
  </si>
  <si>
    <t>金先物オプション</t>
  </si>
  <si>
    <t>Options on Gold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</si>
</sst>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1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7" numFmtId="9"/>
    <xf borderId="0" fillId="0" fontId="18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3" fontId="20" numFmtId="0"/>
    <xf applyAlignment="0" applyBorder="0" applyNumberFormat="0" applyProtection="0" borderId="0" fillId="10" fontId="20" numFmtId="0"/>
    <xf applyAlignment="0" applyBorder="0" applyNumberFormat="0" applyProtection="0" borderId="0" fillId="11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16" fontId="20" numFmtId="0"/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7" fontId="20" numFmtId="0"/>
    <xf applyAlignment="0" applyBorder="0" applyNumberFormat="0" applyProtection="0" borderId="0" fillId="18" fontId="20" numFmtId="0"/>
    <xf applyAlignment="0" applyBorder="0" applyNumberFormat="0" applyProtection="0" borderId="0" fillId="19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20" fontId="20" numFmtId="0"/>
    <xf borderId="0" fillId="0" fontId="22" numFmtId="0">
      <alignment horizontal="center" wrapText="1"/>
      <protection locked="0"/>
    </xf>
    <xf borderId="0" fillId="0" fontId="23" numFmtId="0"/>
    <xf applyAlignment="0" applyBorder="0" applyNumberFormat="0" applyProtection="0" borderId="0" fillId="4" fontId="24" numFmtId="0"/>
    <xf applyAlignment="0" applyBorder="0" applyFill="0" applyNumberFormat="0" applyProtection="0" borderId="0" fillId="0" fontId="25" numFmtId="0"/>
    <xf applyAlignment="0" applyBorder="0" applyFill="0" borderId="0" fillId="0" fontId="5" numFmtId="179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6" fillId="22" fontId="27" numFmtId="0"/>
    <xf borderId="0" fillId="0" fontId="28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29" numFmtId="0">
      <alignment horizontal="left"/>
    </xf>
    <xf applyAlignment="0" applyBorder="0" applyFill="0" applyNumberFormat="0" applyProtection="0" borderId="0" fillId="0" fontId="30" numFmtId="0"/>
    <xf applyAlignment="0" applyBorder="0" applyNumberFormat="0" applyProtection="0" borderId="0" fillId="5" fontId="31" numFmtId="0"/>
    <xf applyAlignment="0" applyBorder="0" applyNumberFormat="0" applyProtection="0" borderId="0" fillId="23" fontId="32" numFmtId="38"/>
    <xf borderId="0" fillId="24" fontId="33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4" numFmtId="0"/>
    <xf applyAlignment="0" applyFill="0" applyNumberFormat="0" applyProtection="0" borderId="8" fillId="0" fontId="35" numFmtId="0"/>
    <xf applyAlignment="0" applyFill="0" applyNumberFormat="0" applyProtection="0" borderId="9" fillId="0" fontId="36" numFmtId="0"/>
    <xf applyAlignment="0" applyBorder="0" applyFill="0" applyNumberFormat="0" applyProtection="0" borderId="0" fillId="0" fontId="36" numFmtId="0"/>
    <xf applyBorder="0" borderId="0" fillId="0" fontId="5" numFmtId="0"/>
    <xf applyAlignment="0" applyNumberFormat="0" applyProtection="0" borderId="5" fillId="8" fontId="37" numFmtId="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borderId="0" fillId="0" fontId="5" numFmtId="0"/>
    <xf applyAlignment="0" applyFill="0" applyNumberFormat="0" applyProtection="0" borderId="10" fillId="0" fontId="38" numFmtId="0"/>
    <xf applyAlignment="0" applyBorder="0" applyFill="0" applyFont="0" applyProtection="0" borderId="0" fillId="0" fontId="39" numFmtId="38"/>
    <xf applyAlignment="0" applyBorder="0" applyFill="0" applyFont="0" applyProtection="0" borderId="0" fillId="0" fontId="39" numFmtId="40"/>
    <xf applyAlignment="0" applyBorder="0" applyFill="0" applyFont="0" applyProtection="0" borderId="0" fillId="0" fontId="39" numFmtId="182"/>
    <xf applyAlignment="0" applyBorder="0" applyFill="0" applyFont="0" applyProtection="0" borderId="0" fillId="0" fontId="39" numFmtId="183"/>
    <xf applyAlignment="0" applyBorder="0" applyNumberFormat="0" applyProtection="0" borderId="0" fillId="26" fontId="40" numFmtId="0"/>
    <xf borderId="0" fillId="0" fontId="41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borderId="0" fillId="0" fontId="22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29" numFmtId="4">
      <alignment horizontal="right"/>
    </xf>
    <xf applyAlignment="0" applyBorder="0" applyFill="0" applyFont="0" applyNumberFormat="0" applyProtection="0" borderId="0" fillId="0" fontId="43" numFmtId="0">
      <alignment horizontal="left"/>
    </xf>
    <xf borderId="13" fillId="0" fontId="44" numFmtId="0">
      <alignment horizontal="center"/>
    </xf>
    <xf applyAlignment="0" applyBorder="0" applyFill="0" applyFont="0" applyNumberFormat="0" borderId="0" fillId="0" fontId="45" numFmtId="0"/>
    <xf borderId="0" fillId="0" fontId="46" numFmtId="4">
      <alignment horizontal="right"/>
    </xf>
    <xf borderId="0" fillId="0" fontId="47" numFmtId="0">
      <alignment horizontal="left"/>
    </xf>
    <xf borderId="0" fillId="0" fontId="48" numFmtId="0"/>
    <xf borderId="0" fillId="0" fontId="49" numFmtId="0">
      <alignment horizontal="center"/>
    </xf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Border="0" applyFill="0" applyNumberFormat="0" applyProtection="0" borderId="0" fillId="0" fontId="51" numFmtId="0"/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borderId="0" fillId="0" fontId="52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borderId="0" fillId="0" fontId="55" numFmtId="0"/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4" numFmtId="38"/>
    <xf applyAlignment="0" applyBorder="0" applyFill="0" applyFont="0" applyProtection="0" borderId="0" fillId="0" fontId="15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borderId="0" fillId="0" fontId="10" numFmtId="186"/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3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5" numFmtId="0">
      <alignment vertical="center"/>
    </xf>
    <xf borderId="0" fillId="0" fontId="7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15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6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6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7" numFmtId="0">
      <alignment vertical="center"/>
    </xf>
    <xf borderId="0" fillId="0" fontId="12" numFmtId="0"/>
    <xf borderId="0" fillId="0" fontId="77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7" numFmtId="0"/>
    <xf borderId="0" fillId="0" fontId="15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9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7" numFmtId="0"/>
    <xf borderId="0" fillId="0" fontId="76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19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5" numFmtId="0">
      <alignment vertical="center"/>
    </xf>
    <xf borderId="0" fillId="0" fontId="79" numFmtId="0"/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3" numFmtId="0"/>
    <xf borderId="0" fillId="0" fontId="3" numFmtId="0"/>
    <xf borderId="0" fillId="0" fontId="79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79" numFmtId="0"/>
    <xf borderId="0" fillId="0" fontId="3" numFmtId="0"/>
    <xf borderId="0" fillId="0" fontId="79" numFmtId="0"/>
    <xf borderId="0" fillId="0" fontId="19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0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5" numFmtId="0"/>
    <xf borderId="0" fillId="0" fontId="3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81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8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/>
    <xf borderId="0" fillId="0" fontId="85" numFmtId="0"/>
    <xf borderId="0" fillId="0" fontId="55" numFmtId="0"/>
    <xf applyBorder="0" applyFill="0" borderId="0" fillId="0" fontId="13" numFmtId="49"/>
    <xf borderId="0" fillId="0" fontId="86" numFmtId="0"/>
    <xf borderId="0" fillId="0" fontId="87" numFmtId="0"/>
    <xf borderId="0" fillId="0" fontId="86" numFmtId="0"/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borderId="0" fillId="0" fontId="3" numFmtId="0"/>
    <xf borderId="0" fillId="0" fontId="89" numFmtId="0">
      <alignment vertical="center"/>
    </xf>
    <xf applyAlignment="0" applyBorder="0" applyFill="0" applyNumberFormat="0" applyProtection="0" borderId="0" fillId="0" fontId="90" numFmtId="0">
      <alignment vertical="center"/>
    </xf>
    <xf applyAlignment="0" applyFill="0" applyNumberFormat="0" applyProtection="0" borderId="22" fillId="0" fontId="91" numFmtId="0">
      <alignment vertical="center"/>
    </xf>
    <xf applyAlignment="0" applyFill="0" applyNumberFormat="0" applyProtection="0" borderId="23" fillId="0" fontId="92" numFmtId="0">
      <alignment vertical="center"/>
    </xf>
    <xf applyAlignment="0" applyFill="0" applyNumberFormat="0" applyProtection="0" borderId="24" fillId="0" fontId="93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Border="0" applyNumberFormat="0" applyProtection="0" borderId="0" fillId="28" fontId="94" numFmtId="0">
      <alignment vertical="center"/>
    </xf>
    <xf applyAlignment="0" applyBorder="0" applyNumberFormat="0" applyProtection="0" borderId="0" fillId="29" fontId="95" numFmtId="0">
      <alignment vertical="center"/>
    </xf>
    <xf applyAlignment="0" applyBorder="0" applyNumberFormat="0" applyProtection="0" borderId="0" fillId="30" fontId="96" numFmtId="0">
      <alignment vertical="center"/>
    </xf>
    <xf applyAlignment="0" applyNumberFormat="0" applyProtection="0" borderId="25" fillId="31" fontId="97" numFmtId="0">
      <alignment vertical="center"/>
    </xf>
    <xf applyAlignment="0" applyNumberFormat="0" applyProtection="0" borderId="26" fillId="32" fontId="98" numFmtId="0">
      <alignment vertical="center"/>
    </xf>
    <xf applyAlignment="0" applyNumberFormat="0" applyProtection="0" borderId="25" fillId="32" fontId="99" numFmtId="0">
      <alignment vertical="center"/>
    </xf>
    <xf applyAlignment="0" applyFill="0" applyNumberFormat="0" applyProtection="0" borderId="27" fillId="0" fontId="100" numFmtId="0">
      <alignment vertical="center"/>
    </xf>
    <xf applyAlignment="0" applyNumberFormat="0" applyProtection="0" borderId="28" fillId="33" fontId="101" numFmtId="0">
      <alignment vertical="center"/>
    </xf>
    <xf applyAlignment="0" applyBorder="0" applyFill="0" applyNumberFormat="0" applyProtection="0" borderId="0" fillId="0" fontId="102" numFmtId="0">
      <alignment vertical="center"/>
    </xf>
    <xf applyAlignment="0" applyBorder="0" applyFill="0" applyNumberFormat="0" applyProtection="0" borderId="0" fillId="0" fontId="103" numFmtId="0">
      <alignment vertical="center"/>
    </xf>
    <xf applyAlignment="0" applyFill="0" applyNumberFormat="0" applyProtection="0" borderId="30" fillId="0" fontId="104" numFmtId="0">
      <alignment vertical="center"/>
    </xf>
    <xf applyAlignment="0" applyBorder="0" applyNumberFormat="0" applyProtection="0" borderId="0" fillId="35" fontId="105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5" numFmtId="0">
      <alignment vertical="center"/>
    </xf>
    <xf applyAlignment="0" applyBorder="0" applyNumberFormat="0" applyProtection="0" borderId="0" fillId="39" fontId="105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5" numFmtId="0">
      <alignment vertical="center"/>
    </xf>
    <xf applyAlignment="0" applyBorder="0" applyNumberFormat="0" applyProtection="0" borderId="0" fillId="43" fontId="105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5" numFmtId="0">
      <alignment vertical="center"/>
    </xf>
    <xf applyAlignment="0" applyBorder="0" applyNumberFormat="0" applyProtection="0" borderId="0" fillId="47" fontId="105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5" numFmtId="0">
      <alignment vertical="center"/>
    </xf>
    <xf applyAlignment="0" applyBorder="0" applyNumberFormat="0" applyProtection="0" borderId="0" fillId="51" fontId="105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5" numFmtId="0">
      <alignment vertical="center"/>
    </xf>
    <xf applyAlignment="0" applyBorder="0" applyNumberFormat="0" applyProtection="0" borderId="0" fillId="55" fontId="105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5" numFmtId="0">
      <alignment vertical="center"/>
    </xf>
    <xf borderId="0" fillId="0" fontId="1" numFmtId="0">
      <alignment vertical="center"/>
    </xf>
    <xf applyAlignment="0" applyFont="0" applyNumberFormat="0" applyProtection="0" borderId="29" fillId="34" fontId="1" numFmtId="0">
      <alignment vertical="center"/>
    </xf>
    <xf borderId="0" fillId="0" fontId="106" numFmtId="0">
      <alignment vertical="center"/>
    </xf>
  </cellStyleXfs>
  <cellXfs count="53">
    <xf borderId="0" fillId="0" fontId="0" numFmtId="0" xfId="0"/>
    <xf applyFont="1" borderId="0" fillId="0" fontId="108" numFmtId="0" xfId="1980">
      <alignment vertical="center"/>
    </xf>
    <xf applyAlignment="1" applyBorder="1" applyFill="1" applyFont="1" applyNumberFormat="1" borderId="38" fillId="0" fontId="17" numFmtId="49" xfId="1980">
      <alignment horizontal="center" vertical="center"/>
    </xf>
    <xf applyAlignment="1" applyBorder="1" applyFill="1" applyFont="1" applyNumberFormat="1" borderId="32" fillId="0" fontId="17" numFmtId="49" xfId="1980">
      <alignment horizontal="center" vertical="center"/>
    </xf>
    <xf applyBorder="1" applyFill="1" applyFont="1" applyNumberFormat="1" borderId="0" fillId="0" fontId="108" numFmtId="49" xfId="1980">
      <alignment vertical="center"/>
    </xf>
    <xf applyFill="1" applyFont="1" borderId="0" fillId="0" fontId="108" numFmtId="0" xfId="1980">
      <alignment vertical="center"/>
    </xf>
    <xf applyFont="1" borderId="0" fillId="0" fontId="17" numFmtId="0" xfId="1980">
      <alignment vertical="center"/>
    </xf>
    <xf applyFill="1" applyFont="1" borderId="0" fillId="0" fontId="17" numFmtId="0" xfId="1980">
      <alignment vertical="center"/>
    </xf>
    <xf applyAlignment="1" applyFill="1" applyFont="1" borderId="0" fillId="0" fontId="17" numFmtId="0" xfId="1980">
      <alignment horizontal="center" vertical="center"/>
    </xf>
    <xf applyAlignment="1" applyBorder="1" applyFill="1" applyFont="1" applyNumberFormat="1" borderId="34" fillId="0" fontId="5" numFmtId="0" xfId="1980">
      <alignment horizontal="center" vertical="top" wrapText="1"/>
    </xf>
    <xf applyAlignment="1" applyBorder="1" applyFill="1" applyFont="1" applyNumberFormat="1" borderId="18" fillId="0" fontId="5" numFmtId="0" xfId="1980">
      <alignment horizontal="center" vertical="top" wrapText="1"/>
    </xf>
    <xf applyAlignment="1" applyBorder="1" applyFill="1" applyFont="1" applyNumberFormat="1" borderId="37" fillId="0" fontId="5" numFmtId="0" xfId="1980">
      <alignment horizontal="center" vertical="top" wrapText="1"/>
    </xf>
    <xf applyAlignment="1" applyBorder="1" applyFill="1" applyFont="1" applyNumberFormat="1" borderId="4" fillId="0" fontId="5" numFmtId="0" xfId="1980">
      <alignment horizontal="center" vertical="top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33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15" fillId="0" fontId="17" numFmtId="49" xfId="1980">
      <alignment horizontal="left" vertical="top"/>
    </xf>
    <xf applyAlignment="1" applyBorder="1" applyFill="1" applyFont="1" applyNumberFormat="1" borderId="33" fillId="0" fontId="17" numFmtId="49" xfId="1980">
      <alignment horizontal="left" vertical="center"/>
    </xf>
    <xf applyAlignment="1" applyBorder="1" applyFill="1" applyFont="1" applyNumberFormat="1" borderId="39" fillId="0" fontId="5" numFmtId="49" xfId="1980">
      <alignment horizontal="left" vertical="center"/>
    </xf>
    <xf applyAlignment="1" applyBorder="1" applyFill="1" applyFont="1" applyNumberFormat="1" borderId="33" fillId="0" fontId="5" numFmtId="49" xfId="1980">
      <alignment horizontal="left" vertical="center"/>
    </xf>
    <xf applyAlignment="1" applyBorder="1" applyFill="1" applyFont="1" applyNumberFormat="1" borderId="19" fillId="0" fontId="17" numFmtId="49" xfId="1980">
      <alignment horizontal="left" vertical="center"/>
    </xf>
    <xf applyAlignment="1" applyBorder="1" applyFill="1" applyFont="1" applyNumberFormat="1" borderId="19" fillId="0" fontId="17" numFmtId="3" xfId="1980">
      <alignment horizontal="right" vertical="center"/>
    </xf>
    <xf applyAlignment="1" applyBorder="1" applyFill="1" applyFont="1" applyNumberFormat="1" borderId="33" fillId="0" fontId="17" numFmtId="3" xfId="1980">
      <alignment horizontal="right" vertical="center"/>
    </xf>
    <xf applyAlignment="1" applyBorder="1" applyFill="1" applyFont="1" applyNumberFormat="1" borderId="37" fillId="0" fontId="17" numFmtId="3" xfId="1980">
      <alignment horizontal="right" vertical="center"/>
    </xf>
    <xf applyAlignment="1" applyBorder="1" applyFill="1" applyFont="1" applyNumberFormat="1" borderId="19" fillId="0" fontId="17" numFmtId="189" xfId="1980">
      <alignment horizontal="center" vertical="center"/>
    </xf>
    <xf applyAlignment="1" applyBorder="1" applyFill="1" applyFont="1" applyNumberFormat="1" borderId="19" fillId="0" fontId="17" numFmtId="49" xfId="1980">
      <alignment horizontal="right" vertical="center"/>
    </xf>
    <xf applyAlignment="1" applyFill="1" applyFont="1" applyNumberFormat="1" borderId="0" fillId="0" fontId="107" numFmtId="0" xfId="1980">
      <alignment horizontal="left" vertical="top" wrapText="1"/>
    </xf>
    <xf applyAlignment="1" applyBorder="1" applyFill="1" applyFont="1" applyNumberFormat="1" borderId="16" fillId="0" fontId="109" numFmtId="0" xfId="1980">
      <alignment horizontal="left" vertical="top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17" fillId="0" fontId="5" numFmtId="0" xfId="1980">
      <alignment horizontal="center" vertical="center" wrapText="1"/>
    </xf>
    <xf applyAlignment="1" applyBorder="1" applyFill="1" applyFont="1" applyNumberFormat="1" borderId="36" fillId="0" fontId="5" numFmtId="0" xfId="1980">
      <alignment horizontal="center" vertical="center" wrapText="1"/>
    </xf>
    <xf applyAlignment="1" applyBorder="1" applyFill="1" applyFont="1" applyNumberFormat="1" borderId="40" fillId="0" fontId="5" numFmtId="0" xfId="1980">
      <alignment horizontal="center" vertical="center" wrapText="1"/>
    </xf>
    <xf applyAlignment="1" applyBorder="1" applyFill="1" applyFont="1" applyNumberFormat="1" borderId="41" fillId="0" fontId="5" numFmtId="0" xfId="1980">
      <alignment horizontal="center" vertical="center" wrapText="1"/>
    </xf>
    <xf applyAlignment="1" applyBorder="1" applyFill="1" applyFont="1" applyNumberFormat="1" borderId="42" fillId="0" fontId="5" numFmtId="0" xfId="1980">
      <alignment horizontal="center" vertical="center" wrapText="1"/>
    </xf>
    <xf applyAlignment="1" applyBorder="1" applyFill="1" applyFont="1" applyNumberFormat="1" borderId="43" fillId="0" fontId="5" numFmtId="0" xfId="1980">
      <alignment horizontal="center" vertical="center" wrapText="1"/>
    </xf>
    <xf applyAlignment="1" applyBorder="1" applyFill="1" applyFont="1" applyNumberFormat="1" borderId="45" fillId="0" fontId="5" numFmtId="0" xfId="1980">
      <alignment horizontal="center" vertical="center" wrapText="1"/>
    </xf>
    <xf applyAlignment="1" applyBorder="1" applyFill="1" applyFont="1" applyNumberFormat="1" borderId="47" fillId="0" fontId="5" numFmtId="0" xfId="1980">
      <alignment horizontal="center" vertical="center" wrapText="1"/>
    </xf>
    <xf applyAlignment="1" applyBorder="1" applyFill="1" applyFont="1" applyNumberFormat="1" borderId="49" fillId="0" fontId="5" numFmtId="0" xfId="1980">
      <alignment horizontal="center" vertical="center" wrapText="1"/>
    </xf>
    <xf applyAlignment="1" applyBorder="1" applyFill="1" applyFont="1" applyNumberFormat="1" borderId="44" fillId="0" fontId="5" numFmtId="0" xfId="1980">
      <alignment horizontal="center" vertical="center" wrapText="1"/>
    </xf>
    <xf applyAlignment="1" applyBorder="1" applyFill="1" applyFont="1" applyNumberFormat="1" borderId="46" fillId="0" fontId="5" numFmtId="0" xfId="1980">
      <alignment horizontal="center" vertical="center" wrapText="1"/>
    </xf>
    <xf applyAlignment="1" applyBorder="1" applyFill="1" applyFont="1" applyNumberFormat="1" borderId="48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21" fillId="0" fontId="5" numFmtId="0" xfId="1980">
      <alignment horizontal="center" vertical="center" wrapText="1"/>
    </xf>
    <xf applyAlignment="1" applyBorder="1" applyFill="1" applyFont="1" applyNumberFormat="1" borderId="35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20" fillId="0" fontId="5" numFmtId="0" xfId="1980">
      <alignment horizontal="center" vertical="center" wrapText="1"/>
    </xf>
    <xf applyAlignment="1" applyBorder="1" applyFill="1" applyFont="1" applyNumberFormat="1" borderId="18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</cellXfs>
  <cellStyles count="1981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4" xfId="1980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F1580"/>
  <sheetViews>
    <sheetView showGridLines="0" tabSelected="1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6" width="27.625" collapsed="false"/>
    <col min="2" max="2" bestFit="true" customWidth="true" style="6" width="30.125" collapsed="false"/>
    <col min="3" max="3" customWidth="true" style="6" width="7.875" collapsed="false"/>
    <col min="4" max="4" customWidth="true" style="6" width="11.75" collapsed="false"/>
    <col min="5" max="5" bestFit="true" customWidth="true" style="6" width="11.625" collapsed="false"/>
    <col min="6" max="6" customWidth="true" style="6" width="8.625" collapsed="false"/>
    <col min="7" max="7" customWidth="true" style="6" width="38.125" collapsed="false"/>
    <col min="8" max="8" customWidth="true" style="6" width="25.625" collapsed="false"/>
    <col min="9" max="11" customWidth="true" style="6" width="38.125" collapsed="false"/>
    <col min="12" max="12" bestFit="true" customWidth="true" style="6" width="6.75" collapsed="false"/>
    <col min="13" max="13" customWidth="true" style="6" width="38.125" collapsed="false"/>
    <col min="14" max="14" bestFit="true" customWidth="true" style="6" width="5.75" collapsed="false"/>
    <col min="15" max="16" customWidth="true" style="6" width="38.125" collapsed="false"/>
    <col min="17" max="17" customWidth="true" style="6" width="25.625" collapsed="false"/>
    <col min="18" max="20" customWidth="true" style="6" width="38.125" collapsed="false"/>
    <col min="21" max="21" bestFit="true" customWidth="true" style="6" width="6.75" collapsed="false"/>
    <col min="22" max="22" customWidth="true" style="6" width="38.125" collapsed="false"/>
    <col min="23" max="23" bestFit="true" customWidth="true" style="6" width="5.75" collapsed="false"/>
    <col min="24" max="24" customWidth="true" style="6" width="38.125" collapsed="false"/>
    <col min="25" max="25" customWidth="true" style="6" width="25.625" collapsed="false"/>
    <col min="26" max="27" customWidth="true" style="6" width="38.125" collapsed="false"/>
    <col min="28" max="28" bestFit="true" customWidth="true" style="6" width="6.75" collapsed="false"/>
    <col min="29" max="29" bestFit="true" customWidth="true" style="6" width="38.125" collapsed="false"/>
    <col min="30" max="30" bestFit="true" customWidth="true" style="6" width="5.75" collapsed="false"/>
    <col min="31" max="31" bestFit="true" customWidth="true" style="6" width="38.125" collapsed="false"/>
    <col min="32" max="16384" style="1" width="9.0" collapsed="false"/>
  </cols>
  <sheetData>
    <row customFormat="1" customHeight="1" ht="20.100000000000001" r="1" s="5" spans="1:31">
      <c r="A1" s="30" t="s">
        <v>38</v>
      </c>
      <c r="B1" s="30"/>
      <c r="C1" s="30"/>
      <c r="D1" s="30"/>
      <c r="E1" s="3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customFormat="1" customHeight="1" ht="30" r="2" s="5" spans="1:31">
      <c r="A2" s="31" t="s">
        <v>37</v>
      </c>
      <c r="B2" s="31"/>
      <c r="C2" s="31"/>
      <c r="D2" s="31"/>
      <c r="E2" s="3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customFormat="1" customHeight="1" ht="17.100000000000001" r="3" s="8" spans="1:31">
      <c r="A3" s="33" t="s">
        <v>35</v>
      </c>
      <c r="B3" s="36" t="s">
        <v>36</v>
      </c>
      <c r="C3" s="42" t="s">
        <v>40</v>
      </c>
      <c r="D3" s="39" t="s">
        <v>39</v>
      </c>
      <c r="E3" s="32" t="s">
        <v>34</v>
      </c>
      <c r="F3" s="32" t="s">
        <v>0</v>
      </c>
      <c r="G3" s="45" t="s">
        <v>11</v>
      </c>
      <c r="H3" s="45"/>
      <c r="I3" s="45"/>
      <c r="J3" s="45"/>
      <c r="K3" s="45"/>
      <c r="L3" s="45"/>
      <c r="M3" s="45"/>
      <c r="N3" s="45"/>
      <c r="O3" s="45"/>
      <c r="P3" s="45" t="s">
        <v>12</v>
      </c>
      <c r="Q3" s="45"/>
      <c r="R3" s="45"/>
      <c r="S3" s="45"/>
      <c r="T3" s="45"/>
      <c r="U3" s="45"/>
      <c r="V3" s="45"/>
      <c r="W3" s="45"/>
      <c r="X3" s="45"/>
      <c r="Y3" s="46" t="s">
        <v>1</v>
      </c>
      <c r="Z3" s="46" t="s">
        <v>2</v>
      </c>
      <c r="AA3" s="45" t="s">
        <v>13</v>
      </c>
      <c r="AB3" s="45"/>
      <c r="AC3" s="45"/>
      <c r="AD3" s="45"/>
      <c r="AE3" s="45"/>
    </row>
    <row customFormat="1" customHeight="1" ht="17.100000000000001" r="4" s="8" spans="1:31">
      <c r="A4" s="34"/>
      <c r="B4" s="37"/>
      <c r="C4" s="43"/>
      <c r="D4" s="40"/>
      <c r="E4" s="32"/>
      <c r="F4" s="32"/>
      <c r="G4" s="33" t="s">
        <v>8</v>
      </c>
      <c r="H4" s="9"/>
      <c r="I4" s="10"/>
      <c r="J4" s="33" t="s">
        <v>22</v>
      </c>
      <c r="K4" s="11"/>
      <c r="L4" s="33" t="s">
        <v>30</v>
      </c>
      <c r="M4" s="50"/>
      <c r="N4" s="51" t="s">
        <v>29</v>
      </c>
      <c r="O4" s="52"/>
      <c r="P4" s="33" t="s">
        <v>14</v>
      </c>
      <c r="Q4" s="9"/>
      <c r="R4" s="11"/>
      <c r="S4" s="33" t="s">
        <v>20</v>
      </c>
      <c r="T4" s="11"/>
      <c r="U4" s="33" t="s">
        <v>30</v>
      </c>
      <c r="V4" s="50"/>
      <c r="W4" s="51" t="s">
        <v>29</v>
      </c>
      <c r="X4" s="52"/>
      <c r="Y4" s="47"/>
      <c r="Z4" s="47"/>
      <c r="AA4" s="46" t="s">
        <v>43</v>
      </c>
      <c r="AB4" s="33" t="s">
        <v>30</v>
      </c>
      <c r="AC4" s="50"/>
      <c r="AD4" s="51" t="s">
        <v>29</v>
      </c>
      <c r="AE4" s="52"/>
    </row>
    <row customFormat="1" customHeight="1" ht="17.100000000000001" r="5" s="8" spans="1:31">
      <c r="A5" s="34"/>
      <c r="B5" s="37"/>
      <c r="C5" s="43"/>
      <c r="D5" s="40"/>
      <c r="E5" s="32"/>
      <c r="F5" s="32"/>
      <c r="G5" s="49"/>
      <c r="H5" s="12" t="s">
        <v>23</v>
      </c>
      <c r="I5" s="11" t="s">
        <v>24</v>
      </c>
      <c r="J5" s="49"/>
      <c r="K5" s="13" t="s">
        <v>24</v>
      </c>
      <c r="L5" s="14" t="s">
        <v>33</v>
      </c>
      <c r="M5" s="15" t="s">
        <v>26</v>
      </c>
      <c r="N5" s="14" t="s">
        <v>33</v>
      </c>
      <c r="O5" s="15" t="s">
        <v>26</v>
      </c>
      <c r="P5" s="49"/>
      <c r="Q5" s="12" t="s">
        <v>21</v>
      </c>
      <c r="R5" s="11" t="s">
        <v>25</v>
      </c>
      <c r="S5" s="49"/>
      <c r="T5" s="13" t="s">
        <v>25</v>
      </c>
      <c r="U5" s="14" t="s">
        <v>33</v>
      </c>
      <c r="V5" s="15" t="s">
        <v>42</v>
      </c>
      <c r="W5" s="14" t="s">
        <v>33</v>
      </c>
      <c r="X5" s="15" t="s">
        <v>42</v>
      </c>
      <c r="Y5" s="48"/>
      <c r="Z5" s="48"/>
      <c r="AA5" s="48"/>
      <c r="AB5" s="14" t="s">
        <v>33</v>
      </c>
      <c r="AC5" s="15" t="s">
        <v>26</v>
      </c>
      <c r="AD5" s="14" t="s">
        <v>33</v>
      </c>
      <c r="AE5" s="15" t="s">
        <v>26</v>
      </c>
    </row>
    <row customFormat="1" ht="24" r="6" s="8" spans="1:31">
      <c r="A6" s="35"/>
      <c r="B6" s="38"/>
      <c r="C6" s="44"/>
      <c r="D6" s="41"/>
      <c r="E6" s="16" t="s">
        <v>45</v>
      </c>
      <c r="F6" s="16" t="s">
        <v>3</v>
      </c>
      <c r="G6" s="16" t="s">
        <v>4</v>
      </c>
      <c r="H6" s="17" t="s">
        <v>16</v>
      </c>
      <c r="I6" s="16" t="s">
        <v>15</v>
      </c>
      <c r="J6" s="16" t="s">
        <v>5</v>
      </c>
      <c r="K6" s="16" t="s">
        <v>15</v>
      </c>
      <c r="L6" s="18" t="s">
        <v>41</v>
      </c>
      <c r="M6" s="15" t="s">
        <v>9</v>
      </c>
      <c r="N6" s="18" t="s">
        <v>41</v>
      </c>
      <c r="O6" s="15" t="s">
        <v>28</v>
      </c>
      <c r="P6" s="16" t="s">
        <v>18</v>
      </c>
      <c r="Q6" s="17" t="s">
        <v>19</v>
      </c>
      <c r="R6" s="16" t="s">
        <v>17</v>
      </c>
      <c r="S6" s="16" t="s">
        <v>10</v>
      </c>
      <c r="T6" s="16" t="s">
        <v>27</v>
      </c>
      <c r="U6" s="18" t="s">
        <v>41</v>
      </c>
      <c r="V6" s="15" t="s">
        <v>31</v>
      </c>
      <c r="W6" s="18" t="s">
        <v>41</v>
      </c>
      <c r="X6" s="15" t="s">
        <v>32</v>
      </c>
      <c r="Y6" s="19" t="s">
        <v>6</v>
      </c>
      <c r="Z6" s="15" t="s">
        <v>7</v>
      </c>
      <c r="AA6" s="16" t="s">
        <v>44</v>
      </c>
      <c r="AB6" s="18" t="s">
        <v>41</v>
      </c>
      <c r="AC6" s="15" t="s">
        <v>9</v>
      </c>
      <c r="AD6" s="18" t="s">
        <v>41</v>
      </c>
      <c r="AE6" s="15" t="s">
        <v>28</v>
      </c>
    </row>
    <row customFormat="1" customHeight="1" ht="13.5" r="7" s="4" spans="1:31">
      <c r="A7" s="20" t="s">
        <v>46</v>
      </c>
      <c r="B7" s="21" t="s">
        <v>47</v>
      </c>
      <c r="C7" s="22"/>
      <c r="D7" s="23"/>
      <c r="E7" s="24" t="s">
        <v>48</v>
      </c>
      <c r="F7" s="28" t="n">
        <f>21</f>
        <v>21.0</v>
      </c>
      <c r="G7" s="25" t="n">
        <f>3163761</f>
        <v>3163761.0</v>
      </c>
      <c r="H7" s="25"/>
      <c r="I7" s="25" t="n">
        <f>869912</f>
        <v>869912.0</v>
      </c>
      <c r="J7" s="25" t="n">
        <f>150655</f>
        <v>150655.0</v>
      </c>
      <c r="K7" s="25" t="n">
        <f>41424</f>
        <v>41424.0</v>
      </c>
      <c r="L7" s="2" t="s">
        <v>49</v>
      </c>
      <c r="M7" s="26" t="n">
        <f>456326</f>
        <v>456326.0</v>
      </c>
      <c r="N7" s="3" t="s">
        <v>50</v>
      </c>
      <c r="O7" s="27" t="n">
        <f>26438</f>
        <v>26438.0</v>
      </c>
      <c r="P7" s="29" t="s">
        <v>51</v>
      </c>
      <c r="Q7" s="25"/>
      <c r="R7" s="29" t="s">
        <v>52</v>
      </c>
      <c r="S7" s="25" t="n">
        <f>2638173178238</f>
        <v>2.638173178238E12</v>
      </c>
      <c r="T7" s="25" t="n">
        <f>729473390667</f>
        <v>7.29473390667E11</v>
      </c>
      <c r="U7" s="3" t="s">
        <v>49</v>
      </c>
      <c r="V7" s="27" t="n">
        <f>7998239101000</f>
        <v>7.998239101E12</v>
      </c>
      <c r="W7" s="3" t="s">
        <v>50</v>
      </c>
      <c r="X7" s="27" t="n">
        <f>470907484000</f>
        <v>4.70907484E11</v>
      </c>
      <c r="Y7" s="27"/>
      <c r="Z7" s="25" t="n">
        <f>492852</f>
        <v>492852.0</v>
      </c>
      <c r="AA7" s="25" t="n">
        <f>439623</f>
        <v>439623.0</v>
      </c>
      <c r="AB7" s="2" t="s">
        <v>53</v>
      </c>
      <c r="AC7" s="26" t="n">
        <f>639124</f>
        <v>639124.0</v>
      </c>
      <c r="AD7" s="3" t="s">
        <v>54</v>
      </c>
      <c r="AE7" s="27" t="n">
        <f>411494</f>
        <v>411494.0</v>
      </c>
    </row>
    <row r="8">
      <c r="A8" s="20" t="s">
        <v>46</v>
      </c>
      <c r="B8" s="21" t="s">
        <v>47</v>
      </c>
      <c r="C8" s="22"/>
      <c r="D8" s="23"/>
      <c r="E8" s="24" t="s">
        <v>55</v>
      </c>
      <c r="F8" s="28" t="n">
        <f>121</f>
        <v>121.0</v>
      </c>
      <c r="G8" s="25" t="n">
        <f>12697394</f>
        <v>1.2697394E7</v>
      </c>
      <c r="H8" s="25"/>
      <c r="I8" s="25" t="n">
        <f>2733579</f>
        <v>2733579.0</v>
      </c>
      <c r="J8" s="25" t="n">
        <f>104937</f>
        <v>104937.0</v>
      </c>
      <c r="K8" s="25" t="n">
        <f>22592</f>
        <v>22592.0</v>
      </c>
      <c r="L8" s="2" t="s">
        <v>56</v>
      </c>
      <c r="M8" s="26" t="n">
        <f>429437</f>
        <v>429437.0</v>
      </c>
      <c r="N8" s="3" t="s">
        <v>57</v>
      </c>
      <c r="O8" s="27" t="n">
        <f>44133</f>
        <v>44133.0</v>
      </c>
      <c r="P8" s="29" t="s">
        <v>58</v>
      </c>
      <c r="Q8" s="25"/>
      <c r="R8" s="29" t="s">
        <v>59</v>
      </c>
      <c r="S8" s="25" t="n">
        <f>2002943533207</f>
        <v>2.002943533207E12</v>
      </c>
      <c r="T8" s="25" t="n">
        <f>433448958926</f>
        <v>4.33448958926E11</v>
      </c>
      <c r="U8" s="3" t="s">
        <v>56</v>
      </c>
      <c r="V8" s="27" t="n">
        <f>8058869077000</f>
        <v>8.058869077E12</v>
      </c>
      <c r="W8" s="3" t="s">
        <v>57</v>
      </c>
      <c r="X8" s="27" t="n">
        <f>792732718000</f>
        <v>7.92732718E11</v>
      </c>
      <c r="Y8" s="27"/>
      <c r="Z8" s="25" t="n">
        <f>1844958</f>
        <v>1844958.0</v>
      </c>
      <c r="AA8" s="25" t="n">
        <f>377805</f>
        <v>377805.0</v>
      </c>
      <c r="AB8" s="2" t="s">
        <v>60</v>
      </c>
      <c r="AC8" s="26" t="n">
        <f>622440</f>
        <v>622440.0</v>
      </c>
      <c r="AD8" s="3" t="s">
        <v>61</v>
      </c>
      <c r="AE8" s="27" t="n">
        <f>375882</f>
        <v>375882.0</v>
      </c>
    </row>
    <row r="9">
      <c r="A9" s="20" t="s">
        <v>46</v>
      </c>
      <c r="B9" s="21" t="s">
        <v>47</v>
      </c>
      <c r="C9" s="22"/>
      <c r="D9" s="23"/>
      <c r="E9" s="24" t="s">
        <v>62</v>
      </c>
      <c r="F9" s="28" t="n">
        <f>123</f>
        <v>123.0</v>
      </c>
      <c r="G9" s="25" t="n">
        <f>14980840</f>
        <v>1.498084E7</v>
      </c>
      <c r="H9" s="25"/>
      <c r="I9" s="25" t="n">
        <f>3069685</f>
        <v>3069685.0</v>
      </c>
      <c r="J9" s="25" t="n">
        <f>121795</f>
        <v>121795.0</v>
      </c>
      <c r="K9" s="25" t="n">
        <f>24957</f>
        <v>24957.0</v>
      </c>
      <c r="L9" s="2" t="s">
        <v>63</v>
      </c>
      <c r="M9" s="26" t="n">
        <f>507850</f>
        <v>507850.0</v>
      </c>
      <c r="N9" s="3" t="s">
        <v>64</v>
      </c>
      <c r="O9" s="27" t="n">
        <f>28515</f>
        <v>28515.0</v>
      </c>
      <c r="P9" s="29" t="s">
        <v>65</v>
      </c>
      <c r="Q9" s="25"/>
      <c r="R9" s="29" t="s">
        <v>66</v>
      </c>
      <c r="S9" s="25" t="n">
        <f>2320004498000</f>
        <v>2.320004498E12</v>
      </c>
      <c r="T9" s="25" t="n">
        <f>474605897569</f>
        <v>4.74605897569E11</v>
      </c>
      <c r="U9" s="3" t="s">
        <v>63</v>
      </c>
      <c r="V9" s="27" t="n">
        <f>9202865815000</f>
        <v>9.202865815E12</v>
      </c>
      <c r="W9" s="3" t="s">
        <v>64</v>
      </c>
      <c r="X9" s="27" t="n">
        <f>537183017000</f>
        <v>5.37183017E11</v>
      </c>
      <c r="Y9" s="27"/>
      <c r="Z9" s="25" t="n">
        <f>2144491</f>
        <v>2144491.0</v>
      </c>
      <c r="AA9" s="25" t="n">
        <f>416962</f>
        <v>416962.0</v>
      </c>
      <c r="AB9" s="2" t="s">
        <v>67</v>
      </c>
      <c r="AC9" s="26" t="n">
        <f>627252</f>
        <v>627252.0</v>
      </c>
      <c r="AD9" s="3" t="s">
        <v>68</v>
      </c>
      <c r="AE9" s="27" t="n">
        <f>380752</f>
        <v>380752.0</v>
      </c>
    </row>
    <row r="10">
      <c r="A10" s="20" t="s">
        <v>46</v>
      </c>
      <c r="B10" s="21" t="s">
        <v>47</v>
      </c>
      <c r="C10" s="22"/>
      <c r="D10" s="23"/>
      <c r="E10" s="24" t="s">
        <v>69</v>
      </c>
      <c r="F10" s="28" t="n">
        <f>122</f>
        <v>122.0</v>
      </c>
      <c r="G10" s="25" t="n">
        <f>14907523</f>
        <v>1.4907523E7</v>
      </c>
      <c r="H10" s="25"/>
      <c r="I10" s="25" t="n">
        <f>3186386</f>
        <v>3186386.0</v>
      </c>
      <c r="J10" s="25" t="n">
        <f>122193</f>
        <v>122193.0</v>
      </c>
      <c r="K10" s="25" t="n">
        <f>26118</f>
        <v>26118.0</v>
      </c>
      <c r="L10" s="2" t="s">
        <v>70</v>
      </c>
      <c r="M10" s="26" t="n">
        <f>431319</f>
        <v>431319.0</v>
      </c>
      <c r="N10" s="3" t="s">
        <v>71</v>
      </c>
      <c r="O10" s="27" t="n">
        <f>43176</f>
        <v>43176.0</v>
      </c>
      <c r="P10" s="29" t="s">
        <v>72</v>
      </c>
      <c r="Q10" s="25"/>
      <c r="R10" s="29" t="s">
        <v>73</v>
      </c>
      <c r="S10" s="25" t="n">
        <f>2028844310754</f>
        <v>2.028844310754E12</v>
      </c>
      <c r="T10" s="25" t="n">
        <f>433190922754</f>
        <v>4.33190922754E11</v>
      </c>
      <c r="U10" s="3" t="s">
        <v>70</v>
      </c>
      <c r="V10" s="27" t="n">
        <f>7205290426000</f>
        <v>7.205290426E12</v>
      </c>
      <c r="W10" s="3" t="s">
        <v>71</v>
      </c>
      <c r="X10" s="27" t="n">
        <f>727201459000</f>
        <v>7.27201459E11</v>
      </c>
      <c r="Y10" s="27"/>
      <c r="Z10" s="25" t="n">
        <f>2209812</f>
        <v>2209812.0</v>
      </c>
      <c r="AA10" s="25" t="n">
        <f>476988</f>
        <v>476988.0</v>
      </c>
      <c r="AB10" s="2" t="s">
        <v>74</v>
      </c>
      <c r="AC10" s="26" t="n">
        <f>644385</f>
        <v>644385.0</v>
      </c>
      <c r="AD10" s="3" t="s">
        <v>75</v>
      </c>
      <c r="AE10" s="27" t="n">
        <f>415014</f>
        <v>415014.0</v>
      </c>
    </row>
    <row r="11">
      <c r="A11" s="20" t="s">
        <v>46</v>
      </c>
      <c r="B11" s="21" t="s">
        <v>47</v>
      </c>
      <c r="C11" s="22"/>
      <c r="D11" s="23"/>
      <c r="E11" s="24" t="s">
        <v>76</v>
      </c>
      <c r="F11" s="28" t="n">
        <f>123</f>
        <v>123.0</v>
      </c>
      <c r="G11" s="25" t="n">
        <f>11857937</f>
        <v>1.1857937E7</v>
      </c>
      <c r="H11" s="25"/>
      <c r="I11" s="25" t="n">
        <f>3026430</f>
        <v>3026430.0</v>
      </c>
      <c r="J11" s="25" t="n">
        <f>96406</f>
        <v>96406.0</v>
      </c>
      <c r="K11" s="25" t="n">
        <f>24605</f>
        <v>24605.0</v>
      </c>
      <c r="L11" s="2" t="s">
        <v>77</v>
      </c>
      <c r="M11" s="26" t="n">
        <f>548073</f>
        <v>548073.0</v>
      </c>
      <c r="N11" s="3" t="s">
        <v>50</v>
      </c>
      <c r="O11" s="27" t="n">
        <f>32632</f>
        <v>32632.0</v>
      </c>
      <c r="P11" s="29" t="s">
        <v>78</v>
      </c>
      <c r="Q11" s="25"/>
      <c r="R11" s="29" t="s">
        <v>79</v>
      </c>
      <c r="S11" s="25" t="n">
        <f>1667235118709</f>
        <v>1.667235118709E12</v>
      </c>
      <c r="T11" s="25" t="n">
        <f>427749315075</f>
        <v>4.27749315075E11</v>
      </c>
      <c r="U11" s="3" t="s">
        <v>77</v>
      </c>
      <c r="V11" s="27" t="n">
        <f>10077313855960</f>
        <v>1.007731385596E13</v>
      </c>
      <c r="W11" s="3" t="s">
        <v>80</v>
      </c>
      <c r="X11" s="27" t="n">
        <f>618785473370</f>
        <v>6.1878547337E11</v>
      </c>
      <c r="Y11" s="27"/>
      <c r="Z11" s="25" t="n">
        <f>1680274</f>
        <v>1680274.0</v>
      </c>
      <c r="AA11" s="25" t="n">
        <f>449752</f>
        <v>449752.0</v>
      </c>
      <c r="AB11" s="2" t="s">
        <v>81</v>
      </c>
      <c r="AC11" s="26" t="n">
        <f>612677</f>
        <v>612677.0</v>
      </c>
      <c r="AD11" s="3" t="s">
        <v>82</v>
      </c>
      <c r="AE11" s="27" t="n">
        <f>363688</f>
        <v>363688.0</v>
      </c>
    </row>
    <row r="12">
      <c r="A12" s="20" t="s">
        <v>46</v>
      </c>
      <c r="B12" s="21" t="s">
        <v>47</v>
      </c>
      <c r="C12" s="22"/>
      <c r="D12" s="23"/>
      <c r="E12" s="24" t="s">
        <v>83</v>
      </c>
      <c r="F12" s="28" t="n">
        <f>123</f>
        <v>123.0</v>
      </c>
      <c r="G12" s="25" t="n">
        <f>11365239</f>
        <v>1.1365239E7</v>
      </c>
      <c r="H12" s="25"/>
      <c r="I12" s="25" t="n">
        <f>2864566</f>
        <v>2864566.0</v>
      </c>
      <c r="J12" s="25" t="n">
        <f>92400</f>
        <v>92400.0</v>
      </c>
      <c r="K12" s="25" t="n">
        <f>23289</f>
        <v>23289.0</v>
      </c>
      <c r="L12" s="2" t="s">
        <v>84</v>
      </c>
      <c r="M12" s="26" t="n">
        <f>473769</f>
        <v>473769.0</v>
      </c>
      <c r="N12" s="3" t="s">
        <v>85</v>
      </c>
      <c r="O12" s="27" t="n">
        <f>37089</f>
        <v>37089.0</v>
      </c>
      <c r="P12" s="29" t="s">
        <v>86</v>
      </c>
      <c r="Q12" s="25"/>
      <c r="R12" s="29" t="s">
        <v>87</v>
      </c>
      <c r="S12" s="25" t="n">
        <f>1789769966881</f>
        <v>1.789769966881E12</v>
      </c>
      <c r="T12" s="25" t="n">
        <f>452018055913</f>
        <v>4.52018055913E11</v>
      </c>
      <c r="U12" s="3" t="s">
        <v>84</v>
      </c>
      <c r="V12" s="27" t="n">
        <f>9138036282940</f>
        <v>9.13803628294E12</v>
      </c>
      <c r="W12" s="3" t="s">
        <v>85</v>
      </c>
      <c r="X12" s="27" t="n">
        <f>745679700800</f>
        <v>7.456797008E11</v>
      </c>
      <c r="Y12" s="27"/>
      <c r="Z12" s="25" t="n">
        <f>1622858</f>
        <v>1622858.0</v>
      </c>
      <c r="AA12" s="25" t="n">
        <f>416007</f>
        <v>416007.0</v>
      </c>
      <c r="AB12" s="2" t="s">
        <v>88</v>
      </c>
      <c r="AC12" s="26" t="n">
        <f>558032</f>
        <v>558032.0</v>
      </c>
      <c r="AD12" s="3" t="s">
        <v>61</v>
      </c>
      <c r="AE12" s="27" t="n">
        <f>399926</f>
        <v>399926.0</v>
      </c>
    </row>
    <row r="13">
      <c r="A13" s="20" t="s">
        <v>46</v>
      </c>
      <c r="B13" s="21" t="s">
        <v>47</v>
      </c>
      <c r="C13" s="22"/>
      <c r="D13" s="23"/>
      <c r="E13" s="24" t="s">
        <v>89</v>
      </c>
      <c r="F13" s="28" t="n">
        <f>124</f>
        <v>124.0</v>
      </c>
      <c r="G13" s="25" t="n">
        <f>11689256</f>
        <v>1.1689256E7</v>
      </c>
      <c r="H13" s="25"/>
      <c r="I13" s="25" t="n">
        <f>2801579</f>
        <v>2801579.0</v>
      </c>
      <c r="J13" s="25" t="n">
        <f>94268</f>
        <v>94268.0</v>
      </c>
      <c r="K13" s="25" t="n">
        <f>22593</f>
        <v>22593.0</v>
      </c>
      <c r="L13" s="2" t="s">
        <v>90</v>
      </c>
      <c r="M13" s="26" t="n">
        <f>431850</f>
        <v>431850.0</v>
      </c>
      <c r="N13" s="3" t="s">
        <v>50</v>
      </c>
      <c r="O13" s="27" t="n">
        <f>15763</f>
        <v>15763.0</v>
      </c>
      <c r="P13" s="29" t="s">
        <v>91</v>
      </c>
      <c r="Q13" s="25"/>
      <c r="R13" s="29" t="s">
        <v>92</v>
      </c>
      <c r="S13" s="25" t="n">
        <f>1991675492938</f>
        <v>1.991675492938E12</v>
      </c>
      <c r="T13" s="25" t="n">
        <f>478184811955</f>
        <v>4.78184811955E11</v>
      </c>
      <c r="U13" s="3" t="s">
        <v>93</v>
      </c>
      <c r="V13" s="27" t="n">
        <f>9299895086461</f>
        <v>9.299895086461E12</v>
      </c>
      <c r="W13" s="3" t="s">
        <v>50</v>
      </c>
      <c r="X13" s="27" t="n">
        <f>360339288460</f>
        <v>3.6033928846E11</v>
      </c>
      <c r="Y13" s="27"/>
      <c r="Z13" s="25" t="n">
        <f>1670228</f>
        <v>1670228.0</v>
      </c>
      <c r="AA13" s="25" t="n">
        <f>413373</f>
        <v>413373.0</v>
      </c>
      <c r="AB13" s="2" t="s">
        <v>94</v>
      </c>
      <c r="AC13" s="26" t="n">
        <f>595169</f>
        <v>595169.0</v>
      </c>
      <c r="AD13" s="3" t="s">
        <v>95</v>
      </c>
      <c r="AE13" s="27" t="n">
        <f>356596</f>
        <v>356596.0</v>
      </c>
    </row>
    <row r="14">
      <c r="A14" s="20" t="s">
        <v>46</v>
      </c>
      <c r="B14" s="21" t="s">
        <v>47</v>
      </c>
      <c r="C14" s="22"/>
      <c r="D14" s="23"/>
      <c r="E14" s="24" t="s">
        <v>96</v>
      </c>
      <c r="F14" s="28" t="n">
        <f>121</f>
        <v>121.0</v>
      </c>
      <c r="G14" s="25" t="n">
        <f>12967797</f>
        <v>1.2967797E7</v>
      </c>
      <c r="H14" s="25"/>
      <c r="I14" s="25" t="n">
        <f>3111016</f>
        <v>3111016.0</v>
      </c>
      <c r="J14" s="25" t="n">
        <f>107172</f>
        <v>107172.0</v>
      </c>
      <c r="K14" s="25" t="n">
        <f>25711</f>
        <v>25711.0</v>
      </c>
      <c r="L14" s="2" t="s">
        <v>97</v>
      </c>
      <c r="M14" s="26" t="n">
        <f>520171</f>
        <v>520171.0</v>
      </c>
      <c r="N14" s="3" t="s">
        <v>98</v>
      </c>
      <c r="O14" s="27" t="n">
        <f>45133</f>
        <v>45133.0</v>
      </c>
      <c r="P14" s="29" t="s">
        <v>99</v>
      </c>
      <c r="Q14" s="25"/>
      <c r="R14" s="29" t="s">
        <v>100</v>
      </c>
      <c r="S14" s="25" t="n">
        <f>2369497260588</f>
        <v>2.369497260588E12</v>
      </c>
      <c r="T14" s="25" t="n">
        <f>566307874770</f>
        <v>5.6630787477E11</v>
      </c>
      <c r="U14" s="3" t="s">
        <v>97</v>
      </c>
      <c r="V14" s="27" t="n">
        <f>11094855966410</f>
        <v>1.109485596641E13</v>
      </c>
      <c r="W14" s="3" t="s">
        <v>98</v>
      </c>
      <c r="X14" s="27" t="n">
        <f>1031255675300</f>
        <v>1.0312556753E12</v>
      </c>
      <c r="Y14" s="27"/>
      <c r="Z14" s="25" t="n">
        <f>1742325</f>
        <v>1742325.0</v>
      </c>
      <c r="AA14" s="25" t="n">
        <f>382585</f>
        <v>382585.0</v>
      </c>
      <c r="AB14" s="2" t="s">
        <v>70</v>
      </c>
      <c r="AC14" s="26" t="n">
        <f>608734</f>
        <v>608734.0</v>
      </c>
      <c r="AD14" s="3" t="s">
        <v>101</v>
      </c>
      <c r="AE14" s="27" t="n">
        <f>368371</f>
        <v>368371.0</v>
      </c>
    </row>
    <row r="15">
      <c r="A15" s="20" t="s">
        <v>46</v>
      </c>
      <c r="B15" s="21" t="s">
        <v>47</v>
      </c>
      <c r="C15" s="22"/>
      <c r="D15" s="23"/>
      <c r="E15" s="24" t="s">
        <v>102</v>
      </c>
      <c r="F15" s="28" t="n">
        <f>124</f>
        <v>124.0</v>
      </c>
      <c r="G15" s="25" t="n">
        <f>13226026</f>
        <v>1.3226026E7</v>
      </c>
      <c r="H15" s="25"/>
      <c r="I15" s="25" t="n">
        <f>2985613</f>
        <v>2985613.0</v>
      </c>
      <c r="J15" s="25" t="n">
        <f>106662</f>
        <v>106662.0</v>
      </c>
      <c r="K15" s="25" t="n">
        <f>24078</f>
        <v>24078.0</v>
      </c>
      <c r="L15" s="2" t="s">
        <v>53</v>
      </c>
      <c r="M15" s="26" t="n">
        <f>481783</f>
        <v>481783.0</v>
      </c>
      <c r="N15" s="3" t="s">
        <v>103</v>
      </c>
      <c r="O15" s="27" t="n">
        <f>41406</f>
        <v>41406.0</v>
      </c>
      <c r="P15" s="29" t="s">
        <v>104</v>
      </c>
      <c r="Q15" s="25"/>
      <c r="R15" s="29" t="s">
        <v>105</v>
      </c>
      <c r="S15" s="25" t="n">
        <f>2362683803795</f>
        <v>2.362683803795E12</v>
      </c>
      <c r="T15" s="25" t="n">
        <f>531383348803</f>
        <v>5.31383348803E11</v>
      </c>
      <c r="U15" s="3" t="s">
        <v>53</v>
      </c>
      <c r="V15" s="27" t="n">
        <f>10313099467582</f>
        <v>1.0313099467582E13</v>
      </c>
      <c r="W15" s="3" t="s">
        <v>103</v>
      </c>
      <c r="X15" s="27" t="n">
        <f>934218055030</f>
        <v>9.3421805503E11</v>
      </c>
      <c r="Y15" s="27"/>
      <c r="Z15" s="25" t="n">
        <f>1455899</f>
        <v>1455899.0</v>
      </c>
      <c r="AA15" s="25" t="n">
        <f>426448</f>
        <v>426448.0</v>
      </c>
      <c r="AB15" s="2" t="s">
        <v>53</v>
      </c>
      <c r="AC15" s="26" t="n">
        <f>595659</f>
        <v>595659.0</v>
      </c>
      <c r="AD15" s="3" t="s">
        <v>106</v>
      </c>
      <c r="AE15" s="27" t="n">
        <f>359928</f>
        <v>359928.0</v>
      </c>
    </row>
    <row r="16">
      <c r="A16" s="20" t="s">
        <v>46</v>
      </c>
      <c r="B16" s="21" t="s">
        <v>47</v>
      </c>
      <c r="C16" s="22"/>
      <c r="D16" s="23"/>
      <c r="E16" s="24" t="s">
        <v>107</v>
      </c>
      <c r="F16" s="28" t="n">
        <f>117</f>
        <v>117.0</v>
      </c>
      <c r="G16" s="25" t="n">
        <f>11551644</f>
        <v>1.1551644E7</v>
      </c>
      <c r="H16" s="25"/>
      <c r="I16" s="25" t="n">
        <f>2632262</f>
        <v>2632262.0</v>
      </c>
      <c r="J16" s="25" t="n">
        <f>98732</f>
        <v>98732.0</v>
      </c>
      <c r="K16" s="25" t="n">
        <f>22498</f>
        <v>22498.0</v>
      </c>
      <c r="L16" s="2" t="s">
        <v>97</v>
      </c>
      <c r="M16" s="26" t="n">
        <f>394710</f>
        <v>394710.0</v>
      </c>
      <c r="N16" s="3" t="s">
        <v>108</v>
      </c>
      <c r="O16" s="27" t="n">
        <f>38789</f>
        <v>38789.0</v>
      </c>
      <c r="P16" s="29" t="s">
        <v>109</v>
      </c>
      <c r="Q16" s="25"/>
      <c r="R16" s="29" t="s">
        <v>110</v>
      </c>
      <c r="S16" s="25" t="n">
        <f>2087025903774</f>
        <v>2.087025903774E12</v>
      </c>
      <c r="T16" s="25" t="n">
        <f>475715489261</f>
        <v>4.75715489261E11</v>
      </c>
      <c r="U16" s="3" t="s">
        <v>97</v>
      </c>
      <c r="V16" s="27" t="n">
        <f>8503463948829</f>
        <v>8.503463948829E12</v>
      </c>
      <c r="W16" s="3" t="s">
        <v>108</v>
      </c>
      <c r="X16" s="27" t="n">
        <f>861142995080</f>
        <v>8.6114299508E11</v>
      </c>
      <c r="Y16" s="27"/>
      <c r="Z16" s="25" t="n">
        <f>1123170</f>
        <v>1123170.0</v>
      </c>
      <c r="AA16" s="25" t="n">
        <f>331380</f>
        <v>331380.0</v>
      </c>
      <c r="AB16" s="2" t="s">
        <v>111</v>
      </c>
      <c r="AC16" s="26" t="n">
        <f>521865</f>
        <v>521865.0</v>
      </c>
      <c r="AD16" s="3" t="s">
        <v>112</v>
      </c>
      <c r="AE16" s="27" t="n">
        <f>328183</f>
        <v>328183.0</v>
      </c>
    </row>
    <row r="17">
      <c r="A17" s="20" t="s">
        <v>46</v>
      </c>
      <c r="B17" s="21" t="s">
        <v>47</v>
      </c>
      <c r="C17" s="22"/>
      <c r="D17" s="23"/>
      <c r="E17" s="24" t="s">
        <v>113</v>
      </c>
      <c r="F17" s="28" t="n">
        <f>124</f>
        <v>124.0</v>
      </c>
      <c r="G17" s="25" t="n">
        <f>10975545</f>
        <v>1.0975545E7</v>
      </c>
      <c r="H17" s="25"/>
      <c r="I17" s="25" t="n">
        <f>2558798</f>
        <v>2558798.0</v>
      </c>
      <c r="J17" s="25" t="n">
        <f>88512</f>
        <v>88512.0</v>
      </c>
      <c r="K17" s="25" t="n">
        <f>20635</f>
        <v>20635.0</v>
      </c>
      <c r="L17" s="2" t="s">
        <v>49</v>
      </c>
      <c r="M17" s="26" t="n">
        <f>351526</f>
        <v>351526.0</v>
      </c>
      <c r="N17" s="3" t="s">
        <v>114</v>
      </c>
      <c r="O17" s="27" t="n">
        <f>12395</f>
        <v>12395.0</v>
      </c>
      <c r="P17" s="29" t="s">
        <v>115</v>
      </c>
      <c r="Q17" s="25"/>
      <c r="R17" s="29" t="s">
        <v>116</v>
      </c>
      <c r="S17" s="25" t="n">
        <f>1950118241758</f>
        <v>1.950118241758E12</v>
      </c>
      <c r="T17" s="25" t="n">
        <f>455436259379</f>
        <v>4.55436259379E11</v>
      </c>
      <c r="U17" s="3" t="s">
        <v>49</v>
      </c>
      <c r="V17" s="27" t="n">
        <f>8216738191725</f>
        <v>8.216738191725E12</v>
      </c>
      <c r="W17" s="3" t="s">
        <v>114</v>
      </c>
      <c r="X17" s="27" t="n">
        <f>294315870660</f>
        <v>2.9431587066E11</v>
      </c>
      <c r="Y17" s="27"/>
      <c r="Z17" s="25" t="n">
        <f>1100505</f>
        <v>1100505.0</v>
      </c>
      <c r="AA17" s="25" t="n">
        <f>335127</f>
        <v>335127.0</v>
      </c>
      <c r="AB17" s="2" t="s">
        <v>117</v>
      </c>
      <c r="AC17" s="26" t="n">
        <f>460255</f>
        <v>460255.0</v>
      </c>
      <c r="AD17" s="3" t="s">
        <v>118</v>
      </c>
      <c r="AE17" s="27" t="n">
        <f>330142</f>
        <v>330142.0</v>
      </c>
    </row>
    <row r="18">
      <c r="A18" s="20" t="s">
        <v>46</v>
      </c>
      <c r="B18" s="21" t="s">
        <v>47</v>
      </c>
      <c r="C18" s="22"/>
      <c r="D18" s="23"/>
      <c r="E18" s="24" t="s">
        <v>119</v>
      </c>
      <c r="F18" s="28" t="n">
        <f>119</f>
        <v>119.0</v>
      </c>
      <c r="G18" s="25" t="n">
        <f>16657446</f>
        <v>1.6657446E7</v>
      </c>
      <c r="H18" s="25"/>
      <c r="I18" s="25" t="n">
        <f>3657036</f>
        <v>3657036.0</v>
      </c>
      <c r="J18" s="25" t="n">
        <f>139979</f>
        <v>139979.0</v>
      </c>
      <c r="K18" s="25" t="n">
        <f>30731</f>
        <v>30731.0</v>
      </c>
      <c r="L18" s="2" t="s">
        <v>56</v>
      </c>
      <c r="M18" s="26" t="n">
        <f>623938</f>
        <v>623938.0</v>
      </c>
      <c r="N18" s="3" t="s">
        <v>120</v>
      </c>
      <c r="O18" s="27" t="n">
        <f>33300</f>
        <v>33300.0</v>
      </c>
      <c r="P18" s="29" t="s">
        <v>121</v>
      </c>
      <c r="Q18" s="25"/>
      <c r="R18" s="29" t="s">
        <v>122</v>
      </c>
      <c r="S18" s="25" t="n">
        <f>2916754463407</f>
        <v>2.916754463407E12</v>
      </c>
      <c r="T18" s="25" t="n">
        <f>636570431390</f>
        <v>6.3657043139E11</v>
      </c>
      <c r="U18" s="3" t="s">
        <v>56</v>
      </c>
      <c r="V18" s="27" t="n">
        <f>12064388567567</f>
        <v>1.2064388567567E13</v>
      </c>
      <c r="W18" s="3" t="s">
        <v>120</v>
      </c>
      <c r="X18" s="27" t="n">
        <f>800373387660</f>
        <v>8.0037338766E11</v>
      </c>
      <c r="Y18" s="27"/>
      <c r="Z18" s="25" t="n">
        <f>1368146</f>
        <v>1368146.0</v>
      </c>
      <c r="AA18" s="25" t="n">
        <f>415482</f>
        <v>415482.0</v>
      </c>
      <c r="AB18" s="2" t="s">
        <v>60</v>
      </c>
      <c r="AC18" s="26" t="n">
        <f>616809</f>
        <v>616809.0</v>
      </c>
      <c r="AD18" s="3" t="s">
        <v>123</v>
      </c>
      <c r="AE18" s="27" t="n">
        <f>331890</f>
        <v>331890.0</v>
      </c>
    </row>
    <row r="19">
      <c r="A19" s="20" t="s">
        <v>46</v>
      </c>
      <c r="B19" s="21" t="s">
        <v>47</v>
      </c>
      <c r="C19" s="22"/>
      <c r="D19" s="23"/>
      <c r="E19" s="24" t="s">
        <v>124</v>
      </c>
      <c r="F19" s="28" t="n">
        <f>124</f>
        <v>124.0</v>
      </c>
      <c r="G19" s="25" t="n">
        <f>10513567</f>
        <v>1.0513567E7</v>
      </c>
      <c r="H19" s="25"/>
      <c r="I19" s="25" t="n">
        <f>2320390</f>
        <v>2320390.0</v>
      </c>
      <c r="J19" s="25" t="n">
        <f>84787</f>
        <v>84787.0</v>
      </c>
      <c r="K19" s="25" t="n">
        <f>18713</f>
        <v>18713.0</v>
      </c>
      <c r="L19" s="2" t="s">
        <v>125</v>
      </c>
      <c r="M19" s="26" t="n">
        <f>364653</f>
        <v>364653.0</v>
      </c>
      <c r="N19" s="3" t="s">
        <v>114</v>
      </c>
      <c r="O19" s="27" t="n">
        <f>13578</f>
        <v>13578.0</v>
      </c>
      <c r="P19" s="29" t="s">
        <v>126</v>
      </c>
      <c r="Q19" s="25"/>
      <c r="R19" s="29" t="s">
        <v>127</v>
      </c>
      <c r="S19" s="25" t="n">
        <f>2044834067633</f>
        <v>2.044834067633E12</v>
      </c>
      <c r="T19" s="25" t="n">
        <f>455335865488</f>
        <v>4.55335865488E11</v>
      </c>
      <c r="U19" s="3" t="s">
        <v>128</v>
      </c>
      <c r="V19" s="27" t="n">
        <f>9030366926362</f>
        <v>9.030366926362E12</v>
      </c>
      <c r="W19" s="3" t="s">
        <v>114</v>
      </c>
      <c r="X19" s="27" t="n">
        <f>361421139100</f>
        <v>3.614211391E11</v>
      </c>
      <c r="Y19" s="27"/>
      <c r="Z19" s="25" t="n">
        <f>889614</f>
        <v>889614.0</v>
      </c>
      <c r="AA19" s="25" t="n">
        <f>304922</f>
        <v>304922.0</v>
      </c>
      <c r="AB19" s="2" t="s">
        <v>125</v>
      </c>
      <c r="AC19" s="26" t="n">
        <f>535135</f>
        <v>535135.0</v>
      </c>
      <c r="AD19" s="3" t="s">
        <v>129</v>
      </c>
      <c r="AE19" s="27" t="n">
        <f>304922</f>
        <v>304922.0</v>
      </c>
    </row>
    <row r="20">
      <c r="A20" s="20" t="s">
        <v>46</v>
      </c>
      <c r="B20" s="21" t="s">
        <v>47</v>
      </c>
      <c r="C20" s="22"/>
      <c r="D20" s="23"/>
      <c r="E20" s="24" t="s">
        <v>130</v>
      </c>
      <c r="F20" s="28" t="n">
        <f>121</f>
        <v>121.0</v>
      </c>
      <c r="G20" s="25" t="n">
        <f>9037639</f>
        <v>9037639.0</v>
      </c>
      <c r="H20" s="25"/>
      <c r="I20" s="25" t="n">
        <f>2243376</f>
        <v>2243376.0</v>
      </c>
      <c r="J20" s="25" t="n">
        <f>74691</f>
        <v>74691.0</v>
      </c>
      <c r="K20" s="25" t="n">
        <f>18540</f>
        <v>18540.0</v>
      </c>
      <c r="L20" s="2" t="s">
        <v>74</v>
      </c>
      <c r="M20" s="26" t="n">
        <f>390095</f>
        <v>390095.0</v>
      </c>
      <c r="N20" s="3" t="s">
        <v>131</v>
      </c>
      <c r="O20" s="27" t="n">
        <f>27894</f>
        <v>27894.0</v>
      </c>
      <c r="P20" s="29" t="s">
        <v>132</v>
      </c>
      <c r="Q20" s="25"/>
      <c r="R20" s="29" t="s">
        <v>133</v>
      </c>
      <c r="S20" s="25" t="n">
        <f>2159012450861</f>
        <v>2.159012450861E12</v>
      </c>
      <c r="T20" s="25" t="n">
        <f>536001892439</f>
        <v>5.36001892439E11</v>
      </c>
      <c r="U20" s="3" t="s">
        <v>74</v>
      </c>
      <c r="V20" s="27" t="n">
        <f>11231687743747</f>
        <v>1.1231687743747E13</v>
      </c>
      <c r="W20" s="3" t="s">
        <v>131</v>
      </c>
      <c r="X20" s="27" t="n">
        <f>808607030830</f>
        <v>8.0860703083E11</v>
      </c>
      <c r="Y20" s="27"/>
      <c r="Z20" s="25" t="n">
        <f>1141694</f>
        <v>1141694.0</v>
      </c>
      <c r="AA20" s="25" t="n">
        <f>275579</f>
        <v>275579.0</v>
      </c>
      <c r="AB20" s="2" t="s">
        <v>134</v>
      </c>
      <c r="AC20" s="26" t="n">
        <f>392406</f>
        <v>392406.0</v>
      </c>
      <c r="AD20" s="3" t="s">
        <v>135</v>
      </c>
      <c r="AE20" s="27" t="n">
        <f>264002</f>
        <v>264002.0</v>
      </c>
    </row>
    <row r="21">
      <c r="A21" s="20" t="s">
        <v>46</v>
      </c>
      <c r="B21" s="21" t="s">
        <v>47</v>
      </c>
      <c r="C21" s="22"/>
      <c r="D21" s="23"/>
      <c r="E21" s="24" t="s">
        <v>136</v>
      </c>
      <c r="F21" s="28" t="n">
        <f>124</f>
        <v>124.0</v>
      </c>
      <c r="G21" s="25" t="n">
        <f>9035913</f>
        <v>9035913.0</v>
      </c>
      <c r="H21" s="25"/>
      <c r="I21" s="25" t="n">
        <f>2308977</f>
        <v>2308977.0</v>
      </c>
      <c r="J21" s="25" t="n">
        <f>72870</f>
        <v>72870.0</v>
      </c>
      <c r="K21" s="25" t="n">
        <f>18621</f>
        <v>18621.0</v>
      </c>
      <c r="L21" s="2" t="s">
        <v>137</v>
      </c>
      <c r="M21" s="26" t="n">
        <f>350924</f>
        <v>350924.0</v>
      </c>
      <c r="N21" s="3" t="s">
        <v>138</v>
      </c>
      <c r="O21" s="27" t="n">
        <f>16941</f>
        <v>16941.0</v>
      </c>
      <c r="P21" s="29" t="s">
        <v>139</v>
      </c>
      <c r="Q21" s="25"/>
      <c r="R21" s="29" t="s">
        <v>140</v>
      </c>
      <c r="S21" s="25" t="n">
        <f>2089784509284</f>
        <v>2.089784509284E12</v>
      </c>
      <c r="T21" s="25" t="n">
        <f>535032811574</f>
        <v>5.35032811574E11</v>
      </c>
      <c r="U21" s="3" t="s">
        <v>141</v>
      </c>
      <c r="V21" s="27" t="n">
        <f>10120066661710</f>
        <v>1.012006666171E13</v>
      </c>
      <c r="W21" s="3" t="s">
        <v>138</v>
      </c>
      <c r="X21" s="27" t="n">
        <f>485560644860</f>
        <v>4.8556064486E11</v>
      </c>
      <c r="Y21" s="27"/>
      <c r="Z21" s="25" t="n">
        <f>1322058</f>
        <v>1322058.0</v>
      </c>
      <c r="AA21" s="25" t="n">
        <f>247648</f>
        <v>247648.0</v>
      </c>
      <c r="AB21" s="2" t="s">
        <v>137</v>
      </c>
      <c r="AC21" s="26" t="n">
        <f>370189</f>
        <v>370189.0</v>
      </c>
      <c r="AD21" s="3" t="s">
        <v>117</v>
      </c>
      <c r="AE21" s="27" t="n">
        <f>239898</f>
        <v>239898.0</v>
      </c>
    </row>
    <row r="22">
      <c r="A22" s="20" t="s">
        <v>46</v>
      </c>
      <c r="B22" s="21" t="s">
        <v>47</v>
      </c>
      <c r="C22" s="22"/>
      <c r="D22" s="23"/>
      <c r="E22" s="24" t="s">
        <v>142</v>
      </c>
      <c r="F22" s="28" t="n">
        <f>120</f>
        <v>120.0</v>
      </c>
      <c r="G22" s="25" t="n">
        <f>11508383</f>
        <v>1.1508383E7</v>
      </c>
      <c r="H22" s="25"/>
      <c r="I22" s="25" t="n">
        <f>2425056</f>
        <v>2425056.0</v>
      </c>
      <c r="J22" s="25" t="n">
        <f>95903</f>
        <v>95903.0</v>
      </c>
      <c r="K22" s="25" t="n">
        <f>20209</f>
        <v>20209.0</v>
      </c>
      <c r="L22" s="2" t="s">
        <v>74</v>
      </c>
      <c r="M22" s="26" t="n">
        <f>392829</f>
        <v>392829.0</v>
      </c>
      <c r="N22" s="3" t="s">
        <v>143</v>
      </c>
      <c r="O22" s="27" t="n">
        <f>40078</f>
        <v>40078.0</v>
      </c>
      <c r="P22" s="29" t="s">
        <v>144</v>
      </c>
      <c r="Q22" s="25"/>
      <c r="R22" s="29" t="s">
        <v>145</v>
      </c>
      <c r="S22" s="25" t="n">
        <f>2566335402802</f>
        <v>2.566335402802E12</v>
      </c>
      <c r="T22" s="25" t="n">
        <f>539686313252</f>
        <v>5.39686313252E11</v>
      </c>
      <c r="U22" s="3" t="s">
        <v>146</v>
      </c>
      <c r="V22" s="27" t="n">
        <f>9899619089733</f>
        <v>9.899619089733E12</v>
      </c>
      <c r="W22" s="3" t="s">
        <v>143</v>
      </c>
      <c r="X22" s="27" t="n">
        <f>1070555342860</f>
        <v>1.07055534286E12</v>
      </c>
      <c r="Y22" s="27"/>
      <c r="Z22" s="25" t="n">
        <f>1404381</f>
        <v>1404381.0</v>
      </c>
      <c r="AA22" s="25" t="n">
        <f>303581</f>
        <v>303581.0</v>
      </c>
      <c r="AB22" s="2" t="s">
        <v>56</v>
      </c>
      <c r="AC22" s="26" t="n">
        <f>396220</f>
        <v>396220.0</v>
      </c>
      <c r="AD22" s="3" t="s">
        <v>147</v>
      </c>
      <c r="AE22" s="27" t="n">
        <f>250227</f>
        <v>250227.0</v>
      </c>
    </row>
    <row r="23">
      <c r="A23" s="20" t="s">
        <v>46</v>
      </c>
      <c r="B23" s="21" t="s">
        <v>47</v>
      </c>
      <c r="C23" s="22"/>
      <c r="D23" s="23"/>
      <c r="E23" s="24" t="s">
        <v>148</v>
      </c>
      <c r="F23" s="28" t="n">
        <f>124</f>
        <v>124.0</v>
      </c>
      <c r="G23" s="25" t="n">
        <f>10535145</f>
        <v>1.0535145E7</v>
      </c>
      <c r="H23" s="25"/>
      <c r="I23" s="25" t="n">
        <f>2447145</f>
        <v>2447145.0</v>
      </c>
      <c r="J23" s="25" t="n">
        <f>84961</f>
        <v>84961.0</v>
      </c>
      <c r="K23" s="25" t="n">
        <f>19735</f>
        <v>19735.0</v>
      </c>
      <c r="L23" s="2" t="s">
        <v>77</v>
      </c>
      <c r="M23" s="26" t="n">
        <f>324873</f>
        <v>324873.0</v>
      </c>
      <c r="N23" s="3" t="s">
        <v>138</v>
      </c>
      <c r="O23" s="27" t="n">
        <f>30439</f>
        <v>30439.0</v>
      </c>
      <c r="P23" s="29" t="s">
        <v>149</v>
      </c>
      <c r="Q23" s="25"/>
      <c r="R23" s="29" t="s">
        <v>150</v>
      </c>
      <c r="S23" s="25" t="n">
        <f>2323957877612</f>
        <v>2.323957877612E12</v>
      </c>
      <c r="T23" s="25" t="n">
        <f>540506466418</f>
        <v>5.40506466418E11</v>
      </c>
      <c r="U23" s="3" t="s">
        <v>77</v>
      </c>
      <c r="V23" s="27" t="n">
        <f>9038625046949</f>
        <v>9.038625046949E12</v>
      </c>
      <c r="W23" s="3" t="s">
        <v>138</v>
      </c>
      <c r="X23" s="27" t="n">
        <f>804324030078</f>
        <v>8.04324030078E11</v>
      </c>
      <c r="Y23" s="27"/>
      <c r="Z23" s="25" t="n">
        <f>1064561</f>
        <v>1064561.0</v>
      </c>
      <c r="AA23" s="25" t="n">
        <f>267254</f>
        <v>267254.0</v>
      </c>
      <c r="AB23" s="2" t="s">
        <v>90</v>
      </c>
      <c r="AC23" s="26" t="n">
        <f>369495</f>
        <v>369495.0</v>
      </c>
      <c r="AD23" s="3" t="s">
        <v>53</v>
      </c>
      <c r="AE23" s="27" t="n">
        <f>247339</f>
        <v>247339.0</v>
      </c>
    </row>
    <row r="24">
      <c r="A24" s="20" t="s">
        <v>46</v>
      </c>
      <c r="B24" s="21" t="s">
        <v>47</v>
      </c>
      <c r="C24" s="22"/>
      <c r="D24" s="23"/>
      <c r="E24" s="24" t="s">
        <v>151</v>
      </c>
      <c r="F24" s="28" t="n">
        <f>122</f>
        <v>122.0</v>
      </c>
      <c r="G24" s="25" t="n">
        <f>10949973</f>
        <v>1.0949973E7</v>
      </c>
      <c r="H24" s="25"/>
      <c r="I24" s="25" t="n">
        <f>2533701</f>
        <v>2533701.0</v>
      </c>
      <c r="J24" s="25" t="n">
        <f>89754</f>
        <v>89754.0</v>
      </c>
      <c r="K24" s="25" t="n">
        <f>20768</f>
        <v>20768.0</v>
      </c>
      <c r="L24" s="2" t="s">
        <v>152</v>
      </c>
      <c r="M24" s="26" t="n">
        <f>461072</f>
        <v>461072.0</v>
      </c>
      <c r="N24" s="3" t="s">
        <v>153</v>
      </c>
      <c r="O24" s="27" t="n">
        <f>30617</f>
        <v>30617.0</v>
      </c>
      <c r="P24" s="29" t="s">
        <v>154</v>
      </c>
      <c r="Q24" s="25"/>
      <c r="R24" s="29" t="s">
        <v>155</v>
      </c>
      <c r="S24" s="25" t="n">
        <f>2628264722274</f>
        <v>2.628264722274E12</v>
      </c>
      <c r="T24" s="25" t="n">
        <f>605309626929</f>
        <v>6.05309626929E11</v>
      </c>
      <c r="U24" s="3" t="s">
        <v>152</v>
      </c>
      <c r="V24" s="27" t="n">
        <f>14883171209843</f>
        <v>1.4883171209843E13</v>
      </c>
      <c r="W24" s="3" t="s">
        <v>153</v>
      </c>
      <c r="X24" s="27" t="n">
        <f>846185994450</f>
        <v>8.4618599445E11</v>
      </c>
      <c r="Y24" s="27"/>
      <c r="Z24" s="25" t="n">
        <f>1205449</f>
        <v>1205449.0</v>
      </c>
      <c r="AA24" s="25" t="n">
        <f>290980</f>
        <v>290980.0</v>
      </c>
      <c r="AB24" s="2" t="s">
        <v>152</v>
      </c>
      <c r="AC24" s="26" t="n">
        <f>409400</f>
        <v>409400.0</v>
      </c>
      <c r="AD24" s="3" t="s">
        <v>156</v>
      </c>
      <c r="AE24" s="27" t="n">
        <f>267480</f>
        <v>267480.0</v>
      </c>
    </row>
    <row r="25">
      <c r="A25" s="20" t="s">
        <v>46</v>
      </c>
      <c r="B25" s="21" t="s">
        <v>47</v>
      </c>
      <c r="C25" s="22"/>
      <c r="D25" s="23"/>
      <c r="E25" s="24" t="s">
        <v>157</v>
      </c>
      <c r="F25" s="28" t="n">
        <f>124</f>
        <v>124.0</v>
      </c>
      <c r="G25" s="25" t="n">
        <f>10146082</f>
        <v>1.0146082E7</v>
      </c>
      <c r="H25" s="25"/>
      <c r="I25" s="25" t="n">
        <f>2243610</f>
        <v>2243610.0</v>
      </c>
      <c r="J25" s="25" t="n">
        <f>81823</f>
        <v>81823.0</v>
      </c>
      <c r="K25" s="25" t="n">
        <f>18094</f>
        <v>18094.0</v>
      </c>
      <c r="L25" s="2" t="s">
        <v>93</v>
      </c>
      <c r="M25" s="26" t="n">
        <f>335621</f>
        <v>335621.0</v>
      </c>
      <c r="N25" s="3" t="s">
        <v>50</v>
      </c>
      <c r="O25" s="27" t="n">
        <f>17289</f>
        <v>17289.0</v>
      </c>
      <c r="P25" s="29" t="s">
        <v>158</v>
      </c>
      <c r="Q25" s="25"/>
      <c r="R25" s="29" t="s">
        <v>159</v>
      </c>
      <c r="S25" s="25" t="n">
        <f>2653449741667</f>
        <v>2.653449741667E12</v>
      </c>
      <c r="T25" s="25" t="n">
        <f>587962219933</f>
        <v>5.87962219933E11</v>
      </c>
      <c r="U25" s="3" t="s">
        <v>93</v>
      </c>
      <c r="V25" s="27" t="n">
        <f>11014894921768</f>
        <v>1.1014894921768E13</v>
      </c>
      <c r="W25" s="3" t="s">
        <v>50</v>
      </c>
      <c r="X25" s="27" t="n">
        <f>573418370000</f>
        <v>5.7341837E11</v>
      </c>
      <c r="Y25" s="27"/>
      <c r="Z25" s="25" t="n">
        <f>1233257</f>
        <v>1233257.0</v>
      </c>
      <c r="AA25" s="25" t="n">
        <f>249190</f>
        <v>249190.0</v>
      </c>
      <c r="AB25" s="2" t="s">
        <v>90</v>
      </c>
      <c r="AC25" s="26" t="n">
        <f>350050</f>
        <v>350050.0</v>
      </c>
      <c r="AD25" s="3" t="s">
        <v>53</v>
      </c>
      <c r="AE25" s="27" t="n">
        <f>243886</f>
        <v>243886.0</v>
      </c>
    </row>
    <row r="26">
      <c r="A26" s="20" t="s">
        <v>46</v>
      </c>
      <c r="B26" s="21" t="s">
        <v>47</v>
      </c>
      <c r="C26" s="22"/>
      <c r="D26" s="23"/>
      <c r="E26" s="24" t="s">
        <v>160</v>
      </c>
      <c r="F26" s="28" t="n">
        <f>58</f>
        <v>58.0</v>
      </c>
      <c r="G26" s="25" t="n">
        <f>5323020</f>
        <v>5323020.0</v>
      </c>
      <c r="H26" s="25"/>
      <c r="I26" s="25" t="n">
        <f>1173118</f>
        <v>1173118.0</v>
      </c>
      <c r="J26" s="25" t="n">
        <f>91776</f>
        <v>91776.0</v>
      </c>
      <c r="K26" s="25" t="n">
        <f>20226</f>
        <v>20226.0</v>
      </c>
      <c r="L26" s="2" t="s">
        <v>111</v>
      </c>
      <c r="M26" s="26" t="n">
        <f>488619</f>
        <v>488619.0</v>
      </c>
      <c r="N26" s="3" t="s">
        <v>161</v>
      </c>
      <c r="O26" s="27" t="n">
        <f>50069</f>
        <v>50069.0</v>
      </c>
      <c r="P26" s="29" t="s">
        <v>162</v>
      </c>
      <c r="Q26" s="25"/>
      <c r="R26" s="29" t="s">
        <v>163</v>
      </c>
      <c r="S26" s="25" t="n">
        <f>3488535973356</f>
        <v>3.488535973356E12</v>
      </c>
      <c r="T26" s="25" t="n">
        <f>776356353063</f>
        <v>7.76356353063E11</v>
      </c>
      <c r="U26" s="3" t="s">
        <v>111</v>
      </c>
      <c r="V26" s="27" t="n">
        <f>19523904099485</f>
        <v>1.9523904099485E13</v>
      </c>
      <c r="W26" s="3" t="s">
        <v>161</v>
      </c>
      <c r="X26" s="27" t="n">
        <f>1806414061980</f>
        <v>1.80641406198E12</v>
      </c>
      <c r="Y26" s="27"/>
      <c r="Z26" s="25" t="n">
        <f>714583</f>
        <v>714583.0</v>
      </c>
      <c r="AA26" s="25" t="n">
        <f>275870</f>
        <v>275870.0</v>
      </c>
      <c r="AB26" s="2" t="s">
        <v>70</v>
      </c>
      <c r="AC26" s="26" t="n">
        <f>368915</f>
        <v>368915.0</v>
      </c>
      <c r="AD26" s="3" t="s">
        <v>156</v>
      </c>
      <c r="AE26" s="27" t="n">
        <f>248287</f>
        <v>248287.0</v>
      </c>
    </row>
    <row r="27">
      <c r="A27" s="20" t="s">
        <v>164</v>
      </c>
      <c r="B27" s="21" t="s">
        <v>165</v>
      </c>
      <c r="C27" s="22"/>
      <c r="D27" s="23"/>
      <c r="E27" s="24" t="s">
        <v>48</v>
      </c>
      <c r="F27" s="28" t="n">
        <f>21</f>
        <v>21.0</v>
      </c>
      <c r="G27" s="25" t="n">
        <f>20563743</f>
        <v>2.0563743E7</v>
      </c>
      <c r="H27" s="25"/>
      <c r="I27" s="25" t="n">
        <f>548611</f>
        <v>548611.0</v>
      </c>
      <c r="J27" s="25" t="n">
        <f>979226</f>
        <v>979226.0</v>
      </c>
      <c r="K27" s="25" t="n">
        <f>26124</f>
        <v>26124.0</v>
      </c>
      <c r="L27" s="2" t="s">
        <v>49</v>
      </c>
      <c r="M27" s="26" t="n">
        <f>2059493</f>
        <v>2059493.0</v>
      </c>
      <c r="N27" s="3" t="s">
        <v>114</v>
      </c>
      <c r="O27" s="27" t="n">
        <f>191322</f>
        <v>191322.0</v>
      </c>
      <c r="P27" s="29" t="s">
        <v>166</v>
      </c>
      <c r="Q27" s="25"/>
      <c r="R27" s="29" t="s">
        <v>167</v>
      </c>
      <c r="S27" s="25" t="n">
        <f>1708777953662</f>
        <v>1.708777953662E12</v>
      </c>
      <c r="T27" s="25" t="n">
        <f>45834452838</f>
        <v>4.5834452838E10</v>
      </c>
      <c r="U27" s="3" t="s">
        <v>49</v>
      </c>
      <c r="V27" s="27" t="n">
        <f>3605171958800</f>
        <v>3.6051719588E12</v>
      </c>
      <c r="W27" s="3" t="s">
        <v>114</v>
      </c>
      <c r="X27" s="27" t="n">
        <f>340433553900</f>
        <v>3.404335539E11</v>
      </c>
      <c r="Y27" s="27"/>
      <c r="Z27" s="25" t="n">
        <f>767403</f>
        <v>767403.0</v>
      </c>
      <c r="AA27" s="25" t="n">
        <f>622140</f>
        <v>622140.0</v>
      </c>
      <c r="AB27" s="2" t="s">
        <v>53</v>
      </c>
      <c r="AC27" s="26" t="n">
        <f>917603</f>
        <v>917603.0</v>
      </c>
      <c r="AD27" s="3" t="s">
        <v>54</v>
      </c>
      <c r="AE27" s="27" t="n">
        <f>443844</f>
        <v>443844.0</v>
      </c>
    </row>
    <row r="28">
      <c r="A28" s="20" t="s">
        <v>164</v>
      </c>
      <c r="B28" s="21" t="s">
        <v>165</v>
      </c>
      <c r="C28" s="22"/>
      <c r="D28" s="23"/>
      <c r="E28" s="24" t="s">
        <v>55</v>
      </c>
      <c r="F28" s="28" t="n">
        <f>121</f>
        <v>121.0</v>
      </c>
      <c r="G28" s="25" t="n">
        <f>111136714</f>
        <v>1.11136714E8</v>
      </c>
      <c r="H28" s="25"/>
      <c r="I28" s="25" t="n">
        <f>3929771</f>
        <v>3929771.0</v>
      </c>
      <c r="J28" s="25" t="n">
        <f>918485</f>
        <v>918485.0</v>
      </c>
      <c r="K28" s="25" t="n">
        <f>32477</f>
        <v>32477.0</v>
      </c>
      <c r="L28" s="2" t="s">
        <v>168</v>
      </c>
      <c r="M28" s="26" t="n">
        <f>2081030</f>
        <v>2081030.0</v>
      </c>
      <c r="N28" s="3" t="s">
        <v>57</v>
      </c>
      <c r="O28" s="27" t="n">
        <f>452252</f>
        <v>452252.0</v>
      </c>
      <c r="P28" s="29" t="s">
        <v>169</v>
      </c>
      <c r="Q28" s="25"/>
      <c r="R28" s="29" t="s">
        <v>170</v>
      </c>
      <c r="S28" s="25" t="n">
        <f>1751845464149</f>
        <v>1.751845464149E12</v>
      </c>
      <c r="T28" s="25" t="n">
        <f>61898360466</f>
        <v>6.1898360466E10</v>
      </c>
      <c r="U28" s="3" t="s">
        <v>168</v>
      </c>
      <c r="V28" s="27" t="n">
        <f>3505714255300</f>
        <v>3.5057142553E12</v>
      </c>
      <c r="W28" s="3" t="s">
        <v>57</v>
      </c>
      <c r="X28" s="27" t="n">
        <f>812119489700</f>
        <v>8.121194897E11</v>
      </c>
      <c r="Y28" s="27"/>
      <c r="Z28" s="25" t="n">
        <f>5603993</f>
        <v>5603993.0</v>
      </c>
      <c r="AA28" s="25" t="n">
        <f>474566</f>
        <v>474566.0</v>
      </c>
      <c r="AB28" s="2" t="s">
        <v>171</v>
      </c>
      <c r="AC28" s="26" t="n">
        <f>892442</f>
        <v>892442.0</v>
      </c>
      <c r="AD28" s="3" t="s">
        <v>172</v>
      </c>
      <c r="AE28" s="27" t="n">
        <f>305402</f>
        <v>305402.0</v>
      </c>
    </row>
    <row r="29">
      <c r="A29" s="20" t="s">
        <v>164</v>
      </c>
      <c r="B29" s="21" t="s">
        <v>165</v>
      </c>
      <c r="C29" s="22"/>
      <c r="D29" s="23"/>
      <c r="E29" s="24" t="s">
        <v>62</v>
      </c>
      <c r="F29" s="28" t="n">
        <f>123</f>
        <v>123.0</v>
      </c>
      <c r="G29" s="25" t="n">
        <f>136022645</f>
        <v>1.36022645E8</v>
      </c>
      <c r="H29" s="25"/>
      <c r="I29" s="25" t="n">
        <f>5294013</f>
        <v>5294013.0</v>
      </c>
      <c r="J29" s="25" t="n">
        <f>1105875</f>
        <v>1105875.0</v>
      </c>
      <c r="K29" s="25" t="n">
        <f>43041</f>
        <v>43041.0</v>
      </c>
      <c r="L29" s="2" t="s">
        <v>63</v>
      </c>
      <c r="M29" s="26" t="n">
        <f>4893610</f>
        <v>4893610.0</v>
      </c>
      <c r="N29" s="3" t="s">
        <v>64</v>
      </c>
      <c r="O29" s="27" t="n">
        <f>341116</f>
        <v>341116.0</v>
      </c>
      <c r="P29" s="29" t="s">
        <v>173</v>
      </c>
      <c r="Q29" s="25"/>
      <c r="R29" s="29" t="s">
        <v>174</v>
      </c>
      <c r="S29" s="25" t="n">
        <f>2116246099703</f>
        <v>2.116246099703E12</v>
      </c>
      <c r="T29" s="25" t="n">
        <f>82538004206</f>
        <v>8.2538004206E10</v>
      </c>
      <c r="U29" s="3" t="s">
        <v>63</v>
      </c>
      <c r="V29" s="27" t="n">
        <f>8834987357200</f>
        <v>8.8349873572E12</v>
      </c>
      <c r="W29" s="3" t="s">
        <v>64</v>
      </c>
      <c r="X29" s="27" t="n">
        <f>642345110600</f>
        <v>6.423451106E11</v>
      </c>
      <c r="Y29" s="27"/>
      <c r="Z29" s="25" t="n">
        <f>7889876</f>
        <v>7889876.0</v>
      </c>
      <c r="AA29" s="25" t="n">
        <f>370373</f>
        <v>370373.0</v>
      </c>
      <c r="AB29" s="2" t="s">
        <v>95</v>
      </c>
      <c r="AC29" s="26" t="n">
        <f>936727</f>
        <v>936727.0</v>
      </c>
      <c r="AD29" s="3" t="s">
        <v>175</v>
      </c>
      <c r="AE29" s="27" t="n">
        <f>286666</f>
        <v>286666.0</v>
      </c>
    </row>
    <row r="30">
      <c r="A30" s="20" t="s">
        <v>164</v>
      </c>
      <c r="B30" s="21" t="s">
        <v>165</v>
      </c>
      <c r="C30" s="22"/>
      <c r="D30" s="23"/>
      <c r="E30" s="24" t="s">
        <v>69</v>
      </c>
      <c r="F30" s="28" t="n">
        <f>122</f>
        <v>122.0</v>
      </c>
      <c r="G30" s="25" t="n">
        <f>134301868</f>
        <v>1.34301868E8</v>
      </c>
      <c r="H30" s="25"/>
      <c r="I30" s="25" t="n">
        <f>6286630</f>
        <v>6286630.0</v>
      </c>
      <c r="J30" s="25" t="n">
        <f>1100835</f>
        <v>1100835.0</v>
      </c>
      <c r="K30" s="25" t="n">
        <f>51530</f>
        <v>51530.0</v>
      </c>
      <c r="L30" s="2" t="s">
        <v>176</v>
      </c>
      <c r="M30" s="26" t="n">
        <f>2458131</f>
        <v>2458131.0</v>
      </c>
      <c r="N30" s="3" t="s">
        <v>177</v>
      </c>
      <c r="O30" s="27" t="n">
        <f>448628</f>
        <v>448628.0</v>
      </c>
      <c r="P30" s="29" t="s">
        <v>178</v>
      </c>
      <c r="Q30" s="25"/>
      <c r="R30" s="29" t="s">
        <v>179</v>
      </c>
      <c r="S30" s="25" t="n">
        <f>1828972385584</f>
        <v>1.828972385584E12</v>
      </c>
      <c r="T30" s="25" t="n">
        <f>85685316918</f>
        <v>8.5685316918E10</v>
      </c>
      <c r="U30" s="3" t="s">
        <v>176</v>
      </c>
      <c r="V30" s="27" t="n">
        <f>4023646659500</f>
        <v>4.0236466595E12</v>
      </c>
      <c r="W30" s="3" t="s">
        <v>177</v>
      </c>
      <c r="X30" s="27" t="n">
        <f>760283689400</f>
        <v>7.602836894E11</v>
      </c>
      <c r="Y30" s="27"/>
      <c r="Z30" s="25" t="n">
        <f>9027941</f>
        <v>9027941.0</v>
      </c>
      <c r="AA30" s="25" t="n">
        <f>428297</f>
        <v>428297.0</v>
      </c>
      <c r="AB30" s="2" t="s">
        <v>180</v>
      </c>
      <c r="AC30" s="26" t="n">
        <f>880725</f>
        <v>880725.0</v>
      </c>
      <c r="AD30" s="3" t="s">
        <v>75</v>
      </c>
      <c r="AE30" s="27" t="n">
        <f>254479</f>
        <v>254479.0</v>
      </c>
    </row>
    <row r="31">
      <c r="A31" s="20" t="s">
        <v>164</v>
      </c>
      <c r="B31" s="21" t="s">
        <v>165</v>
      </c>
      <c r="C31" s="22"/>
      <c r="D31" s="23"/>
      <c r="E31" s="24" t="s">
        <v>76</v>
      </c>
      <c r="F31" s="28" t="n">
        <f>123</f>
        <v>123.0</v>
      </c>
      <c r="G31" s="25" t="n">
        <f>99638505</f>
        <v>9.9638505E7</v>
      </c>
      <c r="H31" s="25"/>
      <c r="I31" s="25" t="n">
        <f>4547963</f>
        <v>4547963.0</v>
      </c>
      <c r="J31" s="25" t="n">
        <f>810069</f>
        <v>810069.0</v>
      </c>
      <c r="K31" s="25" t="n">
        <f>36975</f>
        <v>36975.0</v>
      </c>
      <c r="L31" s="2" t="s">
        <v>181</v>
      </c>
      <c r="M31" s="26" t="n">
        <f>3039238</f>
        <v>3039238.0</v>
      </c>
      <c r="N31" s="3" t="s">
        <v>50</v>
      </c>
      <c r="O31" s="27" t="n">
        <f>336109</f>
        <v>336109.0</v>
      </c>
      <c r="P31" s="29" t="s">
        <v>182</v>
      </c>
      <c r="Q31" s="25"/>
      <c r="R31" s="29" t="s">
        <v>183</v>
      </c>
      <c r="S31" s="25" t="n">
        <f>1391683022074</f>
        <v>1.391683022074E12</v>
      </c>
      <c r="T31" s="25" t="n">
        <f>63440134427</f>
        <v>6.3440134427E10</v>
      </c>
      <c r="U31" s="3" t="s">
        <v>181</v>
      </c>
      <c r="V31" s="27" t="n">
        <f>5094447340200</f>
        <v>5.0944473402E12</v>
      </c>
      <c r="W31" s="3" t="s">
        <v>80</v>
      </c>
      <c r="X31" s="27" t="n">
        <f>627574987600</f>
        <v>6.275749876E11</v>
      </c>
      <c r="Y31" s="27"/>
      <c r="Z31" s="25" t="n">
        <f>5781548</f>
        <v>5781548.0</v>
      </c>
      <c r="AA31" s="25" t="n">
        <f>579972</f>
        <v>579972.0</v>
      </c>
      <c r="AB31" s="2" t="s">
        <v>81</v>
      </c>
      <c r="AC31" s="26" t="n">
        <f>700096</f>
        <v>700096.0</v>
      </c>
      <c r="AD31" s="3" t="s">
        <v>82</v>
      </c>
      <c r="AE31" s="27" t="n">
        <f>243378</f>
        <v>243378.0</v>
      </c>
    </row>
    <row r="32">
      <c r="A32" s="20" t="s">
        <v>164</v>
      </c>
      <c r="B32" s="21" t="s">
        <v>165</v>
      </c>
      <c r="C32" s="22"/>
      <c r="D32" s="23"/>
      <c r="E32" s="24" t="s">
        <v>83</v>
      </c>
      <c r="F32" s="28" t="n">
        <f>123</f>
        <v>123.0</v>
      </c>
      <c r="G32" s="25" t="n">
        <f>108930459</f>
        <v>1.08930459E8</v>
      </c>
      <c r="H32" s="25"/>
      <c r="I32" s="25" t="n">
        <f>4913111</f>
        <v>4913111.0</v>
      </c>
      <c r="J32" s="25" t="n">
        <f>885613</f>
        <v>885613.0</v>
      </c>
      <c r="K32" s="25" t="n">
        <f>39944</f>
        <v>39944.0</v>
      </c>
      <c r="L32" s="2" t="s">
        <v>184</v>
      </c>
      <c r="M32" s="26" t="n">
        <f>1786423</f>
        <v>1786423.0</v>
      </c>
      <c r="N32" s="3" t="s">
        <v>185</v>
      </c>
      <c r="O32" s="27" t="n">
        <f>440795</f>
        <v>440795.0</v>
      </c>
      <c r="P32" s="29" t="s">
        <v>186</v>
      </c>
      <c r="Q32" s="25"/>
      <c r="R32" s="29" t="s">
        <v>187</v>
      </c>
      <c r="S32" s="25" t="n">
        <f>1712046102663</f>
        <v>1.712046102663E12</v>
      </c>
      <c r="T32" s="25" t="n">
        <f>77332575533</f>
        <v>7.7332575533E10</v>
      </c>
      <c r="U32" s="3" t="s">
        <v>184</v>
      </c>
      <c r="V32" s="27" t="n">
        <f>3479158552000</f>
        <v>3.479158552E12</v>
      </c>
      <c r="W32" s="3" t="s">
        <v>185</v>
      </c>
      <c r="X32" s="27" t="n">
        <f>850877209600</f>
        <v>8.508772096E11</v>
      </c>
      <c r="Y32" s="27"/>
      <c r="Z32" s="25" t="n">
        <f>6975612</f>
        <v>6975612.0</v>
      </c>
      <c r="AA32" s="25" t="n">
        <f>402348</f>
        <v>402348.0</v>
      </c>
      <c r="AB32" s="2" t="s">
        <v>188</v>
      </c>
      <c r="AC32" s="26" t="n">
        <f>756915</f>
        <v>756915.0</v>
      </c>
      <c r="AD32" s="3" t="s">
        <v>189</v>
      </c>
      <c r="AE32" s="27" t="n">
        <f>296343</f>
        <v>296343.0</v>
      </c>
    </row>
    <row r="33">
      <c r="A33" s="20" t="s">
        <v>164</v>
      </c>
      <c r="B33" s="21" t="s">
        <v>165</v>
      </c>
      <c r="C33" s="22"/>
      <c r="D33" s="23"/>
      <c r="E33" s="24" t="s">
        <v>89</v>
      </c>
      <c r="F33" s="28" t="n">
        <f>124</f>
        <v>124.0</v>
      </c>
      <c r="G33" s="25" t="n">
        <f>110587591</f>
        <v>1.10587591E8</v>
      </c>
      <c r="H33" s="25"/>
      <c r="I33" s="25" t="n">
        <f>5944408</f>
        <v>5944408.0</v>
      </c>
      <c r="J33" s="25" t="n">
        <f>891835</f>
        <v>891835.0</v>
      </c>
      <c r="K33" s="25" t="n">
        <f>47939</f>
        <v>47939.0</v>
      </c>
      <c r="L33" s="2" t="s">
        <v>181</v>
      </c>
      <c r="M33" s="26" t="n">
        <f>2436690</f>
        <v>2436690.0</v>
      </c>
      <c r="N33" s="3" t="s">
        <v>50</v>
      </c>
      <c r="O33" s="27" t="n">
        <f>193505</f>
        <v>193505.0</v>
      </c>
      <c r="P33" s="29" t="s">
        <v>190</v>
      </c>
      <c r="Q33" s="25"/>
      <c r="R33" s="29" t="s">
        <v>191</v>
      </c>
      <c r="S33" s="25" t="n">
        <f>1891094722807</f>
        <v>1.891094722807E12</v>
      </c>
      <c r="T33" s="25" t="n">
        <f>102697802593</f>
        <v>1.02697802593E11</v>
      </c>
      <c r="U33" s="3" t="s">
        <v>181</v>
      </c>
      <c r="V33" s="27" t="n">
        <f>5617578175956</f>
        <v>5.617578175956E12</v>
      </c>
      <c r="W33" s="3" t="s">
        <v>50</v>
      </c>
      <c r="X33" s="27" t="n">
        <f>442637806800</f>
        <v>4.426378068E11</v>
      </c>
      <c r="Y33" s="27"/>
      <c r="Z33" s="25" t="n">
        <f>8120121</f>
        <v>8120121.0</v>
      </c>
      <c r="AA33" s="25" t="n">
        <f>683633</f>
        <v>683633.0</v>
      </c>
      <c r="AB33" s="2" t="s">
        <v>192</v>
      </c>
      <c r="AC33" s="26" t="n">
        <f>816496</f>
        <v>816496.0</v>
      </c>
      <c r="AD33" s="3" t="s">
        <v>95</v>
      </c>
      <c r="AE33" s="27" t="n">
        <f>311359</f>
        <v>311359.0</v>
      </c>
    </row>
    <row r="34">
      <c r="A34" s="20" t="s">
        <v>164</v>
      </c>
      <c r="B34" s="21" t="s">
        <v>165</v>
      </c>
      <c r="C34" s="22"/>
      <c r="D34" s="23"/>
      <c r="E34" s="24" t="s">
        <v>96</v>
      </c>
      <c r="F34" s="28" t="n">
        <f>121</f>
        <v>121.0</v>
      </c>
      <c r="G34" s="25" t="n">
        <f>129540189</f>
        <v>1.29540189E8</v>
      </c>
      <c r="H34" s="25"/>
      <c r="I34" s="25" t="n">
        <f>6937089</f>
        <v>6937089.0</v>
      </c>
      <c r="J34" s="25" t="n">
        <f>1070580</f>
        <v>1070580.0</v>
      </c>
      <c r="K34" s="25" t="n">
        <f>57331</f>
        <v>57331.0</v>
      </c>
      <c r="L34" s="2" t="s">
        <v>193</v>
      </c>
      <c r="M34" s="26" t="n">
        <f>3415767</f>
        <v>3415767.0</v>
      </c>
      <c r="N34" s="3" t="s">
        <v>194</v>
      </c>
      <c r="O34" s="27" t="n">
        <f>370324</f>
        <v>370324.0</v>
      </c>
      <c r="P34" s="29" t="s">
        <v>195</v>
      </c>
      <c r="Q34" s="25"/>
      <c r="R34" s="29" t="s">
        <v>196</v>
      </c>
      <c r="S34" s="25" t="n">
        <f>2373478050077</f>
        <v>2.373478050077E12</v>
      </c>
      <c r="T34" s="25" t="n">
        <f>127387631147</f>
        <v>1.27387631147E11</v>
      </c>
      <c r="U34" s="3" t="s">
        <v>193</v>
      </c>
      <c r="V34" s="27" t="n">
        <f>7466438977550</f>
        <v>7.46643897755E12</v>
      </c>
      <c r="W34" s="3" t="s">
        <v>194</v>
      </c>
      <c r="X34" s="27" t="n">
        <f>851457037400</f>
        <v>8.514570374E11</v>
      </c>
      <c r="Y34" s="27"/>
      <c r="Z34" s="25" t="n">
        <f>9144621</f>
        <v>9144621.0</v>
      </c>
      <c r="AA34" s="25" t="n">
        <f>332000</f>
        <v>332000.0</v>
      </c>
      <c r="AB34" s="2" t="s">
        <v>70</v>
      </c>
      <c r="AC34" s="26" t="n">
        <f>1255998</f>
        <v>1255998.0</v>
      </c>
      <c r="AD34" s="3" t="s">
        <v>101</v>
      </c>
      <c r="AE34" s="27" t="n">
        <f>236192</f>
        <v>236192.0</v>
      </c>
    </row>
    <row r="35">
      <c r="A35" s="20" t="s">
        <v>164</v>
      </c>
      <c r="B35" s="21" t="s">
        <v>165</v>
      </c>
      <c r="C35" s="22"/>
      <c r="D35" s="23"/>
      <c r="E35" s="24" t="s">
        <v>102</v>
      </c>
      <c r="F35" s="28" t="n">
        <f>124</f>
        <v>124.0</v>
      </c>
      <c r="G35" s="25" t="n">
        <f>143787274</f>
        <v>1.43787274E8</v>
      </c>
      <c r="H35" s="25"/>
      <c r="I35" s="25" t="n">
        <f>8594959</f>
        <v>8594959.0</v>
      </c>
      <c r="J35" s="25" t="n">
        <f>1159575</f>
        <v>1159575.0</v>
      </c>
      <c r="K35" s="25" t="n">
        <f>69314</f>
        <v>69314.0</v>
      </c>
      <c r="L35" s="2" t="s">
        <v>197</v>
      </c>
      <c r="M35" s="26" t="n">
        <f>2659660</f>
        <v>2659660.0</v>
      </c>
      <c r="N35" s="3" t="s">
        <v>198</v>
      </c>
      <c r="O35" s="27" t="n">
        <f>591274</f>
        <v>591274.0</v>
      </c>
      <c r="P35" s="29" t="s">
        <v>199</v>
      </c>
      <c r="Q35" s="25"/>
      <c r="R35" s="29" t="s">
        <v>200</v>
      </c>
      <c r="S35" s="25" t="n">
        <f>2572588514939</f>
        <v>2.572588514939E12</v>
      </c>
      <c r="T35" s="25" t="n">
        <f>153701927934</f>
        <v>1.53701927934E11</v>
      </c>
      <c r="U35" s="3" t="s">
        <v>197</v>
      </c>
      <c r="V35" s="27" t="n">
        <f>6081735038130</f>
        <v>6.08173503813E12</v>
      </c>
      <c r="W35" s="3" t="s">
        <v>198</v>
      </c>
      <c r="X35" s="27" t="n">
        <f>1337191208550</f>
        <v>1.33719120855E12</v>
      </c>
      <c r="Y35" s="27"/>
      <c r="Z35" s="25" t="n">
        <f>10666642</f>
        <v>1.0666642E7</v>
      </c>
      <c r="AA35" s="25" t="n">
        <f>1279710</f>
        <v>1279710.0</v>
      </c>
      <c r="AB35" s="2" t="s">
        <v>64</v>
      </c>
      <c r="AC35" s="26" t="n">
        <f>1279710</f>
        <v>1279710.0</v>
      </c>
      <c r="AD35" s="3" t="s">
        <v>106</v>
      </c>
      <c r="AE35" s="27" t="n">
        <f>315927</f>
        <v>315927.0</v>
      </c>
    </row>
    <row r="36">
      <c r="A36" s="20" t="s">
        <v>164</v>
      </c>
      <c r="B36" s="21" t="s">
        <v>165</v>
      </c>
      <c r="C36" s="22"/>
      <c r="D36" s="23"/>
      <c r="E36" s="24" t="s">
        <v>107</v>
      </c>
      <c r="F36" s="28" t="n">
        <f>117</f>
        <v>117.0</v>
      </c>
      <c r="G36" s="25" t="n">
        <f>121359723</f>
        <v>1.21359723E8</v>
      </c>
      <c r="H36" s="25"/>
      <c r="I36" s="25" t="n">
        <f>7518674</f>
        <v>7518674.0</v>
      </c>
      <c r="J36" s="25" t="n">
        <f>1037263</f>
        <v>1037263.0</v>
      </c>
      <c r="K36" s="25" t="n">
        <f>64262</f>
        <v>64262.0</v>
      </c>
      <c r="L36" s="2" t="s">
        <v>201</v>
      </c>
      <c r="M36" s="26" t="n">
        <f>2054959</f>
        <v>2054959.0</v>
      </c>
      <c r="N36" s="3" t="s">
        <v>108</v>
      </c>
      <c r="O36" s="27" t="n">
        <f>518309</f>
        <v>518309.0</v>
      </c>
      <c r="P36" s="29" t="s">
        <v>202</v>
      </c>
      <c r="Q36" s="25"/>
      <c r="R36" s="29" t="s">
        <v>203</v>
      </c>
      <c r="S36" s="25" t="n">
        <f>2189917305480</f>
        <v>2.18991730548E12</v>
      </c>
      <c r="T36" s="25" t="n">
        <f>135584246092</f>
        <v>1.35584246092E11</v>
      </c>
      <c r="U36" s="3" t="s">
        <v>201</v>
      </c>
      <c r="V36" s="27" t="n">
        <f>4381893628750</f>
        <v>4.38189362875E12</v>
      </c>
      <c r="W36" s="3" t="s">
        <v>108</v>
      </c>
      <c r="X36" s="27" t="n">
        <f>1150748727200</f>
        <v>1.1507487272E12</v>
      </c>
      <c r="Y36" s="27"/>
      <c r="Z36" s="25" t="n">
        <f>8877249</f>
        <v>8877249.0</v>
      </c>
      <c r="AA36" s="25" t="n">
        <f>337642</f>
        <v>337642.0</v>
      </c>
      <c r="AB36" s="2" t="s">
        <v>204</v>
      </c>
      <c r="AC36" s="26" t="n">
        <f>881090</f>
        <v>881090.0</v>
      </c>
      <c r="AD36" s="3" t="s">
        <v>205</v>
      </c>
      <c r="AE36" s="27" t="n">
        <f>284867</f>
        <v>284867.0</v>
      </c>
    </row>
    <row r="37">
      <c r="A37" s="20" t="s">
        <v>164</v>
      </c>
      <c r="B37" s="21" t="s">
        <v>165</v>
      </c>
      <c r="C37" s="22"/>
      <c r="D37" s="23"/>
      <c r="E37" s="24" t="s">
        <v>113</v>
      </c>
      <c r="F37" s="28" t="n">
        <f>124</f>
        <v>124.0</v>
      </c>
      <c r="G37" s="25" t="n">
        <f>116217998</f>
        <v>1.16217998E8</v>
      </c>
      <c r="H37" s="25"/>
      <c r="I37" s="25" t="n">
        <f>7757037</f>
        <v>7757037.0</v>
      </c>
      <c r="J37" s="25" t="n">
        <f>937242</f>
        <v>937242.0</v>
      </c>
      <c r="K37" s="25" t="n">
        <f>62557</f>
        <v>62557.0</v>
      </c>
      <c r="L37" s="2" t="s">
        <v>206</v>
      </c>
      <c r="M37" s="26" t="n">
        <f>2525167</f>
        <v>2525167.0</v>
      </c>
      <c r="N37" s="3" t="s">
        <v>114</v>
      </c>
      <c r="O37" s="27" t="n">
        <f>166721</f>
        <v>166721.0</v>
      </c>
      <c r="P37" s="29" t="s">
        <v>207</v>
      </c>
      <c r="Q37" s="25"/>
      <c r="R37" s="29" t="s">
        <v>208</v>
      </c>
      <c r="S37" s="25" t="n">
        <f>2057070897025</f>
        <v>2.057070897025E12</v>
      </c>
      <c r="T37" s="25" t="n">
        <f>137866302647</f>
        <v>1.37866302647E11</v>
      </c>
      <c r="U37" s="3" t="s">
        <v>206</v>
      </c>
      <c r="V37" s="27" t="n">
        <f>5143023804200</f>
        <v>5.1430238042E12</v>
      </c>
      <c r="W37" s="3" t="s">
        <v>114</v>
      </c>
      <c r="X37" s="27" t="n">
        <f>395952456600</f>
        <v>3.959524566E11</v>
      </c>
      <c r="Y37" s="27"/>
      <c r="Z37" s="25" t="n">
        <f>9702878</f>
        <v>9702878.0</v>
      </c>
      <c r="AA37" s="25" t="n">
        <f>500550</f>
        <v>500550.0</v>
      </c>
      <c r="AB37" s="2" t="s">
        <v>206</v>
      </c>
      <c r="AC37" s="26" t="n">
        <f>1188472</f>
        <v>1188472.0</v>
      </c>
      <c r="AD37" s="3" t="s">
        <v>175</v>
      </c>
      <c r="AE37" s="27" t="n">
        <f>329725</f>
        <v>329725.0</v>
      </c>
    </row>
    <row r="38">
      <c r="A38" s="20" t="s">
        <v>164</v>
      </c>
      <c r="B38" s="21" t="s">
        <v>165</v>
      </c>
      <c r="C38" s="22"/>
      <c r="D38" s="23"/>
      <c r="E38" s="24" t="s">
        <v>119</v>
      </c>
      <c r="F38" s="28" t="n">
        <f>119</f>
        <v>119.0</v>
      </c>
      <c r="G38" s="25" t="n">
        <f>204378711</f>
        <v>2.04378711E8</v>
      </c>
      <c r="H38" s="25"/>
      <c r="I38" s="25" t="n">
        <f>15350085</f>
        <v>1.5350085E7</v>
      </c>
      <c r="J38" s="25" t="n">
        <f>1717468</f>
        <v>1717468.0</v>
      </c>
      <c r="K38" s="25" t="n">
        <f>128992</f>
        <v>128992.0</v>
      </c>
      <c r="L38" s="2" t="s">
        <v>209</v>
      </c>
      <c r="M38" s="26" t="n">
        <f>5132559</f>
        <v>5132559.0</v>
      </c>
      <c r="N38" s="3" t="s">
        <v>120</v>
      </c>
      <c r="O38" s="27" t="n">
        <f>530038</f>
        <v>530038.0</v>
      </c>
      <c r="P38" s="29" t="s">
        <v>210</v>
      </c>
      <c r="Q38" s="25"/>
      <c r="R38" s="29" t="s">
        <v>211</v>
      </c>
      <c r="S38" s="25" t="n">
        <f>3579313431289</f>
        <v>3.579313431289E12</v>
      </c>
      <c r="T38" s="25" t="n">
        <f>269514867269</f>
        <v>2.69514867269E11</v>
      </c>
      <c r="U38" s="3" t="s">
        <v>209</v>
      </c>
      <c r="V38" s="27" t="n">
        <f>10739808304500</f>
        <v>1.07398083045E13</v>
      </c>
      <c r="W38" s="3" t="s">
        <v>212</v>
      </c>
      <c r="X38" s="27" t="n">
        <f>1111682094750</f>
        <v>1.11168209475E12</v>
      </c>
      <c r="Y38" s="27"/>
      <c r="Z38" s="25" t="n">
        <f>17040402</f>
        <v>1.7040402E7</v>
      </c>
      <c r="AA38" s="25" t="n">
        <f>471176</f>
        <v>471176.0</v>
      </c>
      <c r="AB38" s="2" t="s">
        <v>60</v>
      </c>
      <c r="AC38" s="26" t="n">
        <f>2031915</f>
        <v>2031915.0</v>
      </c>
      <c r="AD38" s="3" t="s">
        <v>205</v>
      </c>
      <c r="AE38" s="27" t="n">
        <f>377605</f>
        <v>377605.0</v>
      </c>
    </row>
    <row r="39">
      <c r="A39" s="20" t="s">
        <v>164</v>
      </c>
      <c r="B39" s="21" t="s">
        <v>165</v>
      </c>
      <c r="C39" s="22"/>
      <c r="D39" s="23"/>
      <c r="E39" s="24" t="s">
        <v>124</v>
      </c>
      <c r="F39" s="28" t="n">
        <f>124</f>
        <v>124.0</v>
      </c>
      <c r="G39" s="25" t="n">
        <f>117339808</f>
        <v>1.17339808E8</v>
      </c>
      <c r="H39" s="25"/>
      <c r="I39" s="25" t="n">
        <f>8624538</f>
        <v>8624538.0</v>
      </c>
      <c r="J39" s="25" t="n">
        <f>946289</f>
        <v>946289.0</v>
      </c>
      <c r="K39" s="25" t="n">
        <f>69553</f>
        <v>69553.0</v>
      </c>
      <c r="L39" s="2" t="s">
        <v>192</v>
      </c>
      <c r="M39" s="26" t="n">
        <f>2411386</f>
        <v>2411386.0</v>
      </c>
      <c r="N39" s="3" t="s">
        <v>114</v>
      </c>
      <c r="O39" s="27" t="n">
        <f>180145</f>
        <v>180145.0</v>
      </c>
      <c r="P39" s="29" t="s">
        <v>213</v>
      </c>
      <c r="Q39" s="25"/>
      <c r="R39" s="29" t="s">
        <v>214</v>
      </c>
      <c r="S39" s="25" t="n">
        <f>2261054913343</f>
        <v>2.261054913343E12</v>
      </c>
      <c r="T39" s="25" t="n">
        <f>166887531970</f>
        <v>1.6688753197E11</v>
      </c>
      <c r="U39" s="3" t="s">
        <v>192</v>
      </c>
      <c r="V39" s="27" t="n">
        <f>6108169435077</f>
        <v>6.108169435077E12</v>
      </c>
      <c r="W39" s="3" t="s">
        <v>114</v>
      </c>
      <c r="X39" s="27" t="n">
        <f>479515208266</f>
        <v>4.79515208266E11</v>
      </c>
      <c r="Y39" s="27"/>
      <c r="Z39" s="25" t="n">
        <f>11036888</f>
        <v>1.1036888E7</v>
      </c>
      <c r="AA39" s="25" t="n">
        <f>365751</f>
        <v>365751.0</v>
      </c>
      <c r="AB39" s="2" t="s">
        <v>215</v>
      </c>
      <c r="AC39" s="26" t="n">
        <f>961200</f>
        <v>961200.0</v>
      </c>
      <c r="AD39" s="3" t="s">
        <v>216</v>
      </c>
      <c r="AE39" s="27" t="n">
        <f>279316</f>
        <v>279316.0</v>
      </c>
    </row>
    <row r="40">
      <c r="A40" s="20" t="s">
        <v>164</v>
      </c>
      <c r="B40" s="21" t="s">
        <v>165</v>
      </c>
      <c r="C40" s="22"/>
      <c r="D40" s="23"/>
      <c r="E40" s="24" t="s">
        <v>130</v>
      </c>
      <c r="F40" s="28" t="n">
        <f>121</f>
        <v>121.0</v>
      </c>
      <c r="G40" s="25" t="n">
        <f>111158141</f>
        <v>1.11158141E8</v>
      </c>
      <c r="H40" s="25"/>
      <c r="I40" s="25" t="n">
        <f>9384471</f>
        <v>9384471.0</v>
      </c>
      <c r="J40" s="25" t="n">
        <f>918662</f>
        <v>918662.0</v>
      </c>
      <c r="K40" s="25" t="n">
        <f>77558</f>
        <v>77558.0</v>
      </c>
      <c r="L40" s="2" t="s">
        <v>217</v>
      </c>
      <c r="M40" s="26" t="n">
        <f>1808540</f>
        <v>1808540.0</v>
      </c>
      <c r="N40" s="3" t="s">
        <v>131</v>
      </c>
      <c r="O40" s="27" t="n">
        <f>441617</f>
        <v>441617.0</v>
      </c>
      <c r="P40" s="29" t="s">
        <v>218</v>
      </c>
      <c r="Q40" s="25"/>
      <c r="R40" s="29" t="s">
        <v>219</v>
      </c>
      <c r="S40" s="25" t="n">
        <f>2655513584581</f>
        <v>2.655513584581E12</v>
      </c>
      <c r="T40" s="25" t="n">
        <f>224319596978</f>
        <v>2.24319596978E11</v>
      </c>
      <c r="U40" s="3" t="s">
        <v>74</v>
      </c>
      <c r="V40" s="27" t="n">
        <f>5199436588639</f>
        <v>5.199436588639E12</v>
      </c>
      <c r="W40" s="3" t="s">
        <v>131</v>
      </c>
      <c r="X40" s="27" t="n">
        <f>1280255658909</f>
        <v>1.280255658909E12</v>
      </c>
      <c r="Y40" s="27"/>
      <c r="Z40" s="25" t="n">
        <f>15319046</f>
        <v>1.5319046E7</v>
      </c>
      <c r="AA40" s="25" t="n">
        <f>255290</f>
        <v>255290.0</v>
      </c>
      <c r="AB40" s="2" t="s">
        <v>220</v>
      </c>
      <c r="AC40" s="26" t="n">
        <f>576397</f>
        <v>576397.0</v>
      </c>
      <c r="AD40" s="3" t="s">
        <v>135</v>
      </c>
      <c r="AE40" s="27" t="n">
        <f>180754</f>
        <v>180754.0</v>
      </c>
    </row>
    <row r="41">
      <c r="A41" s="20" t="s">
        <v>164</v>
      </c>
      <c r="B41" s="21" t="s">
        <v>165</v>
      </c>
      <c r="C41" s="22"/>
      <c r="D41" s="23"/>
      <c r="E41" s="24" t="s">
        <v>136</v>
      </c>
      <c r="F41" s="28" t="n">
        <f>124</f>
        <v>124.0</v>
      </c>
      <c r="G41" s="25" t="n">
        <f>112851135</f>
        <v>1.12851135E8</v>
      </c>
      <c r="H41" s="25"/>
      <c r="I41" s="25" t="n">
        <f>8805729</f>
        <v>8805729.0</v>
      </c>
      <c r="J41" s="25" t="n">
        <f>910090</f>
        <v>910090.0</v>
      </c>
      <c r="K41" s="25" t="n">
        <f>71014</f>
        <v>71014.0</v>
      </c>
      <c r="L41" s="2" t="s">
        <v>221</v>
      </c>
      <c r="M41" s="26" t="n">
        <f>1937404</f>
        <v>1937404.0</v>
      </c>
      <c r="N41" s="3" t="s">
        <v>138</v>
      </c>
      <c r="O41" s="27" t="n">
        <f>255013</f>
        <v>255013.0</v>
      </c>
      <c r="P41" s="29" t="s">
        <v>222</v>
      </c>
      <c r="Q41" s="25"/>
      <c r="R41" s="29" t="s">
        <v>223</v>
      </c>
      <c r="S41" s="25" t="n">
        <f>2602298366010</f>
        <v>2.60229836601E12</v>
      </c>
      <c r="T41" s="25" t="n">
        <f>203181383721</f>
        <v>2.03181383721E11</v>
      </c>
      <c r="U41" s="3" t="s">
        <v>221</v>
      </c>
      <c r="V41" s="27" t="n">
        <f>5508301959994</f>
        <v>5.508301959994E12</v>
      </c>
      <c r="W41" s="3" t="s">
        <v>138</v>
      </c>
      <c r="X41" s="27" t="n">
        <f>731117461929</f>
        <v>7.31117461929E11</v>
      </c>
      <c r="Y41" s="27"/>
      <c r="Z41" s="25" t="n">
        <f>15646139</f>
        <v>1.5646139E7</v>
      </c>
      <c r="AA41" s="25" t="n">
        <f>331413</f>
        <v>331413.0</v>
      </c>
      <c r="AB41" s="2" t="s">
        <v>224</v>
      </c>
      <c r="AC41" s="26" t="n">
        <f>844460</f>
        <v>844460.0</v>
      </c>
      <c r="AD41" s="3" t="s">
        <v>225</v>
      </c>
      <c r="AE41" s="27" t="n">
        <f>259563</f>
        <v>259563.0</v>
      </c>
    </row>
    <row r="42">
      <c r="A42" s="20" t="s">
        <v>164</v>
      </c>
      <c r="B42" s="21" t="s">
        <v>165</v>
      </c>
      <c r="C42" s="22"/>
      <c r="D42" s="23"/>
      <c r="E42" s="24" t="s">
        <v>142</v>
      </c>
      <c r="F42" s="28" t="n">
        <f>120</f>
        <v>120.0</v>
      </c>
      <c r="G42" s="25" t="n">
        <f>153076482</f>
        <v>1.53076482E8</v>
      </c>
      <c r="H42" s="25"/>
      <c r="I42" s="25" t="n">
        <f>11587006</f>
        <v>1.1587006E7</v>
      </c>
      <c r="J42" s="25" t="n">
        <f>1275637</f>
        <v>1275637.0</v>
      </c>
      <c r="K42" s="25" t="n">
        <f>96558</f>
        <v>96558.0</v>
      </c>
      <c r="L42" s="2" t="s">
        <v>226</v>
      </c>
      <c r="M42" s="26" t="n">
        <f>2377393</f>
        <v>2377393.0</v>
      </c>
      <c r="N42" s="3" t="s">
        <v>143</v>
      </c>
      <c r="O42" s="27" t="n">
        <f>586384</f>
        <v>586384.0</v>
      </c>
      <c r="P42" s="29" t="s">
        <v>227</v>
      </c>
      <c r="Q42" s="25"/>
      <c r="R42" s="29" t="s">
        <v>228</v>
      </c>
      <c r="S42" s="25" t="n">
        <f>3423915660844</f>
        <v>3.423915660844E12</v>
      </c>
      <c r="T42" s="25" t="n">
        <f>259534974825</f>
        <v>2.59534974825E11</v>
      </c>
      <c r="U42" s="3" t="s">
        <v>226</v>
      </c>
      <c r="V42" s="27" t="n">
        <f>6442792429340</f>
        <v>6.44279242934E12</v>
      </c>
      <c r="W42" s="3" t="s">
        <v>143</v>
      </c>
      <c r="X42" s="27" t="n">
        <f>1567603584705</f>
        <v>1.567603584705E12</v>
      </c>
      <c r="Y42" s="27"/>
      <c r="Z42" s="25" t="n">
        <f>18564397</f>
        <v>1.8564397E7</v>
      </c>
      <c r="AA42" s="25" t="n">
        <f>408066</f>
        <v>408066.0</v>
      </c>
      <c r="AB42" s="2" t="s">
        <v>70</v>
      </c>
      <c r="AC42" s="26" t="n">
        <f>632116</f>
        <v>632116.0</v>
      </c>
      <c r="AD42" s="3" t="s">
        <v>75</v>
      </c>
      <c r="AE42" s="27" t="n">
        <f>289073</f>
        <v>289073.0</v>
      </c>
    </row>
    <row r="43">
      <c r="A43" s="20" t="s">
        <v>164</v>
      </c>
      <c r="B43" s="21" t="s">
        <v>165</v>
      </c>
      <c r="C43" s="22"/>
      <c r="D43" s="23"/>
      <c r="E43" s="24" t="s">
        <v>148</v>
      </c>
      <c r="F43" s="28" t="n">
        <f>124</f>
        <v>124.0</v>
      </c>
      <c r="G43" s="25" t="n">
        <f>122386523</f>
        <v>1.22386523E8</v>
      </c>
      <c r="H43" s="25"/>
      <c r="I43" s="25" t="n">
        <f>9739141</f>
        <v>9739141.0</v>
      </c>
      <c r="J43" s="25" t="n">
        <f>986988</f>
        <v>986988.0</v>
      </c>
      <c r="K43" s="25" t="n">
        <f>78541</f>
        <v>78541.0</v>
      </c>
      <c r="L43" s="2" t="s">
        <v>229</v>
      </c>
      <c r="M43" s="26" t="n">
        <f>1810121</f>
        <v>1810121.0</v>
      </c>
      <c r="N43" s="3" t="s">
        <v>138</v>
      </c>
      <c r="O43" s="27" t="n">
        <f>371012</f>
        <v>371012.0</v>
      </c>
      <c r="P43" s="29" t="s">
        <v>230</v>
      </c>
      <c r="Q43" s="25"/>
      <c r="R43" s="29" t="s">
        <v>231</v>
      </c>
      <c r="S43" s="25" t="n">
        <f>2697994697090</f>
        <v>2.69799469709E12</v>
      </c>
      <c r="T43" s="25" t="n">
        <f>214369339172</f>
        <v>2.14369339172E11</v>
      </c>
      <c r="U43" s="3" t="s">
        <v>229</v>
      </c>
      <c r="V43" s="27" t="n">
        <f>4815734039680</f>
        <v>4.81573403968E12</v>
      </c>
      <c r="W43" s="3" t="s">
        <v>138</v>
      </c>
      <c r="X43" s="27" t="n">
        <f>980873999944</f>
        <v>9.80873999944E11</v>
      </c>
      <c r="Y43" s="27"/>
      <c r="Z43" s="25" t="n">
        <f>11956470</f>
        <v>1.195647E7</v>
      </c>
      <c r="AA43" s="25" t="n">
        <f>423184</f>
        <v>423184.0</v>
      </c>
      <c r="AB43" s="2" t="s">
        <v>232</v>
      </c>
      <c r="AC43" s="26" t="n">
        <f>630549</f>
        <v>630549.0</v>
      </c>
      <c r="AD43" s="3" t="s">
        <v>53</v>
      </c>
      <c r="AE43" s="27" t="n">
        <f>262918</f>
        <v>262918.0</v>
      </c>
    </row>
    <row r="44">
      <c r="A44" s="20" t="s">
        <v>164</v>
      </c>
      <c r="B44" s="21" t="s">
        <v>165</v>
      </c>
      <c r="C44" s="22"/>
      <c r="D44" s="23"/>
      <c r="E44" s="24" t="s">
        <v>151</v>
      </c>
      <c r="F44" s="28" t="n">
        <f>122</f>
        <v>122.0</v>
      </c>
      <c r="G44" s="25" t="n">
        <f>125557341</f>
        <v>1.25557341E8</v>
      </c>
      <c r="H44" s="25"/>
      <c r="I44" s="25" t="n">
        <f>10232819</f>
        <v>1.0232819E7</v>
      </c>
      <c r="J44" s="25" t="n">
        <f>1029159</f>
        <v>1029159.0</v>
      </c>
      <c r="K44" s="25" t="n">
        <f>83876</f>
        <v>83876.0</v>
      </c>
      <c r="L44" s="2" t="s">
        <v>233</v>
      </c>
      <c r="M44" s="26" t="n">
        <f>2207781</f>
        <v>2207781.0</v>
      </c>
      <c r="N44" s="3" t="s">
        <v>153</v>
      </c>
      <c r="O44" s="27" t="n">
        <f>487588</f>
        <v>487588.0</v>
      </c>
      <c r="P44" s="29" t="s">
        <v>234</v>
      </c>
      <c r="Q44" s="25"/>
      <c r="R44" s="29" t="s">
        <v>235</v>
      </c>
      <c r="S44" s="25" t="n">
        <f>2988694060594</f>
        <v>2.988694060594E12</v>
      </c>
      <c r="T44" s="25" t="n">
        <f>243954388891</f>
        <v>2.43954388891E11</v>
      </c>
      <c r="U44" s="3" t="s">
        <v>233</v>
      </c>
      <c r="V44" s="27" t="n">
        <f>6367255467750</f>
        <v>6.36725546775E12</v>
      </c>
      <c r="W44" s="3" t="s">
        <v>185</v>
      </c>
      <c r="X44" s="27" t="n">
        <f>1339369646965</f>
        <v>1.339369646965E12</v>
      </c>
      <c r="Y44" s="27"/>
      <c r="Z44" s="25" t="n">
        <f>12832059</f>
        <v>1.2832059E7</v>
      </c>
      <c r="AA44" s="25" t="n">
        <f>495703</f>
        <v>495703.0</v>
      </c>
      <c r="AB44" s="2" t="s">
        <v>236</v>
      </c>
      <c r="AC44" s="26" t="n">
        <f>1186941</f>
        <v>1186941.0</v>
      </c>
      <c r="AD44" s="3" t="s">
        <v>189</v>
      </c>
      <c r="AE44" s="27" t="n">
        <f>402415</f>
        <v>402415.0</v>
      </c>
    </row>
    <row r="45">
      <c r="A45" s="20" t="s">
        <v>164</v>
      </c>
      <c r="B45" s="21" t="s">
        <v>165</v>
      </c>
      <c r="C45" s="22"/>
      <c r="D45" s="23"/>
      <c r="E45" s="24" t="s">
        <v>157</v>
      </c>
      <c r="F45" s="28" t="n">
        <f>124</f>
        <v>124.0</v>
      </c>
      <c r="G45" s="25" t="n">
        <f>124928522</f>
        <v>1.24928522E8</v>
      </c>
      <c r="H45" s="25"/>
      <c r="I45" s="25" t="n">
        <f>8431068</f>
        <v>8431068.0</v>
      </c>
      <c r="J45" s="25" t="n">
        <f>1007488</f>
        <v>1007488.0</v>
      </c>
      <c r="K45" s="25" t="n">
        <f>67992</f>
        <v>67992.0</v>
      </c>
      <c r="L45" s="2" t="s">
        <v>237</v>
      </c>
      <c r="M45" s="26" t="n">
        <f>1774599</f>
        <v>1774599.0</v>
      </c>
      <c r="N45" s="3" t="s">
        <v>50</v>
      </c>
      <c r="O45" s="27" t="n">
        <f>273643</f>
        <v>273643.0</v>
      </c>
      <c r="P45" s="29" t="s">
        <v>238</v>
      </c>
      <c r="Q45" s="25"/>
      <c r="R45" s="29" t="s">
        <v>239</v>
      </c>
      <c r="S45" s="25" t="n">
        <f>3260204028190</f>
        <v>3.26020402819E12</v>
      </c>
      <c r="T45" s="25" t="n">
        <f>220003373281</f>
        <v>2.20003373281E11</v>
      </c>
      <c r="U45" s="3" t="s">
        <v>240</v>
      </c>
      <c r="V45" s="27" t="n">
        <f>5685359941085</f>
        <v>5.685359941085E12</v>
      </c>
      <c r="W45" s="3" t="s">
        <v>50</v>
      </c>
      <c r="X45" s="27" t="n">
        <f>907805977170</f>
        <v>9.0780597717E11</v>
      </c>
      <c r="Y45" s="27"/>
      <c r="Z45" s="25" t="n">
        <f>12243340</f>
        <v>1.224334E7</v>
      </c>
      <c r="AA45" s="25" t="n">
        <f>389315</f>
        <v>389315.0</v>
      </c>
      <c r="AB45" s="2" t="s">
        <v>241</v>
      </c>
      <c r="AC45" s="26" t="n">
        <f>685559</f>
        <v>685559.0</v>
      </c>
      <c r="AD45" s="3" t="s">
        <v>67</v>
      </c>
      <c r="AE45" s="27" t="n">
        <f>306791</f>
        <v>306791.0</v>
      </c>
    </row>
    <row r="46">
      <c r="A46" s="20" t="s">
        <v>164</v>
      </c>
      <c r="B46" s="21" t="s">
        <v>165</v>
      </c>
      <c r="C46" s="22"/>
      <c r="D46" s="23"/>
      <c r="E46" s="24" t="s">
        <v>160</v>
      </c>
      <c r="F46" s="28" t="n">
        <f>58</f>
        <v>58.0</v>
      </c>
      <c r="G46" s="25" t="n">
        <f>63770754</f>
        <v>6.3770754E7</v>
      </c>
      <c r="H46" s="25"/>
      <c r="I46" s="25" t="n">
        <f>4316730</f>
        <v>4316730.0</v>
      </c>
      <c r="J46" s="25" t="n">
        <f>1099496</f>
        <v>1099496.0</v>
      </c>
      <c r="K46" s="25" t="n">
        <f>74426</f>
        <v>74426.0</v>
      </c>
      <c r="L46" s="2" t="s">
        <v>242</v>
      </c>
      <c r="M46" s="26" t="n">
        <f>1681603</f>
        <v>1681603.0</v>
      </c>
      <c r="N46" s="3" t="s">
        <v>243</v>
      </c>
      <c r="O46" s="27" t="n">
        <f>612399</f>
        <v>612399.0</v>
      </c>
      <c r="P46" s="29" t="s">
        <v>244</v>
      </c>
      <c r="Q46" s="25"/>
      <c r="R46" s="29" t="s">
        <v>245</v>
      </c>
      <c r="S46" s="25" t="n">
        <f>4127939532349</f>
        <v>4.127939532349E12</v>
      </c>
      <c r="T46" s="25" t="n">
        <f>280174811312</f>
        <v>2.80174811312E11</v>
      </c>
      <c r="U46" s="3" t="s">
        <v>242</v>
      </c>
      <c r="V46" s="27" t="n">
        <f>6748756140977</f>
        <v>6.748756140977E12</v>
      </c>
      <c r="W46" s="3" t="s">
        <v>243</v>
      </c>
      <c r="X46" s="27" t="n">
        <f>2471882092940</f>
        <v>2.47188209294E12</v>
      </c>
      <c r="Y46" s="27"/>
      <c r="Z46" s="25" t="n">
        <f>6672492</f>
        <v>6672492.0</v>
      </c>
      <c r="AA46" s="25" t="n">
        <f>407679</f>
        <v>407679.0</v>
      </c>
      <c r="AB46" s="2" t="s">
        <v>70</v>
      </c>
      <c r="AC46" s="26" t="n">
        <f>650728</f>
        <v>650728.0</v>
      </c>
      <c r="AD46" s="3" t="s">
        <v>134</v>
      </c>
      <c r="AE46" s="27" t="n">
        <f>304431</f>
        <v>304431.0</v>
      </c>
    </row>
    <row r="47">
      <c r="A47" s="20" t="s">
        <v>246</v>
      </c>
      <c r="B47" s="21" t="s">
        <v>247</v>
      </c>
      <c r="C47" s="22"/>
      <c r="D47" s="23"/>
      <c r="E47" s="24" t="s">
        <v>151</v>
      </c>
      <c r="F47" s="28" t="n">
        <f>25</f>
        <v>25.0</v>
      </c>
      <c r="G47" s="25" t="n">
        <f>1246894</f>
        <v>1246894.0</v>
      </c>
      <c r="H47" s="25"/>
      <c r="I47" s="25"/>
      <c r="J47" s="25" t="n">
        <f>49876</f>
        <v>49876.0</v>
      </c>
      <c r="K47" s="25"/>
      <c r="L47" s="2" t="s">
        <v>248</v>
      </c>
      <c r="M47" s="26" t="n">
        <f>87035</f>
        <v>87035.0</v>
      </c>
      <c r="N47" s="3" t="s">
        <v>249</v>
      </c>
      <c r="O47" s="27" t="n">
        <f>4757</f>
        <v>4757.0</v>
      </c>
      <c r="P47" s="29" t="s">
        <v>250</v>
      </c>
      <c r="Q47" s="25"/>
      <c r="R47" s="29"/>
      <c r="S47" s="25" t="n">
        <f>16363354218</f>
        <v>1.6363354218E10</v>
      </c>
      <c r="T47" s="25"/>
      <c r="U47" s="3" t="s">
        <v>248</v>
      </c>
      <c r="V47" s="27" t="n">
        <f>28713215550</f>
        <v>2.871321555E10</v>
      </c>
      <c r="W47" s="3" t="s">
        <v>249</v>
      </c>
      <c r="X47" s="27" t="n">
        <f>1491738200</f>
        <v>1.4917382E9</v>
      </c>
      <c r="Y47" s="27"/>
      <c r="Z47" s="25" t="n">
        <f>4</f>
        <v>4.0</v>
      </c>
      <c r="AA47" s="25" t="n">
        <f>18054</f>
        <v>18054.0</v>
      </c>
      <c r="AB47" s="2" t="s">
        <v>251</v>
      </c>
      <c r="AC47" s="26" t="n">
        <f>18054</f>
        <v>18054.0</v>
      </c>
      <c r="AD47" s="3" t="s">
        <v>249</v>
      </c>
      <c r="AE47" s="27" t="n">
        <f>1602</f>
        <v>1602.0</v>
      </c>
    </row>
    <row r="48">
      <c r="A48" s="20" t="s">
        <v>246</v>
      </c>
      <c r="B48" s="21" t="s">
        <v>247</v>
      </c>
      <c r="C48" s="22"/>
      <c r="D48" s="23"/>
      <c r="E48" s="24" t="s">
        <v>157</v>
      </c>
      <c r="F48" s="28" t="n">
        <f>124</f>
        <v>124.0</v>
      </c>
      <c r="G48" s="25" t="n">
        <f>19575846</f>
        <v>1.9575846E7</v>
      </c>
      <c r="H48" s="25"/>
      <c r="I48" s="25"/>
      <c r="J48" s="25" t="n">
        <f>157870</f>
        <v>157870.0</v>
      </c>
      <c r="K48" s="25"/>
      <c r="L48" s="2" t="s">
        <v>252</v>
      </c>
      <c r="M48" s="26" t="n">
        <f>314690</f>
        <v>314690.0</v>
      </c>
      <c r="N48" s="3" t="s">
        <v>225</v>
      </c>
      <c r="O48" s="27" t="n">
        <f>46443</f>
        <v>46443.0</v>
      </c>
      <c r="P48" s="29" t="s">
        <v>253</v>
      </c>
      <c r="Q48" s="25"/>
      <c r="R48" s="29"/>
      <c r="S48" s="25" t="n">
        <f>51068099591</f>
        <v>5.1068099591E10</v>
      </c>
      <c r="T48" s="25"/>
      <c r="U48" s="3" t="s">
        <v>252</v>
      </c>
      <c r="V48" s="27" t="n">
        <f>97217546350</f>
        <v>9.721754635E10</v>
      </c>
      <c r="W48" s="3" t="s">
        <v>225</v>
      </c>
      <c r="X48" s="27" t="n">
        <f>15434629300</f>
        <v>1.54346293E10</v>
      </c>
      <c r="Y48" s="27"/>
      <c r="Z48" s="25" t="n">
        <f>1783</f>
        <v>1783.0</v>
      </c>
      <c r="AA48" s="25" t="n">
        <f>23302</f>
        <v>23302.0</v>
      </c>
      <c r="AB48" s="2" t="s">
        <v>128</v>
      </c>
      <c r="AC48" s="26" t="n">
        <f>62221</f>
        <v>62221.0</v>
      </c>
      <c r="AD48" s="3" t="s">
        <v>254</v>
      </c>
      <c r="AE48" s="27" t="n">
        <f>12847</f>
        <v>12847.0</v>
      </c>
    </row>
    <row r="49">
      <c r="A49" s="20" t="s">
        <v>246</v>
      </c>
      <c r="B49" s="21" t="s">
        <v>247</v>
      </c>
      <c r="C49" s="22"/>
      <c r="D49" s="23"/>
      <c r="E49" s="24" t="s">
        <v>160</v>
      </c>
      <c r="F49" s="28" t="n">
        <f>58</f>
        <v>58.0</v>
      </c>
      <c r="G49" s="25" t="n">
        <f>16985291</f>
        <v>1.6985291E7</v>
      </c>
      <c r="H49" s="25"/>
      <c r="I49" s="25"/>
      <c r="J49" s="25" t="n">
        <f>292850</f>
        <v>292850.0</v>
      </c>
      <c r="K49" s="25"/>
      <c r="L49" s="2" t="s">
        <v>242</v>
      </c>
      <c r="M49" s="26" t="n">
        <f>663809</f>
        <v>663809.0</v>
      </c>
      <c r="N49" s="3" t="s">
        <v>147</v>
      </c>
      <c r="O49" s="27" t="n">
        <f>169521</f>
        <v>169521.0</v>
      </c>
      <c r="P49" s="29" t="s">
        <v>255</v>
      </c>
      <c r="Q49" s="25"/>
      <c r="R49" s="29"/>
      <c r="S49" s="25" t="n">
        <f>110890175725</f>
        <v>1.10890175725E11</v>
      </c>
      <c r="T49" s="25"/>
      <c r="U49" s="3" t="s">
        <v>242</v>
      </c>
      <c r="V49" s="27" t="n">
        <f>266316854000</f>
        <v>2.66316854E11</v>
      </c>
      <c r="W49" s="3" t="s">
        <v>147</v>
      </c>
      <c r="X49" s="27" t="n">
        <f>56582393750</f>
        <v>5.658239375E10</v>
      </c>
      <c r="Y49" s="27"/>
      <c r="Z49" s="25" t="str">
        <f>"－"</f>
        <v>－</v>
      </c>
      <c r="AA49" s="25" t="n">
        <f>51593</f>
        <v>51593.0</v>
      </c>
      <c r="AB49" s="2" t="s">
        <v>70</v>
      </c>
      <c r="AC49" s="26" t="n">
        <f>92213</f>
        <v>92213.0</v>
      </c>
      <c r="AD49" s="3" t="s">
        <v>147</v>
      </c>
      <c r="AE49" s="27" t="n">
        <f>26762</f>
        <v>26762.0</v>
      </c>
    </row>
    <row r="50">
      <c r="A50" s="20" t="s">
        <v>256</v>
      </c>
      <c r="B50" s="21" t="s">
        <v>257</v>
      </c>
      <c r="C50" s="22"/>
      <c r="D50" s="23"/>
      <c r="E50" s="24" t="s">
        <v>258</v>
      </c>
      <c r="F50" s="28" t="n">
        <f>87</f>
        <v>87.0</v>
      </c>
      <c r="G50" s="25" t="n">
        <f>1887140</f>
        <v>1887140.0</v>
      </c>
      <c r="H50" s="25"/>
      <c r="I50" s="25" t="str">
        <f>"－"</f>
        <v>－</v>
      </c>
      <c r="J50" s="25" t="n">
        <f>21691</f>
        <v>21691.0</v>
      </c>
      <c r="K50" s="25" t="str">
        <f>"－"</f>
        <v>－</v>
      </c>
      <c r="L50" s="2" t="s">
        <v>259</v>
      </c>
      <c r="M50" s="26" t="n">
        <f>77480</f>
        <v>77480.0</v>
      </c>
      <c r="N50" s="3" t="s">
        <v>260</v>
      </c>
      <c r="O50" s="27" t="n">
        <f>7152</f>
        <v>7152.0</v>
      </c>
      <c r="P50" s="29" t="s">
        <v>261</v>
      </c>
      <c r="Q50" s="25"/>
      <c r="R50" s="29" t="s">
        <v>262</v>
      </c>
      <c r="S50" s="25" t="n">
        <f>483703521264</f>
        <v>4.83703521264E11</v>
      </c>
      <c r="T50" s="25" t="str">
        <f>"－"</f>
        <v>－</v>
      </c>
      <c r="U50" s="3" t="s">
        <v>259</v>
      </c>
      <c r="V50" s="27" t="n">
        <f>1669707120000</f>
        <v>1.66970712E12</v>
      </c>
      <c r="W50" s="3" t="s">
        <v>260</v>
      </c>
      <c r="X50" s="27" t="n">
        <f>153502550000</f>
        <v>1.5350255E11</v>
      </c>
      <c r="Y50" s="27"/>
      <c r="Z50" s="25" t="str">
        <f>"－"</f>
        <v>－</v>
      </c>
      <c r="AA50" s="25" t="n">
        <f>14616</f>
        <v>14616.0</v>
      </c>
      <c r="AB50" s="2" t="s">
        <v>263</v>
      </c>
      <c r="AC50" s="26" t="n">
        <f>19284</f>
        <v>19284.0</v>
      </c>
      <c r="AD50" s="3" t="s">
        <v>81</v>
      </c>
      <c r="AE50" s="27" t="n">
        <f>11565</f>
        <v>11565.0</v>
      </c>
    </row>
    <row r="51">
      <c r="A51" s="20" t="s">
        <v>256</v>
      </c>
      <c r="B51" s="21" t="s">
        <v>257</v>
      </c>
      <c r="C51" s="22"/>
      <c r="D51" s="23"/>
      <c r="E51" s="24" t="s">
        <v>264</v>
      </c>
      <c r="F51" s="28" t="n">
        <f>123</f>
        <v>123.0</v>
      </c>
      <c r="G51" s="25" t="n">
        <f>1766262</f>
        <v>1766262.0</v>
      </c>
      <c r="H51" s="25"/>
      <c r="I51" s="25" t="str">
        <f>"－"</f>
        <v>－</v>
      </c>
      <c r="J51" s="25" t="n">
        <f>14360</f>
        <v>14360.0</v>
      </c>
      <c r="K51" s="25" t="str">
        <f>"－"</f>
        <v>－</v>
      </c>
      <c r="L51" s="2" t="s">
        <v>265</v>
      </c>
      <c r="M51" s="26" t="n">
        <f>25018</f>
        <v>25018.0</v>
      </c>
      <c r="N51" s="3" t="s">
        <v>88</v>
      </c>
      <c r="O51" s="27" t="n">
        <f>8081</f>
        <v>8081.0</v>
      </c>
      <c r="P51" s="29" t="s">
        <v>266</v>
      </c>
      <c r="Q51" s="25"/>
      <c r="R51" s="29" t="s">
        <v>262</v>
      </c>
      <c r="S51" s="25" t="n">
        <f>357903207724</f>
        <v>3.57903207724E11</v>
      </c>
      <c r="T51" s="25" t="str">
        <f>"－"</f>
        <v>－</v>
      </c>
      <c r="U51" s="3" t="s">
        <v>265</v>
      </c>
      <c r="V51" s="27" t="n">
        <f>622637870000</f>
        <v>6.2263787E11</v>
      </c>
      <c r="W51" s="3" t="s">
        <v>88</v>
      </c>
      <c r="X51" s="27" t="n">
        <f>204305520000</f>
        <v>2.0430552E11</v>
      </c>
      <c r="Y51" s="27"/>
      <c r="Z51" s="25" t="str">
        <f>"－"</f>
        <v>－</v>
      </c>
      <c r="AA51" s="25" t="n">
        <f>25741</f>
        <v>25741.0</v>
      </c>
      <c r="AB51" s="2" t="s">
        <v>267</v>
      </c>
      <c r="AC51" s="26" t="n">
        <f>30526</f>
        <v>30526.0</v>
      </c>
      <c r="AD51" s="3" t="s">
        <v>156</v>
      </c>
      <c r="AE51" s="27" t="n">
        <f>14645</f>
        <v>14645.0</v>
      </c>
    </row>
    <row r="52">
      <c r="A52" s="20" t="s">
        <v>256</v>
      </c>
      <c r="B52" s="21" t="s">
        <v>257</v>
      </c>
      <c r="C52" s="22"/>
      <c r="D52" s="23"/>
      <c r="E52" s="24" t="s">
        <v>268</v>
      </c>
      <c r="F52" s="28" t="n">
        <f>126</f>
        <v>126.0</v>
      </c>
      <c r="G52" s="25" t="n">
        <f>1961250</f>
        <v>1961250.0</v>
      </c>
      <c r="H52" s="25"/>
      <c r="I52" s="25" t="str">
        <f>"－"</f>
        <v>－</v>
      </c>
      <c r="J52" s="25" t="n">
        <f>15565</f>
        <v>15565.0</v>
      </c>
      <c r="K52" s="25" t="str">
        <f>"－"</f>
        <v>－</v>
      </c>
      <c r="L52" s="2" t="s">
        <v>221</v>
      </c>
      <c r="M52" s="26" t="n">
        <f>27353</f>
        <v>27353.0</v>
      </c>
      <c r="N52" s="3" t="s">
        <v>269</v>
      </c>
      <c r="O52" s="27" t="n">
        <f>5674</f>
        <v>5674.0</v>
      </c>
      <c r="P52" s="29" t="s">
        <v>270</v>
      </c>
      <c r="Q52" s="25"/>
      <c r="R52" s="29" t="s">
        <v>262</v>
      </c>
      <c r="S52" s="25" t="n">
        <f>421294018413</f>
        <v>4.21294018413E11</v>
      </c>
      <c r="T52" s="25" t="str">
        <f>"－"</f>
        <v>－</v>
      </c>
      <c r="U52" s="3" t="s">
        <v>221</v>
      </c>
      <c r="V52" s="27" t="n">
        <f>780863810000</f>
        <v>7.8086381E11</v>
      </c>
      <c r="W52" s="3" t="s">
        <v>269</v>
      </c>
      <c r="X52" s="27" t="n">
        <f>165370890000</f>
        <v>1.6537089E11</v>
      </c>
      <c r="Y52" s="27"/>
      <c r="Z52" s="25" t="str">
        <f>"－"</f>
        <v>－</v>
      </c>
      <c r="AA52" s="25" t="n">
        <f>38353</f>
        <v>38353.0</v>
      </c>
      <c r="AB52" s="2" t="s">
        <v>271</v>
      </c>
      <c r="AC52" s="26" t="n">
        <f>39474</f>
        <v>39474.0</v>
      </c>
      <c r="AD52" s="3" t="s">
        <v>95</v>
      </c>
      <c r="AE52" s="27" t="n">
        <f>24598</f>
        <v>24598.0</v>
      </c>
    </row>
    <row r="53">
      <c r="A53" s="20" t="s">
        <v>256</v>
      </c>
      <c r="B53" s="21" t="s">
        <v>257</v>
      </c>
      <c r="C53" s="22"/>
      <c r="D53" s="23"/>
      <c r="E53" s="24" t="s">
        <v>272</v>
      </c>
      <c r="F53" s="28" t="n">
        <f>121</f>
        <v>121.0</v>
      </c>
      <c r="G53" s="25" t="n">
        <f>1934988</f>
        <v>1934988.0</v>
      </c>
      <c r="H53" s="25"/>
      <c r="I53" s="25" t="str">
        <f>"－"</f>
        <v>－</v>
      </c>
      <c r="J53" s="25" t="n">
        <f>15992</f>
        <v>15992.0</v>
      </c>
      <c r="K53" s="25" t="str">
        <f>"－"</f>
        <v>－</v>
      </c>
      <c r="L53" s="2" t="s">
        <v>84</v>
      </c>
      <c r="M53" s="26" t="n">
        <f>32037</f>
        <v>32037.0</v>
      </c>
      <c r="N53" s="3" t="s">
        <v>273</v>
      </c>
      <c r="O53" s="27" t="n">
        <f>3777</f>
        <v>3777.0</v>
      </c>
      <c r="P53" s="29" t="s">
        <v>274</v>
      </c>
      <c r="Q53" s="25"/>
      <c r="R53" s="29" t="s">
        <v>262</v>
      </c>
      <c r="S53" s="25" t="n">
        <f>401140999587</f>
        <v>4.01140999587E11</v>
      </c>
      <c r="T53" s="25" t="str">
        <f>"－"</f>
        <v>－</v>
      </c>
      <c r="U53" s="3" t="s">
        <v>84</v>
      </c>
      <c r="V53" s="27" t="n">
        <f>813202010000</f>
        <v>8.1320201E11</v>
      </c>
      <c r="W53" s="3" t="s">
        <v>273</v>
      </c>
      <c r="X53" s="27" t="n">
        <f>80920480000</f>
        <v>8.092048E10</v>
      </c>
      <c r="Y53" s="27"/>
      <c r="Z53" s="25" t="str">
        <f>"－"</f>
        <v>－</v>
      </c>
      <c r="AA53" s="25" t="n">
        <f>29144</f>
        <v>29144.0</v>
      </c>
      <c r="AB53" s="2" t="s">
        <v>275</v>
      </c>
      <c r="AC53" s="26" t="n">
        <f>47451</f>
        <v>47451.0</v>
      </c>
      <c r="AD53" s="3" t="s">
        <v>101</v>
      </c>
      <c r="AE53" s="27" t="n">
        <f>22348</f>
        <v>22348.0</v>
      </c>
    </row>
    <row r="54">
      <c r="A54" s="20" t="s">
        <v>256</v>
      </c>
      <c r="B54" s="21" t="s">
        <v>257</v>
      </c>
      <c r="C54" s="22"/>
      <c r="D54" s="23"/>
      <c r="E54" s="24" t="s">
        <v>276</v>
      </c>
      <c r="F54" s="28" t="n">
        <f>125</f>
        <v>125.0</v>
      </c>
      <c r="G54" s="25" t="n">
        <f>1156026</f>
        <v>1156026.0</v>
      </c>
      <c r="H54" s="25"/>
      <c r="I54" s="25" t="str">
        <f>"－"</f>
        <v>－</v>
      </c>
      <c r="J54" s="25" t="n">
        <f>9248</f>
        <v>9248.0</v>
      </c>
      <c r="K54" s="25" t="str">
        <f>"－"</f>
        <v>－</v>
      </c>
      <c r="L54" s="2" t="s">
        <v>277</v>
      </c>
      <c r="M54" s="26" t="n">
        <f>21222</f>
        <v>21222.0</v>
      </c>
      <c r="N54" s="3" t="s">
        <v>278</v>
      </c>
      <c r="O54" s="27" t="n">
        <f>19</f>
        <v>19.0</v>
      </c>
      <c r="P54" s="29" t="s">
        <v>279</v>
      </c>
      <c r="Q54" s="25"/>
      <c r="R54" s="29" t="s">
        <v>262</v>
      </c>
      <c r="S54" s="25" t="n">
        <f>185893112400</f>
        <v>1.858931124E11</v>
      </c>
      <c r="T54" s="25" t="str">
        <f>"－"</f>
        <v>－</v>
      </c>
      <c r="U54" s="3" t="s">
        <v>277</v>
      </c>
      <c r="V54" s="27" t="n">
        <f>501230580000</f>
        <v>5.0123058E11</v>
      </c>
      <c r="W54" s="3" t="s">
        <v>278</v>
      </c>
      <c r="X54" s="27" t="n">
        <f>306950000</f>
        <v>3.0695E8</v>
      </c>
      <c r="Y54" s="27"/>
      <c r="Z54" s="25" t="str">
        <f>"－"</f>
        <v>－</v>
      </c>
      <c r="AA54" s="25" t="n">
        <f>28638</f>
        <v>28638.0</v>
      </c>
      <c r="AB54" s="2" t="s">
        <v>280</v>
      </c>
      <c r="AC54" s="26" t="n">
        <f>33695</f>
        <v>33695.0</v>
      </c>
      <c r="AD54" s="3" t="s">
        <v>106</v>
      </c>
      <c r="AE54" s="27" t="n">
        <f>20741</f>
        <v>20741.0</v>
      </c>
    </row>
    <row r="55">
      <c r="A55" s="20" t="s">
        <v>256</v>
      </c>
      <c r="B55" s="21" t="s">
        <v>257</v>
      </c>
      <c r="C55" s="22"/>
      <c r="D55" s="23"/>
      <c r="E55" s="24" t="s">
        <v>281</v>
      </c>
      <c r="F55" s="28" t="n">
        <f>120</f>
        <v>120.0</v>
      </c>
      <c r="G55" s="25" t="n">
        <f>906975</f>
        <v>906975.0</v>
      </c>
      <c r="H55" s="25"/>
      <c r="I55" s="25" t="str">
        <f>"－"</f>
        <v>－</v>
      </c>
      <c r="J55" s="25" t="n">
        <f>7558</f>
        <v>7558.0</v>
      </c>
      <c r="K55" s="25" t="str">
        <f>"－"</f>
        <v>－</v>
      </c>
      <c r="L55" s="2" t="s">
        <v>282</v>
      </c>
      <c r="M55" s="26" t="n">
        <f>17226</f>
        <v>17226.0</v>
      </c>
      <c r="N55" s="3" t="s">
        <v>123</v>
      </c>
      <c r="O55" s="27" t="n">
        <f>1761</f>
        <v>1761.0</v>
      </c>
      <c r="P55" s="29" t="s">
        <v>283</v>
      </c>
      <c r="Q55" s="25"/>
      <c r="R55" s="29" t="s">
        <v>262</v>
      </c>
      <c r="S55" s="25" t="n">
        <f>147185952667</f>
        <v>1.47185952667E11</v>
      </c>
      <c r="T55" s="25" t="str">
        <f>"－"</f>
        <v>－</v>
      </c>
      <c r="U55" s="3" t="s">
        <v>282</v>
      </c>
      <c r="V55" s="27" t="n">
        <f>354481360000</f>
        <v>3.5448136E11</v>
      </c>
      <c r="W55" s="3" t="s">
        <v>123</v>
      </c>
      <c r="X55" s="27" t="n">
        <f>29649100000</f>
        <v>2.96491E10</v>
      </c>
      <c r="Y55" s="27"/>
      <c r="Z55" s="25" t="str">
        <f>"－"</f>
        <v>－</v>
      </c>
      <c r="AA55" s="25" t="n">
        <f>31410</f>
        <v>31410.0</v>
      </c>
      <c r="AB55" s="2" t="s">
        <v>204</v>
      </c>
      <c r="AC55" s="26" t="n">
        <f>43791</f>
        <v>43791.0</v>
      </c>
      <c r="AD55" s="3" t="s">
        <v>205</v>
      </c>
      <c r="AE55" s="27" t="n">
        <f>26297</f>
        <v>26297.0</v>
      </c>
    </row>
    <row r="56">
      <c r="A56" s="20" t="s">
        <v>256</v>
      </c>
      <c r="B56" s="21" t="s">
        <v>257</v>
      </c>
      <c r="C56" s="22"/>
      <c r="D56" s="23"/>
      <c r="E56" s="24" t="s">
        <v>284</v>
      </c>
      <c r="F56" s="28" t="n">
        <f>126</f>
        <v>126.0</v>
      </c>
      <c r="G56" s="25" t="n">
        <f>769823</f>
        <v>769823.0</v>
      </c>
      <c r="H56" s="25"/>
      <c r="I56" s="25" t="str">
        <f>"－"</f>
        <v>－</v>
      </c>
      <c r="J56" s="25" t="n">
        <f>6110</f>
        <v>6110.0</v>
      </c>
      <c r="K56" s="25" t="str">
        <f>"－"</f>
        <v>－</v>
      </c>
      <c r="L56" s="2" t="s">
        <v>241</v>
      </c>
      <c r="M56" s="26" t="n">
        <f>15304</f>
        <v>15304.0</v>
      </c>
      <c r="N56" s="3" t="s">
        <v>285</v>
      </c>
      <c r="O56" s="27" t="n">
        <f>1733</f>
        <v>1733.0</v>
      </c>
      <c r="P56" s="29" t="s">
        <v>286</v>
      </c>
      <c r="Q56" s="25"/>
      <c r="R56" s="29" t="s">
        <v>262</v>
      </c>
      <c r="S56" s="25" t="n">
        <f>110263425952</f>
        <v>1.10263425952E11</v>
      </c>
      <c r="T56" s="25" t="str">
        <f>"－"</f>
        <v>－</v>
      </c>
      <c r="U56" s="3" t="s">
        <v>241</v>
      </c>
      <c r="V56" s="27" t="n">
        <f>272238140000</f>
        <v>2.7223814E11</v>
      </c>
      <c r="W56" s="3" t="s">
        <v>285</v>
      </c>
      <c r="X56" s="27" t="n">
        <f>33127290000</f>
        <v>3.312729E10</v>
      </c>
      <c r="Y56" s="27"/>
      <c r="Z56" s="25" t="str">
        <f>"－"</f>
        <v>－</v>
      </c>
      <c r="AA56" s="25" t="n">
        <f>25679</f>
        <v>25679.0</v>
      </c>
      <c r="AB56" s="2" t="s">
        <v>287</v>
      </c>
      <c r="AC56" s="26" t="n">
        <f>40025</f>
        <v>40025.0</v>
      </c>
      <c r="AD56" s="3" t="s">
        <v>288</v>
      </c>
      <c r="AE56" s="27" t="n">
        <f>23324</f>
        <v>23324.0</v>
      </c>
    </row>
    <row r="57">
      <c r="A57" s="20" t="s">
        <v>256</v>
      </c>
      <c r="B57" s="21" t="s">
        <v>257</v>
      </c>
      <c r="C57" s="22"/>
      <c r="D57" s="23"/>
      <c r="E57" s="24" t="s">
        <v>289</v>
      </c>
      <c r="F57" s="28" t="n">
        <f>121</f>
        <v>121.0</v>
      </c>
      <c r="G57" s="25" t="n">
        <f>612647</f>
        <v>612647.0</v>
      </c>
      <c r="H57" s="25"/>
      <c r="I57" s="25" t="str">
        <f>"－"</f>
        <v>－</v>
      </c>
      <c r="J57" s="25" t="n">
        <f>5063</f>
        <v>5063.0</v>
      </c>
      <c r="K57" s="25" t="str">
        <f>"－"</f>
        <v>－</v>
      </c>
      <c r="L57" s="2" t="s">
        <v>290</v>
      </c>
      <c r="M57" s="26" t="n">
        <f>9844</f>
        <v>9844.0</v>
      </c>
      <c r="N57" s="3" t="s">
        <v>291</v>
      </c>
      <c r="O57" s="27" t="n">
        <f>2268</f>
        <v>2268.0</v>
      </c>
      <c r="P57" s="29" t="s">
        <v>292</v>
      </c>
      <c r="Q57" s="25"/>
      <c r="R57" s="29" t="s">
        <v>262</v>
      </c>
      <c r="S57" s="25" t="n">
        <f>73066211901</f>
        <v>7.3066211901E10</v>
      </c>
      <c r="T57" s="25" t="str">
        <f>"－"</f>
        <v>－</v>
      </c>
      <c r="U57" s="3" t="s">
        <v>290</v>
      </c>
      <c r="V57" s="27" t="n">
        <f>145928470000</f>
        <v>1.4592847E11</v>
      </c>
      <c r="W57" s="3" t="s">
        <v>293</v>
      </c>
      <c r="X57" s="27" t="n">
        <f>34268930000</f>
        <v>3.426893E10</v>
      </c>
      <c r="Y57" s="27"/>
      <c r="Z57" s="25" t="str">
        <f>"－"</f>
        <v>－</v>
      </c>
      <c r="AA57" s="25" t="n">
        <f>20617</f>
        <v>20617.0</v>
      </c>
      <c r="AB57" s="2" t="s">
        <v>60</v>
      </c>
      <c r="AC57" s="26" t="n">
        <f>29141</f>
        <v>29141.0</v>
      </c>
      <c r="AD57" s="3" t="s">
        <v>172</v>
      </c>
      <c r="AE57" s="27" t="n">
        <f>15336</f>
        <v>15336.0</v>
      </c>
    </row>
    <row r="58">
      <c r="A58" s="20" t="s">
        <v>256</v>
      </c>
      <c r="B58" s="21" t="s">
        <v>257</v>
      </c>
      <c r="C58" s="22"/>
      <c r="D58" s="23"/>
      <c r="E58" s="24" t="s">
        <v>294</v>
      </c>
      <c r="F58" s="28" t="n">
        <f>126</f>
        <v>126.0</v>
      </c>
      <c r="G58" s="25" t="n">
        <f>745776</f>
        <v>745776.0</v>
      </c>
      <c r="H58" s="25"/>
      <c r="I58" s="25" t="str">
        <f>"－"</f>
        <v>－</v>
      </c>
      <c r="J58" s="25" t="n">
        <f>5919</f>
        <v>5919.0</v>
      </c>
      <c r="K58" s="25" t="str">
        <f>"－"</f>
        <v>－</v>
      </c>
      <c r="L58" s="2" t="s">
        <v>295</v>
      </c>
      <c r="M58" s="26" t="n">
        <f>17223</f>
        <v>17223.0</v>
      </c>
      <c r="N58" s="3" t="s">
        <v>296</v>
      </c>
      <c r="O58" s="27" t="n">
        <f>2419</f>
        <v>2419.0</v>
      </c>
      <c r="P58" s="29" t="s">
        <v>297</v>
      </c>
      <c r="Q58" s="25"/>
      <c r="R58" s="29" t="s">
        <v>262</v>
      </c>
      <c r="S58" s="25" t="n">
        <f>77234517698</f>
        <v>7.7234517698E10</v>
      </c>
      <c r="T58" s="25" t="str">
        <f>"－"</f>
        <v>－</v>
      </c>
      <c r="U58" s="3" t="s">
        <v>295</v>
      </c>
      <c r="V58" s="27" t="n">
        <f>248477510000</f>
        <v>2.4847751E11</v>
      </c>
      <c r="W58" s="3" t="s">
        <v>296</v>
      </c>
      <c r="X58" s="27" t="n">
        <f>29228290000</f>
        <v>2.922829E10</v>
      </c>
      <c r="Y58" s="27"/>
      <c r="Z58" s="25" t="str">
        <f>"－"</f>
        <v>－</v>
      </c>
      <c r="AA58" s="25" t="n">
        <f>33198</f>
        <v>33198.0</v>
      </c>
      <c r="AB58" s="2" t="s">
        <v>67</v>
      </c>
      <c r="AC58" s="26" t="n">
        <f>46479</f>
        <v>46479.0</v>
      </c>
      <c r="AD58" s="3" t="s">
        <v>298</v>
      </c>
      <c r="AE58" s="27" t="n">
        <f>18953</f>
        <v>18953.0</v>
      </c>
    </row>
    <row r="59">
      <c r="A59" s="20" t="s">
        <v>256</v>
      </c>
      <c r="B59" s="21" t="s">
        <v>257</v>
      </c>
      <c r="C59" s="22"/>
      <c r="D59" s="23"/>
      <c r="E59" s="24" t="s">
        <v>299</v>
      </c>
      <c r="F59" s="28" t="n">
        <f>121</f>
        <v>121.0</v>
      </c>
      <c r="G59" s="25" t="n">
        <f>905752</f>
        <v>905752.0</v>
      </c>
      <c r="H59" s="25"/>
      <c r="I59" s="25" t="str">
        <f>"－"</f>
        <v>－</v>
      </c>
      <c r="J59" s="25" t="n">
        <f>7486</f>
        <v>7486.0</v>
      </c>
      <c r="K59" s="25" t="str">
        <f>"－"</f>
        <v>－</v>
      </c>
      <c r="L59" s="2" t="s">
        <v>70</v>
      </c>
      <c r="M59" s="26" t="n">
        <f>21401</f>
        <v>21401.0</v>
      </c>
      <c r="N59" s="3" t="s">
        <v>156</v>
      </c>
      <c r="O59" s="27" t="n">
        <f>2345</f>
        <v>2345.0</v>
      </c>
      <c r="P59" s="29" t="s">
        <v>300</v>
      </c>
      <c r="Q59" s="25"/>
      <c r="R59" s="29" t="s">
        <v>262</v>
      </c>
      <c r="S59" s="25" t="n">
        <f>110754606116</f>
        <v>1.10754606116E11</v>
      </c>
      <c r="T59" s="25" t="str">
        <f>"－"</f>
        <v>－</v>
      </c>
      <c r="U59" s="3" t="s">
        <v>70</v>
      </c>
      <c r="V59" s="27" t="n">
        <f>281115470000</f>
        <v>2.8111547E11</v>
      </c>
      <c r="W59" s="3" t="s">
        <v>156</v>
      </c>
      <c r="X59" s="27" t="n">
        <f>30699960000</f>
        <v>3.069996E10</v>
      </c>
      <c r="Y59" s="27"/>
      <c r="Z59" s="25" t="str">
        <f>"－"</f>
        <v>－</v>
      </c>
      <c r="AA59" s="25" t="n">
        <f>45212</f>
        <v>45212.0</v>
      </c>
      <c r="AB59" s="2" t="s">
        <v>290</v>
      </c>
      <c r="AC59" s="26" t="n">
        <f>71193</f>
        <v>71193.0</v>
      </c>
      <c r="AD59" s="3" t="s">
        <v>147</v>
      </c>
      <c r="AE59" s="27" t="n">
        <f>32654</f>
        <v>32654.0</v>
      </c>
    </row>
    <row r="60">
      <c r="A60" s="20" t="s">
        <v>256</v>
      </c>
      <c r="B60" s="21" t="s">
        <v>257</v>
      </c>
      <c r="C60" s="22"/>
      <c r="D60" s="23"/>
      <c r="E60" s="24" t="s">
        <v>301</v>
      </c>
      <c r="F60" s="28" t="n">
        <f>125</f>
        <v>125.0</v>
      </c>
      <c r="G60" s="25" t="n">
        <f>1251208</f>
        <v>1251208.0</v>
      </c>
      <c r="H60" s="25"/>
      <c r="I60" s="25" t="str">
        <f>"－"</f>
        <v>－</v>
      </c>
      <c r="J60" s="25" t="n">
        <f>10010</f>
        <v>10010.0</v>
      </c>
      <c r="K60" s="25" t="str">
        <f>"－"</f>
        <v>－</v>
      </c>
      <c r="L60" s="2" t="s">
        <v>302</v>
      </c>
      <c r="M60" s="26" t="n">
        <f>35828</f>
        <v>35828.0</v>
      </c>
      <c r="N60" s="3" t="s">
        <v>225</v>
      </c>
      <c r="O60" s="27" t="n">
        <f>2393</f>
        <v>2393.0</v>
      </c>
      <c r="P60" s="29" t="s">
        <v>303</v>
      </c>
      <c r="Q60" s="25"/>
      <c r="R60" s="29" t="s">
        <v>262</v>
      </c>
      <c r="S60" s="25" t="n">
        <f>156918671920</f>
        <v>1.5691867192E11</v>
      </c>
      <c r="T60" s="25" t="str">
        <f>"－"</f>
        <v>－</v>
      </c>
      <c r="U60" s="3" t="s">
        <v>302</v>
      </c>
      <c r="V60" s="27" t="n">
        <f>521972610000</f>
        <v>5.2197261E11</v>
      </c>
      <c r="W60" s="3" t="s">
        <v>225</v>
      </c>
      <c r="X60" s="27" t="n">
        <f>38018630000</f>
        <v>3.801863E10</v>
      </c>
      <c r="Y60" s="27"/>
      <c r="Z60" s="25" t="str">
        <f>"－"</f>
        <v>－</v>
      </c>
      <c r="AA60" s="25" t="n">
        <f>67444</f>
        <v>67444.0</v>
      </c>
      <c r="AB60" s="2" t="s">
        <v>49</v>
      </c>
      <c r="AC60" s="26" t="n">
        <f>101399</f>
        <v>101399.0</v>
      </c>
      <c r="AD60" s="3" t="s">
        <v>215</v>
      </c>
      <c r="AE60" s="27" t="n">
        <f>45047</f>
        <v>45047.0</v>
      </c>
    </row>
    <row r="61">
      <c r="A61" s="20" t="s">
        <v>256</v>
      </c>
      <c r="B61" s="21" t="s">
        <v>257</v>
      </c>
      <c r="C61" s="22"/>
      <c r="D61" s="23"/>
      <c r="E61" s="24" t="s">
        <v>304</v>
      </c>
      <c r="F61" s="28" t="n">
        <f>122</f>
        <v>122.0</v>
      </c>
      <c r="G61" s="25" t="n">
        <f>1402204</f>
        <v>1402204.0</v>
      </c>
      <c r="H61" s="25"/>
      <c r="I61" s="25" t="str">
        <f>"－"</f>
        <v>－</v>
      </c>
      <c r="J61" s="25" t="n">
        <f>11493</f>
        <v>11493.0</v>
      </c>
      <c r="K61" s="25" t="str">
        <f>"－"</f>
        <v>－</v>
      </c>
      <c r="L61" s="2" t="s">
        <v>70</v>
      </c>
      <c r="M61" s="26" t="n">
        <f>29880</f>
        <v>29880.0</v>
      </c>
      <c r="N61" s="3" t="s">
        <v>305</v>
      </c>
      <c r="O61" s="27" t="str">
        <f>"－"</f>
        <v>－</v>
      </c>
      <c r="P61" s="29" t="s">
        <v>306</v>
      </c>
      <c r="Q61" s="25"/>
      <c r="R61" s="29" t="s">
        <v>262</v>
      </c>
      <c r="S61" s="25" t="n">
        <f>186337538279</f>
        <v>1.86337538279E11</v>
      </c>
      <c r="T61" s="25" t="str">
        <f>"－"</f>
        <v>－</v>
      </c>
      <c r="U61" s="3" t="s">
        <v>70</v>
      </c>
      <c r="V61" s="27" t="n">
        <f>484974770000</f>
        <v>4.8497477E11</v>
      </c>
      <c r="W61" s="3" t="s">
        <v>305</v>
      </c>
      <c r="X61" s="27" t="str">
        <f>"－"</f>
        <v>－</v>
      </c>
      <c r="Y61" s="27"/>
      <c r="Z61" s="25" t="str">
        <f>"－"</f>
        <v>－</v>
      </c>
      <c r="AA61" s="25" t="n">
        <f>69198</f>
        <v>69198.0</v>
      </c>
      <c r="AB61" s="2" t="s">
        <v>307</v>
      </c>
      <c r="AC61" s="26" t="n">
        <f>117709</f>
        <v>117709.0</v>
      </c>
      <c r="AD61" s="3" t="s">
        <v>156</v>
      </c>
      <c r="AE61" s="27" t="n">
        <f>68487</f>
        <v>68487.0</v>
      </c>
    </row>
    <row r="62">
      <c r="A62" s="20" t="s">
        <v>256</v>
      </c>
      <c r="B62" s="21" t="s">
        <v>257</v>
      </c>
      <c r="C62" s="22"/>
      <c r="D62" s="23"/>
      <c r="E62" s="24" t="s">
        <v>308</v>
      </c>
      <c r="F62" s="28" t="n">
        <f>125</f>
        <v>125.0</v>
      </c>
      <c r="G62" s="25" t="n">
        <f>1220863</f>
        <v>1220863.0</v>
      </c>
      <c r="H62" s="25"/>
      <c r="I62" s="25" t="str">
        <f>"－"</f>
        <v>－</v>
      </c>
      <c r="J62" s="25" t="n">
        <f>9767</f>
        <v>9767.0</v>
      </c>
      <c r="K62" s="25" t="str">
        <f>"－"</f>
        <v>－</v>
      </c>
      <c r="L62" s="2" t="s">
        <v>93</v>
      </c>
      <c r="M62" s="26" t="n">
        <f>29572</f>
        <v>29572.0</v>
      </c>
      <c r="N62" s="3" t="s">
        <v>309</v>
      </c>
      <c r="O62" s="27" t="n">
        <f>4403</f>
        <v>4403.0</v>
      </c>
      <c r="P62" s="29" t="s">
        <v>310</v>
      </c>
      <c r="Q62" s="25"/>
      <c r="R62" s="29" t="s">
        <v>262</v>
      </c>
      <c r="S62" s="25" t="n">
        <f>154849459600</f>
        <v>1.548494596E11</v>
      </c>
      <c r="T62" s="25" t="str">
        <f>"－"</f>
        <v>－</v>
      </c>
      <c r="U62" s="3" t="s">
        <v>93</v>
      </c>
      <c r="V62" s="27" t="n">
        <f>454059210000</f>
        <v>4.5405921E11</v>
      </c>
      <c r="W62" s="3" t="s">
        <v>309</v>
      </c>
      <c r="X62" s="27" t="n">
        <f>73449590000</f>
        <v>7.344959E10</v>
      </c>
      <c r="Y62" s="27"/>
      <c r="Z62" s="25" t="str">
        <f>"－"</f>
        <v>－</v>
      </c>
      <c r="AA62" s="25" t="n">
        <f>60899</f>
        <v>60899.0</v>
      </c>
      <c r="AB62" s="2" t="s">
        <v>125</v>
      </c>
      <c r="AC62" s="26" t="n">
        <f>98593</f>
        <v>98593.0</v>
      </c>
      <c r="AD62" s="3" t="s">
        <v>117</v>
      </c>
      <c r="AE62" s="27" t="n">
        <f>54658</f>
        <v>54658.0</v>
      </c>
    </row>
    <row r="63">
      <c r="A63" s="20" t="s">
        <v>256</v>
      </c>
      <c r="B63" s="21" t="s">
        <v>257</v>
      </c>
      <c r="C63" s="22"/>
      <c r="D63" s="23"/>
      <c r="E63" s="24" t="s">
        <v>311</v>
      </c>
      <c r="F63" s="28" t="n">
        <f>123</f>
        <v>123.0</v>
      </c>
      <c r="G63" s="25" t="n">
        <f>1358768</f>
        <v>1358768.0</v>
      </c>
      <c r="H63" s="25"/>
      <c r="I63" s="25" t="str">
        <f>"－"</f>
        <v>－</v>
      </c>
      <c r="J63" s="25" t="n">
        <f>11047</f>
        <v>11047.0</v>
      </c>
      <c r="K63" s="25" t="str">
        <f>"－"</f>
        <v>－</v>
      </c>
      <c r="L63" s="2" t="s">
        <v>312</v>
      </c>
      <c r="M63" s="26" t="n">
        <f>25028</f>
        <v>25028.0</v>
      </c>
      <c r="N63" s="3" t="s">
        <v>156</v>
      </c>
      <c r="O63" s="27" t="n">
        <f>3106</f>
        <v>3106.0</v>
      </c>
      <c r="P63" s="29" t="s">
        <v>313</v>
      </c>
      <c r="Q63" s="25"/>
      <c r="R63" s="29" t="s">
        <v>262</v>
      </c>
      <c r="S63" s="25" t="n">
        <f>147892791870</f>
        <v>1.4789279187E11</v>
      </c>
      <c r="T63" s="25" t="str">
        <f>"－"</f>
        <v>－</v>
      </c>
      <c r="U63" s="3" t="s">
        <v>314</v>
      </c>
      <c r="V63" s="27" t="n">
        <f>327753730000</f>
        <v>3.2775373E11</v>
      </c>
      <c r="W63" s="3" t="s">
        <v>315</v>
      </c>
      <c r="X63" s="27" t="n">
        <f>43839690000</f>
        <v>4.383969E10</v>
      </c>
      <c r="Y63" s="27"/>
      <c r="Z63" s="25" t="str">
        <f>"－"</f>
        <v>－</v>
      </c>
      <c r="AA63" s="25" t="n">
        <f>53624</f>
        <v>53624.0</v>
      </c>
      <c r="AB63" s="2" t="s">
        <v>316</v>
      </c>
      <c r="AC63" s="26" t="n">
        <f>84867</f>
        <v>84867.0</v>
      </c>
      <c r="AD63" s="3" t="s">
        <v>189</v>
      </c>
      <c r="AE63" s="27" t="n">
        <f>47337</f>
        <v>47337.0</v>
      </c>
    </row>
    <row r="64">
      <c r="A64" s="20" t="s">
        <v>256</v>
      </c>
      <c r="B64" s="21" t="s">
        <v>257</v>
      </c>
      <c r="C64" s="22"/>
      <c r="D64" s="23"/>
      <c r="E64" s="24" t="s">
        <v>317</v>
      </c>
      <c r="F64" s="28" t="n">
        <f>126</f>
        <v>126.0</v>
      </c>
      <c r="G64" s="25" t="n">
        <f>1386846</f>
        <v>1386846.0</v>
      </c>
      <c r="H64" s="25"/>
      <c r="I64" s="25" t="str">
        <f>"－"</f>
        <v>－</v>
      </c>
      <c r="J64" s="25" t="n">
        <f>11007</f>
        <v>11007.0</v>
      </c>
      <c r="K64" s="25" t="str">
        <f>"－"</f>
        <v>－</v>
      </c>
      <c r="L64" s="2" t="s">
        <v>318</v>
      </c>
      <c r="M64" s="26" t="n">
        <f>43232</f>
        <v>43232.0</v>
      </c>
      <c r="N64" s="3" t="s">
        <v>269</v>
      </c>
      <c r="O64" s="27" t="n">
        <f>3506</f>
        <v>3506.0</v>
      </c>
      <c r="P64" s="29" t="s">
        <v>319</v>
      </c>
      <c r="Q64" s="25"/>
      <c r="R64" s="29" t="s">
        <v>262</v>
      </c>
      <c r="S64" s="25" t="n">
        <f>158036237857</f>
        <v>1.58036237857E11</v>
      </c>
      <c r="T64" s="25" t="str">
        <f>"－"</f>
        <v>－</v>
      </c>
      <c r="U64" s="3" t="s">
        <v>318</v>
      </c>
      <c r="V64" s="27" t="n">
        <f>641642230000</f>
        <v>6.4164223E11</v>
      </c>
      <c r="W64" s="3" t="s">
        <v>320</v>
      </c>
      <c r="X64" s="27" t="n">
        <f>51192670000</f>
        <v>5.119267E10</v>
      </c>
      <c r="Y64" s="27"/>
      <c r="Z64" s="25" t="str">
        <f>"－"</f>
        <v>－</v>
      </c>
      <c r="AA64" s="25" t="n">
        <f>100998</f>
        <v>100998.0</v>
      </c>
      <c r="AB64" s="2" t="s">
        <v>128</v>
      </c>
      <c r="AC64" s="26" t="n">
        <f>149962</f>
        <v>149962.0</v>
      </c>
      <c r="AD64" s="3" t="s">
        <v>321</v>
      </c>
      <c r="AE64" s="27" t="n">
        <f>56076</f>
        <v>56076.0</v>
      </c>
    </row>
    <row r="65">
      <c r="A65" s="20" t="s">
        <v>256</v>
      </c>
      <c r="B65" s="21" t="s">
        <v>257</v>
      </c>
      <c r="C65" s="22"/>
      <c r="D65" s="23"/>
      <c r="E65" s="24" t="s">
        <v>322</v>
      </c>
      <c r="F65" s="28" t="n">
        <f>121</f>
        <v>121.0</v>
      </c>
      <c r="G65" s="25" t="n">
        <f>1518324</f>
        <v>1518324.0</v>
      </c>
      <c r="H65" s="25"/>
      <c r="I65" s="25" t="str">
        <f>"－"</f>
        <v>－</v>
      </c>
      <c r="J65" s="25" t="n">
        <f>12548</f>
        <v>12548.0</v>
      </c>
      <c r="K65" s="25" t="str">
        <f>"－"</f>
        <v>－</v>
      </c>
      <c r="L65" s="2" t="s">
        <v>97</v>
      </c>
      <c r="M65" s="26" t="n">
        <f>31646</f>
        <v>31646.0</v>
      </c>
      <c r="N65" s="3" t="s">
        <v>323</v>
      </c>
      <c r="O65" s="27" t="n">
        <f>4686</f>
        <v>4686.0</v>
      </c>
      <c r="P65" s="29" t="s">
        <v>324</v>
      </c>
      <c r="Q65" s="25"/>
      <c r="R65" s="29" t="s">
        <v>262</v>
      </c>
      <c r="S65" s="25" t="n">
        <f>204678291240</f>
        <v>2.0467829124E11</v>
      </c>
      <c r="T65" s="25" t="str">
        <f>"－"</f>
        <v>－</v>
      </c>
      <c r="U65" s="3" t="s">
        <v>97</v>
      </c>
      <c r="V65" s="27" t="n">
        <f>491255900000</f>
        <v>4.912559E11</v>
      </c>
      <c r="W65" s="3" t="s">
        <v>156</v>
      </c>
      <c r="X65" s="27" t="n">
        <f>76354620000</f>
        <v>7.635462E10</v>
      </c>
      <c r="Y65" s="27"/>
      <c r="Z65" s="25" t="str">
        <f>"－"</f>
        <v>－</v>
      </c>
      <c r="AA65" s="25" t="n">
        <f>129355</f>
        <v>129355.0</v>
      </c>
      <c r="AB65" s="2" t="s">
        <v>135</v>
      </c>
      <c r="AC65" s="26" t="n">
        <f>192135</f>
        <v>192135.0</v>
      </c>
      <c r="AD65" s="3" t="s">
        <v>156</v>
      </c>
      <c r="AE65" s="27" t="n">
        <f>102017</f>
        <v>102017.0</v>
      </c>
    </row>
    <row r="66">
      <c r="A66" s="20" t="s">
        <v>256</v>
      </c>
      <c r="B66" s="21" t="s">
        <v>257</v>
      </c>
      <c r="C66" s="22"/>
      <c r="D66" s="23"/>
      <c r="E66" s="24" t="s">
        <v>325</v>
      </c>
      <c r="F66" s="28" t="n">
        <f>126</f>
        <v>126.0</v>
      </c>
      <c r="G66" s="25" t="n">
        <f>1338948</f>
        <v>1338948.0</v>
      </c>
      <c r="H66" s="25"/>
      <c r="I66" s="25" t="str">
        <f>"－"</f>
        <v>－</v>
      </c>
      <c r="J66" s="25" t="n">
        <f>10627</f>
        <v>10627.0</v>
      </c>
      <c r="K66" s="25" t="str">
        <f>"－"</f>
        <v>－</v>
      </c>
      <c r="L66" s="2" t="s">
        <v>67</v>
      </c>
      <c r="M66" s="26" t="n">
        <f>29762</f>
        <v>29762.0</v>
      </c>
      <c r="N66" s="3" t="s">
        <v>129</v>
      </c>
      <c r="O66" s="27" t="n">
        <f>2674</f>
        <v>2674.0</v>
      </c>
      <c r="P66" s="29" t="s">
        <v>326</v>
      </c>
      <c r="Q66" s="25"/>
      <c r="R66" s="29" t="s">
        <v>262</v>
      </c>
      <c r="S66" s="25" t="n">
        <f>167002090952</f>
        <v>1.67002090952E11</v>
      </c>
      <c r="T66" s="25" t="str">
        <f>"－"</f>
        <v>－</v>
      </c>
      <c r="U66" s="3" t="s">
        <v>67</v>
      </c>
      <c r="V66" s="27" t="n">
        <f>456254450000</f>
        <v>4.5625445E11</v>
      </c>
      <c r="W66" s="3" t="s">
        <v>129</v>
      </c>
      <c r="X66" s="27" t="n">
        <f>39149160000</f>
        <v>3.914916E10</v>
      </c>
      <c r="Y66" s="27"/>
      <c r="Z66" s="25" t="str">
        <f>"－"</f>
        <v>－</v>
      </c>
      <c r="AA66" s="25" t="n">
        <f>101006</f>
        <v>101006.0</v>
      </c>
      <c r="AB66" s="2" t="s">
        <v>82</v>
      </c>
      <c r="AC66" s="26" t="n">
        <f>152040</f>
        <v>152040.0</v>
      </c>
      <c r="AD66" s="3" t="s">
        <v>118</v>
      </c>
      <c r="AE66" s="27" t="n">
        <f>100016</f>
        <v>100016.0</v>
      </c>
    </row>
    <row r="67">
      <c r="A67" s="20" t="s">
        <v>256</v>
      </c>
      <c r="B67" s="21" t="s">
        <v>257</v>
      </c>
      <c r="C67" s="22"/>
      <c r="D67" s="23"/>
      <c r="E67" s="24" t="s">
        <v>327</v>
      </c>
      <c r="F67" s="28" t="n">
        <f>121</f>
        <v>121.0</v>
      </c>
      <c r="G67" s="25" t="n">
        <f>1570563</f>
        <v>1570563.0</v>
      </c>
      <c r="H67" s="25"/>
      <c r="I67" s="25" t="str">
        <f>"－"</f>
        <v>－</v>
      </c>
      <c r="J67" s="25" t="n">
        <f>12980</f>
        <v>12980.0</v>
      </c>
      <c r="K67" s="25" t="str">
        <f>"－"</f>
        <v>－</v>
      </c>
      <c r="L67" s="2" t="s">
        <v>316</v>
      </c>
      <c r="M67" s="26" t="n">
        <f>39029</f>
        <v>39029.0</v>
      </c>
      <c r="N67" s="3" t="s">
        <v>328</v>
      </c>
      <c r="O67" s="27" t="n">
        <f>3386</f>
        <v>3386.0</v>
      </c>
      <c r="P67" s="29" t="s">
        <v>329</v>
      </c>
      <c r="Q67" s="25"/>
      <c r="R67" s="29" t="s">
        <v>262</v>
      </c>
      <c r="S67" s="25" t="n">
        <f>185060328430</f>
        <v>1.8506032843E11</v>
      </c>
      <c r="T67" s="25" t="str">
        <f>"－"</f>
        <v>－</v>
      </c>
      <c r="U67" s="3" t="s">
        <v>316</v>
      </c>
      <c r="V67" s="27" t="n">
        <f>535260880000</f>
        <v>5.3526088E11</v>
      </c>
      <c r="W67" s="3" t="s">
        <v>328</v>
      </c>
      <c r="X67" s="27" t="n">
        <f>49885800000</f>
        <v>4.98858E10</v>
      </c>
      <c r="Y67" s="27"/>
      <c r="Z67" s="25" t="str">
        <f>"－"</f>
        <v>－</v>
      </c>
      <c r="AA67" s="25" t="n">
        <f>113836</f>
        <v>113836.0</v>
      </c>
      <c r="AB67" s="2" t="s">
        <v>98</v>
      </c>
      <c r="AC67" s="26" t="n">
        <f>151216</f>
        <v>151216.0</v>
      </c>
      <c r="AD67" s="3" t="s">
        <v>328</v>
      </c>
      <c r="AE67" s="27" t="n">
        <f>101025</f>
        <v>101025.0</v>
      </c>
    </row>
    <row r="68">
      <c r="A68" s="20" t="s">
        <v>256</v>
      </c>
      <c r="B68" s="21" t="s">
        <v>257</v>
      </c>
      <c r="C68" s="22"/>
      <c r="D68" s="23"/>
      <c r="E68" s="24" t="s">
        <v>330</v>
      </c>
      <c r="F68" s="28" t="n">
        <f>124</f>
        <v>124.0</v>
      </c>
      <c r="G68" s="25" t="n">
        <f>1465161</f>
        <v>1465161.0</v>
      </c>
      <c r="H68" s="25"/>
      <c r="I68" s="25" t="str">
        <f>"－"</f>
        <v>－</v>
      </c>
      <c r="J68" s="25" t="n">
        <f>11816</f>
        <v>11816.0</v>
      </c>
      <c r="K68" s="25" t="str">
        <f>"－"</f>
        <v>－</v>
      </c>
      <c r="L68" s="2" t="s">
        <v>331</v>
      </c>
      <c r="M68" s="26" t="n">
        <f>56672</f>
        <v>56672.0</v>
      </c>
      <c r="N68" s="3" t="s">
        <v>332</v>
      </c>
      <c r="O68" s="27" t="n">
        <f>3400</f>
        <v>3400.0</v>
      </c>
      <c r="P68" s="29" t="s">
        <v>333</v>
      </c>
      <c r="Q68" s="25"/>
      <c r="R68" s="29" t="s">
        <v>262</v>
      </c>
      <c r="S68" s="25" t="n">
        <f>159529283710</f>
        <v>1.5952928371E11</v>
      </c>
      <c r="T68" s="25" t="str">
        <f>"－"</f>
        <v>－</v>
      </c>
      <c r="U68" s="3" t="s">
        <v>331</v>
      </c>
      <c r="V68" s="27" t="n">
        <f>820192580000</f>
        <v>8.2019258E11</v>
      </c>
      <c r="W68" s="3" t="s">
        <v>334</v>
      </c>
      <c r="X68" s="27" t="n">
        <f>46212780000</f>
        <v>4.621278E10</v>
      </c>
      <c r="Y68" s="27"/>
      <c r="Z68" s="25" t="str">
        <f>"－"</f>
        <v>－</v>
      </c>
      <c r="AA68" s="25" t="n">
        <f>127632</f>
        <v>127632.0</v>
      </c>
      <c r="AB68" s="2" t="s">
        <v>53</v>
      </c>
      <c r="AC68" s="26" t="n">
        <f>160693</f>
        <v>160693.0</v>
      </c>
      <c r="AD68" s="3" t="s">
        <v>335</v>
      </c>
      <c r="AE68" s="27" t="n">
        <f>105718</f>
        <v>105718.0</v>
      </c>
    </row>
    <row r="69">
      <c r="A69" s="20" t="s">
        <v>256</v>
      </c>
      <c r="B69" s="21" t="s">
        <v>257</v>
      </c>
      <c r="C69" s="22"/>
      <c r="D69" s="23"/>
      <c r="E69" s="24" t="s">
        <v>336</v>
      </c>
      <c r="F69" s="28" t="n">
        <f>122</f>
        <v>122.0</v>
      </c>
      <c r="G69" s="25" t="n">
        <f>1336514</f>
        <v>1336514.0</v>
      </c>
      <c r="H69" s="25"/>
      <c r="I69" s="25" t="str">
        <f>"－"</f>
        <v>－</v>
      </c>
      <c r="J69" s="25" t="n">
        <f>10955</f>
        <v>10955.0</v>
      </c>
      <c r="K69" s="25" t="str">
        <f>"－"</f>
        <v>－</v>
      </c>
      <c r="L69" s="2" t="s">
        <v>88</v>
      </c>
      <c r="M69" s="26" t="n">
        <f>56160</f>
        <v>56160.0</v>
      </c>
      <c r="N69" s="3" t="s">
        <v>212</v>
      </c>
      <c r="O69" s="27" t="n">
        <f>2726</f>
        <v>2726.0</v>
      </c>
      <c r="P69" s="29" t="s">
        <v>337</v>
      </c>
      <c r="Q69" s="25"/>
      <c r="R69" s="29" t="s">
        <v>262</v>
      </c>
      <c r="S69" s="25" t="n">
        <f>134779900902</f>
        <v>1.34779900902E11</v>
      </c>
      <c r="T69" s="25" t="str">
        <f>"－"</f>
        <v>－</v>
      </c>
      <c r="U69" s="3" t="s">
        <v>88</v>
      </c>
      <c r="V69" s="27" t="n">
        <f>673594965000</f>
        <v>6.73594965E11</v>
      </c>
      <c r="W69" s="3" t="s">
        <v>212</v>
      </c>
      <c r="X69" s="27" t="n">
        <f>33899005000</f>
        <v>3.3899005E10</v>
      </c>
      <c r="Y69" s="27"/>
      <c r="Z69" s="25" t="str">
        <f>"－"</f>
        <v>－</v>
      </c>
      <c r="AA69" s="25" t="n">
        <f>120687</f>
        <v>120687.0</v>
      </c>
      <c r="AB69" s="2" t="s">
        <v>189</v>
      </c>
      <c r="AC69" s="26" t="n">
        <f>148459</f>
        <v>148459.0</v>
      </c>
      <c r="AD69" s="3" t="s">
        <v>172</v>
      </c>
      <c r="AE69" s="27" t="n">
        <f>114125</f>
        <v>114125.0</v>
      </c>
    </row>
    <row r="70">
      <c r="A70" s="20" t="s">
        <v>256</v>
      </c>
      <c r="B70" s="21" t="s">
        <v>257</v>
      </c>
      <c r="C70" s="22"/>
      <c r="D70" s="23"/>
      <c r="E70" s="24" t="s">
        <v>338</v>
      </c>
      <c r="F70" s="28" t="n">
        <f>125</f>
        <v>125.0</v>
      </c>
      <c r="G70" s="25" t="n">
        <f>1390471</f>
        <v>1390471.0</v>
      </c>
      <c r="H70" s="25"/>
      <c r="I70" s="25" t="n">
        <f>49470</f>
        <v>49470.0</v>
      </c>
      <c r="J70" s="25" t="n">
        <f>11124</f>
        <v>11124.0</v>
      </c>
      <c r="K70" s="25" t="n">
        <f>396</f>
        <v>396.0</v>
      </c>
      <c r="L70" s="2" t="s">
        <v>128</v>
      </c>
      <c r="M70" s="26" t="n">
        <f>52307</f>
        <v>52307.0</v>
      </c>
      <c r="N70" s="3" t="s">
        <v>339</v>
      </c>
      <c r="O70" s="27" t="n">
        <f>2285</f>
        <v>2285.0</v>
      </c>
      <c r="P70" s="29" t="s">
        <v>340</v>
      </c>
      <c r="Q70" s="25"/>
      <c r="R70" s="29" t="s">
        <v>341</v>
      </c>
      <c r="S70" s="25" t="n">
        <f>125041082480</f>
        <v>1.2504108248E11</v>
      </c>
      <c r="T70" s="25" t="n">
        <f>4388221040</f>
        <v>4.38822104E9</v>
      </c>
      <c r="U70" s="3" t="s">
        <v>128</v>
      </c>
      <c r="V70" s="27" t="n">
        <f>591263130000</f>
        <v>5.9126313E11</v>
      </c>
      <c r="W70" s="3" t="s">
        <v>129</v>
      </c>
      <c r="X70" s="27" t="n">
        <f>26649970000</f>
        <v>2.664997E10</v>
      </c>
      <c r="Y70" s="27"/>
      <c r="Z70" s="25" t="str">
        <f>"－"</f>
        <v>－</v>
      </c>
      <c r="AA70" s="25" t="n">
        <f>98355</f>
        <v>98355.0</v>
      </c>
      <c r="AB70" s="2" t="s">
        <v>95</v>
      </c>
      <c r="AC70" s="26" t="n">
        <f>159133</f>
        <v>159133.0</v>
      </c>
      <c r="AD70" s="3" t="s">
        <v>54</v>
      </c>
      <c r="AE70" s="27" t="n">
        <f>97597</f>
        <v>97597.0</v>
      </c>
    </row>
    <row r="71">
      <c r="A71" s="20" t="s">
        <v>256</v>
      </c>
      <c r="B71" s="21" t="s">
        <v>257</v>
      </c>
      <c r="C71" s="22"/>
      <c r="D71" s="23"/>
      <c r="E71" s="24" t="s">
        <v>342</v>
      </c>
      <c r="F71" s="28" t="n">
        <f>121</f>
        <v>121.0</v>
      </c>
      <c r="G71" s="25" t="n">
        <f>1541893</f>
        <v>1541893.0</v>
      </c>
      <c r="H71" s="25"/>
      <c r="I71" s="25" t="n">
        <f>254323</f>
        <v>254323.0</v>
      </c>
      <c r="J71" s="25" t="n">
        <f>12743</f>
        <v>12743.0</v>
      </c>
      <c r="K71" s="25" t="n">
        <f>2102</f>
        <v>2102.0</v>
      </c>
      <c r="L71" s="2" t="s">
        <v>74</v>
      </c>
      <c r="M71" s="26" t="n">
        <f>59436</f>
        <v>59436.0</v>
      </c>
      <c r="N71" s="3" t="s">
        <v>343</v>
      </c>
      <c r="O71" s="27" t="n">
        <f>3963</f>
        <v>3963.0</v>
      </c>
      <c r="P71" s="29" t="s">
        <v>344</v>
      </c>
      <c r="Q71" s="25"/>
      <c r="R71" s="29" t="s">
        <v>345</v>
      </c>
      <c r="S71" s="25" t="n">
        <f>157510511281</f>
        <v>1.57510511281E11</v>
      </c>
      <c r="T71" s="25" t="n">
        <f>25834084959</f>
        <v>2.5834084959E10</v>
      </c>
      <c r="U71" s="3" t="s">
        <v>74</v>
      </c>
      <c r="V71" s="27" t="n">
        <f>686193740000</f>
        <v>6.8619374E11</v>
      </c>
      <c r="W71" s="3" t="s">
        <v>156</v>
      </c>
      <c r="X71" s="27" t="n">
        <f>48937140000</f>
        <v>4.893714E10</v>
      </c>
      <c r="Y71" s="27"/>
      <c r="Z71" s="25" t="str">
        <f>"－"</f>
        <v>－</v>
      </c>
      <c r="AA71" s="25" t="n">
        <f>104346</f>
        <v>104346.0</v>
      </c>
      <c r="AB71" s="2" t="s">
        <v>88</v>
      </c>
      <c r="AC71" s="26" t="n">
        <f>144002</f>
        <v>144002.0</v>
      </c>
      <c r="AD71" s="3" t="s">
        <v>346</v>
      </c>
      <c r="AE71" s="27" t="n">
        <f>95376</f>
        <v>95376.0</v>
      </c>
    </row>
    <row r="72">
      <c r="A72" s="20" t="s">
        <v>256</v>
      </c>
      <c r="B72" s="21" t="s">
        <v>257</v>
      </c>
      <c r="C72" s="22"/>
      <c r="D72" s="23"/>
      <c r="E72" s="24" t="s">
        <v>347</v>
      </c>
      <c r="F72" s="28" t="n">
        <f>124</f>
        <v>124.0</v>
      </c>
      <c r="G72" s="25" t="n">
        <f>1615548</f>
        <v>1615548.0</v>
      </c>
      <c r="H72" s="25"/>
      <c r="I72" s="25" t="n">
        <f>334746</f>
        <v>334746.0</v>
      </c>
      <c r="J72" s="25" t="n">
        <f>13029</f>
        <v>13029.0</v>
      </c>
      <c r="K72" s="25" t="n">
        <f>2700</f>
        <v>2700.0</v>
      </c>
      <c r="L72" s="2" t="s">
        <v>137</v>
      </c>
      <c r="M72" s="26" t="n">
        <f>76190</f>
        <v>76190.0</v>
      </c>
      <c r="N72" s="3" t="s">
        <v>129</v>
      </c>
      <c r="O72" s="27" t="n">
        <f>2064</f>
        <v>2064.0</v>
      </c>
      <c r="P72" s="29" t="s">
        <v>348</v>
      </c>
      <c r="Q72" s="25"/>
      <c r="R72" s="29" t="s">
        <v>349</v>
      </c>
      <c r="S72" s="25" t="n">
        <f>201516046169</f>
        <v>2.01516046169E11</v>
      </c>
      <c r="T72" s="25" t="n">
        <f>41844977863</f>
        <v>4.1844977863E10</v>
      </c>
      <c r="U72" s="3" t="s">
        <v>137</v>
      </c>
      <c r="V72" s="27" t="n">
        <f>1246340375000</f>
        <v>1.246340375E12</v>
      </c>
      <c r="W72" s="3" t="s">
        <v>129</v>
      </c>
      <c r="X72" s="27" t="n">
        <f>35346465000</f>
        <v>3.5346465E10</v>
      </c>
      <c r="Y72" s="27"/>
      <c r="Z72" s="25" t="str">
        <f>"－"</f>
        <v>－</v>
      </c>
      <c r="AA72" s="25" t="n">
        <f>113580</f>
        <v>113580.0</v>
      </c>
      <c r="AB72" s="2" t="s">
        <v>81</v>
      </c>
      <c r="AC72" s="26" t="n">
        <f>147638</f>
        <v>147638.0</v>
      </c>
      <c r="AD72" s="3" t="s">
        <v>350</v>
      </c>
      <c r="AE72" s="27" t="n">
        <f>102290</f>
        <v>102290.0</v>
      </c>
    </row>
    <row r="73">
      <c r="A73" s="20" t="s">
        <v>256</v>
      </c>
      <c r="B73" s="21" t="s">
        <v>257</v>
      </c>
      <c r="C73" s="22"/>
      <c r="D73" s="23"/>
      <c r="E73" s="24" t="s">
        <v>351</v>
      </c>
      <c r="F73" s="28" t="n">
        <f>123</f>
        <v>123.0</v>
      </c>
      <c r="G73" s="25" t="n">
        <f>2187485</f>
        <v>2187485.0</v>
      </c>
      <c r="H73" s="25"/>
      <c r="I73" s="25" t="n">
        <f>577076</f>
        <v>577076.0</v>
      </c>
      <c r="J73" s="25" t="n">
        <f>17784</f>
        <v>17784.0</v>
      </c>
      <c r="K73" s="25" t="n">
        <f>4692</f>
        <v>4692.0</v>
      </c>
      <c r="L73" s="2" t="s">
        <v>146</v>
      </c>
      <c r="M73" s="26" t="n">
        <f>87293</f>
        <v>87293.0</v>
      </c>
      <c r="N73" s="3" t="s">
        <v>188</v>
      </c>
      <c r="O73" s="27" t="n">
        <f>5292</f>
        <v>5292.0</v>
      </c>
      <c r="P73" s="29" t="s">
        <v>352</v>
      </c>
      <c r="Q73" s="25"/>
      <c r="R73" s="29" t="s">
        <v>353</v>
      </c>
      <c r="S73" s="25" t="n">
        <f>291051826024</f>
        <v>2.91051826024E11</v>
      </c>
      <c r="T73" s="25" t="n">
        <f>76315445171</f>
        <v>7.6315445171E10</v>
      </c>
      <c r="U73" s="3" t="s">
        <v>146</v>
      </c>
      <c r="V73" s="27" t="n">
        <f>1385071791000</f>
        <v>1.385071791E12</v>
      </c>
      <c r="W73" s="3" t="s">
        <v>315</v>
      </c>
      <c r="X73" s="27" t="n">
        <f>86730939000</f>
        <v>8.6730939E10</v>
      </c>
      <c r="Y73" s="27"/>
      <c r="Z73" s="25" t="str">
        <f>"－"</f>
        <v>－</v>
      </c>
      <c r="AA73" s="25" t="n">
        <f>129430</f>
        <v>129430.0</v>
      </c>
      <c r="AB73" s="2" t="s">
        <v>56</v>
      </c>
      <c r="AC73" s="26" t="n">
        <f>167829</f>
        <v>167829.0</v>
      </c>
      <c r="AD73" s="3" t="s">
        <v>328</v>
      </c>
      <c r="AE73" s="27" t="n">
        <f>113419</f>
        <v>113419.0</v>
      </c>
    </row>
    <row r="74">
      <c r="A74" s="20" t="s">
        <v>256</v>
      </c>
      <c r="B74" s="21" t="s">
        <v>257</v>
      </c>
      <c r="C74" s="22"/>
      <c r="D74" s="23"/>
      <c r="E74" s="24" t="s">
        <v>354</v>
      </c>
      <c r="F74" s="28" t="n">
        <f>125</f>
        <v>125.0</v>
      </c>
      <c r="G74" s="25" t="n">
        <f>1961291</f>
        <v>1961291.0</v>
      </c>
      <c r="H74" s="25"/>
      <c r="I74" s="25" t="n">
        <f>593184</f>
        <v>593184.0</v>
      </c>
      <c r="J74" s="25" t="n">
        <f>15690</f>
        <v>15690.0</v>
      </c>
      <c r="K74" s="25" t="n">
        <f>4745</f>
        <v>4745.0</v>
      </c>
      <c r="L74" s="2" t="s">
        <v>90</v>
      </c>
      <c r="M74" s="26" t="n">
        <f>121375</f>
        <v>121375.0</v>
      </c>
      <c r="N74" s="3" t="s">
        <v>64</v>
      </c>
      <c r="O74" s="27" t="n">
        <f>3747</f>
        <v>3747.0</v>
      </c>
      <c r="P74" s="29" t="s">
        <v>355</v>
      </c>
      <c r="Q74" s="25"/>
      <c r="R74" s="29" t="s">
        <v>356</v>
      </c>
      <c r="S74" s="25" t="n">
        <f>227552812552</f>
        <v>2.27552812552E11</v>
      </c>
      <c r="T74" s="25" t="n">
        <f>68753379712</f>
        <v>6.8753379712E10</v>
      </c>
      <c r="U74" s="3" t="s">
        <v>90</v>
      </c>
      <c r="V74" s="27" t="n">
        <f>1801365978000</f>
        <v>1.801365978E12</v>
      </c>
      <c r="W74" s="3" t="s">
        <v>64</v>
      </c>
      <c r="X74" s="27" t="n">
        <f>48353647000</f>
        <v>4.8353647E10</v>
      </c>
      <c r="Y74" s="27"/>
      <c r="Z74" s="25" t="str">
        <f>"－"</f>
        <v>－</v>
      </c>
      <c r="AA74" s="25" t="n">
        <f>150050</f>
        <v>150050.0</v>
      </c>
      <c r="AB74" s="2" t="s">
        <v>77</v>
      </c>
      <c r="AC74" s="26" t="n">
        <f>196389</f>
        <v>196389.0</v>
      </c>
      <c r="AD74" s="3" t="s">
        <v>225</v>
      </c>
      <c r="AE74" s="27" t="n">
        <f>130792</f>
        <v>130792.0</v>
      </c>
    </row>
    <row r="75">
      <c r="A75" s="20" t="s">
        <v>256</v>
      </c>
      <c r="B75" s="21" t="s">
        <v>257</v>
      </c>
      <c r="C75" s="22"/>
      <c r="D75" s="23"/>
      <c r="E75" s="24" t="s">
        <v>357</v>
      </c>
      <c r="F75" s="28" t="n">
        <f>121</f>
        <v>121.0</v>
      </c>
      <c r="G75" s="25" t="n">
        <f>2289493</f>
        <v>2289493.0</v>
      </c>
      <c r="H75" s="25"/>
      <c r="I75" s="25" t="n">
        <f>696557</f>
        <v>696557.0</v>
      </c>
      <c r="J75" s="25" t="n">
        <f>18921</f>
        <v>18921.0</v>
      </c>
      <c r="K75" s="25" t="n">
        <f>5757</f>
        <v>5757.0</v>
      </c>
      <c r="L75" s="2" t="s">
        <v>152</v>
      </c>
      <c r="M75" s="26" t="n">
        <f>157808</f>
        <v>157808.0</v>
      </c>
      <c r="N75" s="3" t="s">
        <v>358</v>
      </c>
      <c r="O75" s="27" t="n">
        <f>4270</f>
        <v>4270.0</v>
      </c>
      <c r="P75" s="29" t="s">
        <v>359</v>
      </c>
      <c r="Q75" s="25"/>
      <c r="R75" s="29" t="s">
        <v>360</v>
      </c>
      <c r="S75" s="25" t="n">
        <f>242798497000</f>
        <v>2.42798497E11</v>
      </c>
      <c r="T75" s="25" t="n">
        <f>73547120678</f>
        <v>7.3547120678E10</v>
      </c>
      <c r="U75" s="3" t="s">
        <v>152</v>
      </c>
      <c r="V75" s="27" t="n">
        <f>2069401095000</f>
        <v>2.069401095E12</v>
      </c>
      <c r="W75" s="3" t="s">
        <v>358</v>
      </c>
      <c r="X75" s="27" t="n">
        <f>53943080000</f>
        <v>5.394308E10</v>
      </c>
      <c r="Y75" s="27"/>
      <c r="Z75" s="25" t="str">
        <f>"－"</f>
        <v>－</v>
      </c>
      <c r="AA75" s="25" t="n">
        <f>186264</f>
        <v>186264.0</v>
      </c>
      <c r="AB75" s="2" t="s">
        <v>152</v>
      </c>
      <c r="AC75" s="26" t="n">
        <f>245871</f>
        <v>245871.0</v>
      </c>
      <c r="AD75" s="3" t="s">
        <v>156</v>
      </c>
      <c r="AE75" s="27" t="n">
        <f>148777</f>
        <v>148777.0</v>
      </c>
    </row>
    <row r="76">
      <c r="A76" s="20" t="s">
        <v>256</v>
      </c>
      <c r="B76" s="21" t="s">
        <v>257</v>
      </c>
      <c r="C76" s="22"/>
      <c r="D76" s="23"/>
      <c r="E76" s="24" t="s">
        <v>361</v>
      </c>
      <c r="F76" s="28" t="n">
        <f>125</f>
        <v>125.0</v>
      </c>
      <c r="G76" s="25" t="n">
        <f>2782453</f>
        <v>2782453.0</v>
      </c>
      <c r="H76" s="25"/>
      <c r="I76" s="25" t="n">
        <f>918028</f>
        <v>918028.0</v>
      </c>
      <c r="J76" s="25" t="n">
        <f>22260</f>
        <v>22260.0</v>
      </c>
      <c r="K76" s="25" t="n">
        <f>7344</f>
        <v>7344.0</v>
      </c>
      <c r="L76" s="2" t="s">
        <v>67</v>
      </c>
      <c r="M76" s="26" t="n">
        <f>186714</f>
        <v>186714.0</v>
      </c>
      <c r="N76" s="3" t="s">
        <v>362</v>
      </c>
      <c r="O76" s="27" t="n">
        <f>6694</f>
        <v>6694.0</v>
      </c>
      <c r="P76" s="29" t="s">
        <v>363</v>
      </c>
      <c r="Q76" s="25"/>
      <c r="R76" s="29" t="s">
        <v>364</v>
      </c>
      <c r="S76" s="25" t="n">
        <f>237307506112</f>
        <v>2.37307506112E11</v>
      </c>
      <c r="T76" s="25" t="n">
        <f>76830788832</f>
        <v>7.6830788832E10</v>
      </c>
      <c r="U76" s="3" t="s">
        <v>67</v>
      </c>
      <c r="V76" s="27" t="n">
        <f>1896137336000</f>
        <v>1.896137336E12</v>
      </c>
      <c r="W76" s="3" t="s">
        <v>362</v>
      </c>
      <c r="X76" s="27" t="n">
        <f>83166053000</f>
        <v>8.3166053E10</v>
      </c>
      <c r="Y76" s="27"/>
      <c r="Z76" s="25" t="str">
        <f>"－"</f>
        <v>－</v>
      </c>
      <c r="AA76" s="25" t="n">
        <f>191386</f>
        <v>191386.0</v>
      </c>
      <c r="AB76" s="2" t="s">
        <v>53</v>
      </c>
      <c r="AC76" s="26" t="n">
        <f>252014</f>
        <v>252014.0</v>
      </c>
      <c r="AD76" s="3" t="s">
        <v>175</v>
      </c>
      <c r="AE76" s="27" t="n">
        <f>182203</f>
        <v>182203.0</v>
      </c>
    </row>
    <row r="77">
      <c r="A77" s="20" t="s">
        <v>256</v>
      </c>
      <c r="B77" s="21" t="s">
        <v>257</v>
      </c>
      <c r="C77" s="22"/>
      <c r="D77" s="23"/>
      <c r="E77" s="24" t="s">
        <v>365</v>
      </c>
      <c r="F77" s="28" t="n">
        <f>120</f>
        <v>120.0</v>
      </c>
      <c r="G77" s="25" t="n">
        <f>3422511</f>
        <v>3422511.0</v>
      </c>
      <c r="H77" s="25"/>
      <c r="I77" s="25" t="n">
        <f>1130015</f>
        <v>1130015.0</v>
      </c>
      <c r="J77" s="25" t="n">
        <f>28521</f>
        <v>28521.0</v>
      </c>
      <c r="K77" s="25" t="n">
        <f>9417</f>
        <v>9417.0</v>
      </c>
      <c r="L77" s="2" t="s">
        <v>111</v>
      </c>
      <c r="M77" s="26" t="n">
        <f>250678</f>
        <v>250678.0</v>
      </c>
      <c r="N77" s="3" t="s">
        <v>366</v>
      </c>
      <c r="O77" s="27" t="n">
        <f>7155</f>
        <v>7155.0</v>
      </c>
      <c r="P77" s="29" t="s">
        <v>367</v>
      </c>
      <c r="Q77" s="25"/>
      <c r="R77" s="29" t="s">
        <v>368</v>
      </c>
      <c r="S77" s="25" t="n">
        <f>302928114842</f>
        <v>3.02928114842E11</v>
      </c>
      <c r="T77" s="25" t="n">
        <f>100872064008</f>
        <v>1.00872064008E11</v>
      </c>
      <c r="U77" s="3" t="s">
        <v>111</v>
      </c>
      <c r="V77" s="27" t="n">
        <f>2703305470000</f>
        <v>2.70330547E12</v>
      </c>
      <c r="W77" s="3" t="s">
        <v>366</v>
      </c>
      <c r="X77" s="27" t="n">
        <f>77670339000</f>
        <v>7.7670339E10</v>
      </c>
      <c r="Y77" s="27"/>
      <c r="Z77" s="25" t="str">
        <f>"－"</f>
        <v>－</v>
      </c>
      <c r="AA77" s="25" t="n">
        <f>221985</f>
        <v>221985.0</v>
      </c>
      <c r="AB77" s="2" t="s">
        <v>70</v>
      </c>
      <c r="AC77" s="26" t="n">
        <f>321205</f>
        <v>321205.0</v>
      </c>
      <c r="AD77" s="3" t="s">
        <v>369</v>
      </c>
      <c r="AE77" s="27" t="n">
        <f>190864</f>
        <v>190864.0</v>
      </c>
    </row>
    <row r="78">
      <c r="A78" s="20" t="s">
        <v>256</v>
      </c>
      <c r="B78" s="21" t="s">
        <v>257</v>
      </c>
      <c r="C78" s="22"/>
      <c r="D78" s="23"/>
      <c r="E78" s="24" t="s">
        <v>370</v>
      </c>
      <c r="F78" s="28" t="n">
        <f>126</f>
        <v>126.0</v>
      </c>
      <c r="G78" s="25" t="n">
        <f>3708667</f>
        <v>3708667.0</v>
      </c>
      <c r="H78" s="25"/>
      <c r="I78" s="25" t="n">
        <f>1260954</f>
        <v>1260954.0</v>
      </c>
      <c r="J78" s="25" t="n">
        <f>29434</f>
        <v>29434.0</v>
      </c>
      <c r="K78" s="25" t="n">
        <f>10008</f>
        <v>10008.0</v>
      </c>
      <c r="L78" s="2" t="s">
        <v>67</v>
      </c>
      <c r="M78" s="26" t="n">
        <f>208768</f>
        <v>208768.0</v>
      </c>
      <c r="N78" s="3" t="s">
        <v>129</v>
      </c>
      <c r="O78" s="27" t="n">
        <f>7480</f>
        <v>7480.0</v>
      </c>
      <c r="P78" s="29" t="s">
        <v>371</v>
      </c>
      <c r="Q78" s="25"/>
      <c r="R78" s="29" t="s">
        <v>372</v>
      </c>
      <c r="S78" s="25" t="n">
        <f>266275673016</f>
        <v>2.66275673016E11</v>
      </c>
      <c r="T78" s="25" t="n">
        <f>89924336071</f>
        <v>8.9924336071E10</v>
      </c>
      <c r="U78" s="3" t="s">
        <v>67</v>
      </c>
      <c r="V78" s="27" t="n">
        <f>1788956236000</f>
        <v>1.788956236E12</v>
      </c>
      <c r="W78" s="3" t="s">
        <v>129</v>
      </c>
      <c r="X78" s="27" t="n">
        <f>62838000000</f>
        <v>6.2838E10</v>
      </c>
      <c r="Y78" s="27"/>
      <c r="Z78" s="25" t="str">
        <f>"－"</f>
        <v>－</v>
      </c>
      <c r="AA78" s="25" t="n">
        <f>237825</f>
        <v>237825.0</v>
      </c>
      <c r="AB78" s="2" t="s">
        <v>82</v>
      </c>
      <c r="AC78" s="26" t="n">
        <f>370259</f>
        <v>370259.0</v>
      </c>
      <c r="AD78" s="3" t="s">
        <v>373</v>
      </c>
      <c r="AE78" s="27" t="n">
        <f>203865</f>
        <v>203865.0</v>
      </c>
    </row>
    <row r="79">
      <c r="A79" s="20" t="s">
        <v>256</v>
      </c>
      <c r="B79" s="21" t="s">
        <v>257</v>
      </c>
      <c r="C79" s="22"/>
      <c r="D79" s="23"/>
      <c r="E79" s="24" t="s">
        <v>374</v>
      </c>
      <c r="F79" s="28" t="n">
        <f>121</f>
        <v>121.0</v>
      </c>
      <c r="G79" s="25" t="n">
        <f>4500974</f>
        <v>4500974.0</v>
      </c>
      <c r="H79" s="25"/>
      <c r="I79" s="25" t="n">
        <f>1808654</f>
        <v>1808654.0</v>
      </c>
      <c r="J79" s="25" t="n">
        <f>37198</f>
        <v>37198.0</v>
      </c>
      <c r="K79" s="25" t="n">
        <f>14948</f>
        <v>14948.0</v>
      </c>
      <c r="L79" s="2" t="s">
        <v>307</v>
      </c>
      <c r="M79" s="26" t="n">
        <f>296559</f>
        <v>296559.0</v>
      </c>
      <c r="N79" s="3" t="s">
        <v>375</v>
      </c>
      <c r="O79" s="27" t="n">
        <f>14515</f>
        <v>14515.0</v>
      </c>
      <c r="P79" s="29" t="s">
        <v>376</v>
      </c>
      <c r="Q79" s="25"/>
      <c r="R79" s="29" t="s">
        <v>377</v>
      </c>
      <c r="S79" s="25" t="n">
        <f>307891129711</f>
        <v>3.07891129711E11</v>
      </c>
      <c r="T79" s="25" t="n">
        <f>123757343802</f>
        <v>1.23757343802E11</v>
      </c>
      <c r="U79" s="3" t="s">
        <v>307</v>
      </c>
      <c r="V79" s="27" t="n">
        <f>2568649823000</f>
        <v>2.568649823E12</v>
      </c>
      <c r="W79" s="3" t="s">
        <v>375</v>
      </c>
      <c r="X79" s="27" t="n">
        <f>122427453000</f>
        <v>1.22427453E11</v>
      </c>
      <c r="Y79" s="27"/>
      <c r="Z79" s="25" t="str">
        <f>"－"</f>
        <v>－</v>
      </c>
      <c r="AA79" s="25" t="n">
        <f>276326</f>
        <v>276326.0</v>
      </c>
      <c r="AB79" s="2" t="s">
        <v>101</v>
      </c>
      <c r="AC79" s="26" t="n">
        <f>366678</f>
        <v>366678.0</v>
      </c>
      <c r="AD79" s="3" t="s">
        <v>378</v>
      </c>
      <c r="AE79" s="27" t="n">
        <f>233926</f>
        <v>233926.0</v>
      </c>
    </row>
    <row r="80">
      <c r="A80" s="20" t="s">
        <v>256</v>
      </c>
      <c r="B80" s="21" t="s">
        <v>257</v>
      </c>
      <c r="C80" s="22"/>
      <c r="D80" s="23"/>
      <c r="E80" s="24" t="s">
        <v>379</v>
      </c>
      <c r="F80" s="28" t="n">
        <f>124</f>
        <v>124.0</v>
      </c>
      <c r="G80" s="25" t="n">
        <f>4858073</f>
        <v>4858073.0</v>
      </c>
      <c r="H80" s="25"/>
      <c r="I80" s="25" t="n">
        <f>1636591</f>
        <v>1636591.0</v>
      </c>
      <c r="J80" s="25" t="n">
        <f>39178</f>
        <v>39178.0</v>
      </c>
      <c r="K80" s="25" t="n">
        <f>13198</f>
        <v>13198.0</v>
      </c>
      <c r="L80" s="2" t="s">
        <v>49</v>
      </c>
      <c r="M80" s="26" t="n">
        <f>324528</f>
        <v>324528.0</v>
      </c>
      <c r="N80" s="3" t="s">
        <v>114</v>
      </c>
      <c r="O80" s="27" t="n">
        <f>10331</f>
        <v>10331.0</v>
      </c>
      <c r="P80" s="29" t="s">
        <v>380</v>
      </c>
      <c r="Q80" s="25"/>
      <c r="R80" s="29" t="s">
        <v>381</v>
      </c>
      <c r="S80" s="25" t="n">
        <f>394661555444</f>
        <v>3.94661555444E11</v>
      </c>
      <c r="T80" s="25" t="n">
        <f>133379715726</f>
        <v>1.33379715726E11</v>
      </c>
      <c r="U80" s="3" t="s">
        <v>49</v>
      </c>
      <c r="V80" s="27" t="n">
        <f>3185702005000</f>
        <v>3.185702005E12</v>
      </c>
      <c r="W80" s="3" t="s">
        <v>114</v>
      </c>
      <c r="X80" s="27" t="n">
        <f>104526503000</f>
        <v>1.04526503E11</v>
      </c>
      <c r="Y80" s="27"/>
      <c r="Z80" s="25" t="str">
        <f>"－"</f>
        <v>－</v>
      </c>
      <c r="AA80" s="25" t="n">
        <f>295606</f>
        <v>295606.0</v>
      </c>
      <c r="AB80" s="2" t="s">
        <v>53</v>
      </c>
      <c r="AC80" s="26" t="n">
        <f>388101</f>
        <v>388101.0</v>
      </c>
      <c r="AD80" s="3" t="s">
        <v>335</v>
      </c>
      <c r="AE80" s="27" t="n">
        <f>258599</f>
        <v>258599.0</v>
      </c>
    </row>
    <row r="81">
      <c r="A81" s="20" t="s">
        <v>256</v>
      </c>
      <c r="B81" s="21" t="s">
        <v>257</v>
      </c>
      <c r="C81" s="22"/>
      <c r="D81" s="23"/>
      <c r="E81" s="24" t="s">
        <v>382</v>
      </c>
      <c r="F81" s="28" t="n">
        <f>122</f>
        <v>122.0</v>
      </c>
      <c r="G81" s="25" t="n">
        <f>5569630</f>
        <v>5569630.0</v>
      </c>
      <c r="H81" s="25"/>
      <c r="I81" s="25" t="n">
        <f>1880957</f>
        <v>1880957.0</v>
      </c>
      <c r="J81" s="25" t="n">
        <f>45653</f>
        <v>45653.0</v>
      </c>
      <c r="K81" s="25" t="n">
        <f>15418</f>
        <v>15418.0</v>
      </c>
      <c r="L81" s="2" t="s">
        <v>56</v>
      </c>
      <c r="M81" s="26" t="n">
        <f>403872</f>
        <v>403872.0</v>
      </c>
      <c r="N81" s="3" t="s">
        <v>147</v>
      </c>
      <c r="O81" s="27" t="n">
        <f>14975</f>
        <v>14975.0</v>
      </c>
      <c r="P81" s="29" t="s">
        <v>383</v>
      </c>
      <c r="Q81" s="25"/>
      <c r="R81" s="29" t="s">
        <v>384</v>
      </c>
      <c r="S81" s="25" t="n">
        <f>516095481459</f>
        <v>5.16095481459E11</v>
      </c>
      <c r="T81" s="25" t="n">
        <f>175383253959</f>
        <v>1.75383253959E11</v>
      </c>
      <c r="U81" s="3" t="s">
        <v>56</v>
      </c>
      <c r="V81" s="27" t="n">
        <f>4553059797000</f>
        <v>4.553059797E12</v>
      </c>
      <c r="W81" s="3" t="s">
        <v>147</v>
      </c>
      <c r="X81" s="27" t="n">
        <f>158792026000</f>
        <v>1.58792026E11</v>
      </c>
      <c r="Y81" s="27"/>
      <c r="Z81" s="25" t="str">
        <f>"－"</f>
        <v>－</v>
      </c>
      <c r="AA81" s="25" t="n">
        <f>353893</f>
        <v>353893.0</v>
      </c>
      <c r="AB81" s="2" t="s">
        <v>88</v>
      </c>
      <c r="AC81" s="26" t="n">
        <f>497075</f>
        <v>497075.0</v>
      </c>
      <c r="AD81" s="3" t="s">
        <v>180</v>
      </c>
      <c r="AE81" s="27" t="n">
        <f>289333</f>
        <v>289333.0</v>
      </c>
    </row>
    <row r="82">
      <c r="A82" s="20" t="s">
        <v>256</v>
      </c>
      <c r="B82" s="21" t="s">
        <v>257</v>
      </c>
      <c r="C82" s="22"/>
      <c r="D82" s="23"/>
      <c r="E82" s="24" t="s">
        <v>385</v>
      </c>
      <c r="F82" s="28" t="n">
        <f>124</f>
        <v>124.0</v>
      </c>
      <c r="G82" s="25" t="n">
        <f>4735387</f>
        <v>4735387.0</v>
      </c>
      <c r="H82" s="25"/>
      <c r="I82" s="25" t="n">
        <f>1681758</f>
        <v>1681758.0</v>
      </c>
      <c r="J82" s="25" t="n">
        <f>38189</f>
        <v>38189.0</v>
      </c>
      <c r="K82" s="25" t="n">
        <f>13563</f>
        <v>13563.0</v>
      </c>
      <c r="L82" s="2" t="s">
        <v>128</v>
      </c>
      <c r="M82" s="26" t="n">
        <f>402887</f>
        <v>402887.0</v>
      </c>
      <c r="N82" s="3" t="s">
        <v>80</v>
      </c>
      <c r="O82" s="27" t="n">
        <f>12950</f>
        <v>12950.0</v>
      </c>
      <c r="P82" s="29" t="s">
        <v>386</v>
      </c>
      <c r="Q82" s="25"/>
      <c r="R82" s="29" t="s">
        <v>387</v>
      </c>
      <c r="S82" s="25" t="n">
        <f>426702511637</f>
        <v>4.26702511637E11</v>
      </c>
      <c r="T82" s="25" t="n">
        <f>151834732363</f>
        <v>1.51834732363E11</v>
      </c>
      <c r="U82" s="3" t="s">
        <v>388</v>
      </c>
      <c r="V82" s="27" t="n">
        <f>4537616470000</f>
        <v>4.53761647E12</v>
      </c>
      <c r="W82" s="3" t="s">
        <v>80</v>
      </c>
      <c r="X82" s="27" t="n">
        <f>147229053000</f>
        <v>1.47229053E11</v>
      </c>
      <c r="Y82" s="27"/>
      <c r="Z82" s="25" t="str">
        <f>"－"</f>
        <v>－</v>
      </c>
      <c r="AA82" s="25" t="n">
        <f>313050</f>
        <v>313050.0</v>
      </c>
      <c r="AB82" s="2" t="s">
        <v>388</v>
      </c>
      <c r="AC82" s="26" t="n">
        <f>439296</f>
        <v>439296.0</v>
      </c>
      <c r="AD82" s="3" t="s">
        <v>117</v>
      </c>
      <c r="AE82" s="27" t="n">
        <f>285918</f>
        <v>285918.0</v>
      </c>
    </row>
    <row r="83">
      <c r="A83" s="20" t="s">
        <v>256</v>
      </c>
      <c r="B83" s="21" t="s">
        <v>257</v>
      </c>
      <c r="C83" s="22"/>
      <c r="D83" s="23"/>
      <c r="E83" s="24" t="s">
        <v>389</v>
      </c>
      <c r="F83" s="28" t="n">
        <f>121</f>
        <v>121.0</v>
      </c>
      <c r="G83" s="25" t="n">
        <f>5424255</f>
        <v>5424255.0</v>
      </c>
      <c r="H83" s="25"/>
      <c r="I83" s="25" t="n">
        <f>1878764</f>
        <v>1878764.0</v>
      </c>
      <c r="J83" s="25" t="n">
        <f>44829</f>
        <v>44829.0</v>
      </c>
      <c r="K83" s="25" t="n">
        <f>15527</f>
        <v>15527.0</v>
      </c>
      <c r="L83" s="2" t="s">
        <v>70</v>
      </c>
      <c r="M83" s="26" t="n">
        <f>401992</f>
        <v>401992.0</v>
      </c>
      <c r="N83" s="3" t="s">
        <v>135</v>
      </c>
      <c r="O83" s="27" t="n">
        <f>15788</f>
        <v>15788.0</v>
      </c>
      <c r="P83" s="29" t="s">
        <v>390</v>
      </c>
      <c r="Q83" s="25"/>
      <c r="R83" s="29" t="s">
        <v>391</v>
      </c>
      <c r="S83" s="25" t="n">
        <f>520517681339</f>
        <v>5.20517681339E11</v>
      </c>
      <c r="T83" s="25" t="n">
        <f>181000679066</f>
        <v>1.81000679066E11</v>
      </c>
      <c r="U83" s="3" t="s">
        <v>70</v>
      </c>
      <c r="V83" s="27" t="n">
        <f>4796904137000</f>
        <v>4.796904137E12</v>
      </c>
      <c r="W83" s="3" t="s">
        <v>135</v>
      </c>
      <c r="X83" s="27" t="n">
        <f>181611117000</f>
        <v>1.81611117E11</v>
      </c>
      <c r="Y83" s="27"/>
      <c r="Z83" s="25" t="str">
        <f>"－"</f>
        <v>－</v>
      </c>
      <c r="AA83" s="25" t="n">
        <f>330860</f>
        <v>330860.0</v>
      </c>
      <c r="AB83" s="2" t="s">
        <v>134</v>
      </c>
      <c r="AC83" s="26" t="n">
        <f>437472</f>
        <v>437472.0</v>
      </c>
      <c r="AD83" s="3" t="s">
        <v>98</v>
      </c>
      <c r="AE83" s="27" t="n">
        <f>309135</f>
        <v>309135.0</v>
      </c>
    </row>
    <row r="84">
      <c r="A84" s="20" t="s">
        <v>256</v>
      </c>
      <c r="B84" s="21" t="s">
        <v>257</v>
      </c>
      <c r="C84" s="22"/>
      <c r="D84" s="23"/>
      <c r="E84" s="24" t="s">
        <v>392</v>
      </c>
      <c r="F84" s="28" t="n">
        <f>124</f>
        <v>124.0</v>
      </c>
      <c r="G84" s="25" t="n">
        <f>7361707</f>
        <v>7361707.0</v>
      </c>
      <c r="H84" s="25"/>
      <c r="I84" s="25" t="n">
        <f>1961416</f>
        <v>1961416.0</v>
      </c>
      <c r="J84" s="25" t="n">
        <f>59369</f>
        <v>59369.0</v>
      </c>
      <c r="K84" s="25" t="n">
        <f>15818</f>
        <v>15818.0</v>
      </c>
      <c r="L84" s="2" t="s">
        <v>77</v>
      </c>
      <c r="M84" s="26" t="n">
        <f>559027</f>
        <v>559027.0</v>
      </c>
      <c r="N84" s="3" t="s">
        <v>393</v>
      </c>
      <c r="O84" s="27" t="n">
        <f>16824</f>
        <v>16824.0</v>
      </c>
      <c r="P84" s="29" t="s">
        <v>394</v>
      </c>
      <c r="Q84" s="25"/>
      <c r="R84" s="29" t="s">
        <v>395</v>
      </c>
      <c r="S84" s="25" t="n">
        <f>842556492774</f>
        <v>8.42556492774E11</v>
      </c>
      <c r="T84" s="25" t="n">
        <f>227263242452</f>
        <v>2.27263242452E11</v>
      </c>
      <c r="U84" s="3" t="s">
        <v>77</v>
      </c>
      <c r="V84" s="27" t="n">
        <f>8932354559000</f>
        <v>8.932354559E12</v>
      </c>
      <c r="W84" s="3" t="s">
        <v>393</v>
      </c>
      <c r="X84" s="27" t="n">
        <f>200016004000</f>
        <v>2.00016004E11</v>
      </c>
      <c r="Y84" s="27"/>
      <c r="Z84" s="25" t="str">
        <f>"－"</f>
        <v>－</v>
      </c>
      <c r="AA84" s="25" t="n">
        <f>385914</f>
        <v>385914.0</v>
      </c>
      <c r="AB84" s="2" t="s">
        <v>137</v>
      </c>
      <c r="AC84" s="26" t="n">
        <f>500760</f>
        <v>500760.0</v>
      </c>
      <c r="AD84" s="3" t="s">
        <v>68</v>
      </c>
      <c r="AE84" s="27" t="n">
        <f>330148</f>
        <v>330148.0</v>
      </c>
    </row>
    <row r="85">
      <c r="A85" s="20" t="s">
        <v>256</v>
      </c>
      <c r="B85" s="21" t="s">
        <v>257</v>
      </c>
      <c r="C85" s="22"/>
      <c r="D85" s="23"/>
      <c r="E85" s="24" t="s">
        <v>396</v>
      </c>
      <c r="F85" s="28" t="n">
        <f>123</f>
        <v>123.0</v>
      </c>
      <c r="G85" s="25" t="n">
        <f>8252149</f>
        <v>8252149.0</v>
      </c>
      <c r="H85" s="25"/>
      <c r="I85" s="25" t="n">
        <f>2097362</f>
        <v>2097362.0</v>
      </c>
      <c r="J85" s="25" t="n">
        <f>67091</f>
        <v>67091.0</v>
      </c>
      <c r="K85" s="25" t="n">
        <f>17052</f>
        <v>17052.0</v>
      </c>
      <c r="L85" s="2" t="s">
        <v>84</v>
      </c>
      <c r="M85" s="26" t="n">
        <f>528563</f>
        <v>528563.0</v>
      </c>
      <c r="N85" s="3" t="s">
        <v>397</v>
      </c>
      <c r="O85" s="27" t="n">
        <f>26954</f>
        <v>26954.0</v>
      </c>
      <c r="P85" s="29" t="s">
        <v>398</v>
      </c>
      <c r="Q85" s="25"/>
      <c r="R85" s="29" t="s">
        <v>399</v>
      </c>
      <c r="S85" s="25" t="n">
        <f>1093429642415</f>
        <v>1.093429642415E12</v>
      </c>
      <c r="T85" s="25" t="n">
        <f>274274645748</f>
        <v>2.74274645748E11</v>
      </c>
      <c r="U85" s="3" t="s">
        <v>84</v>
      </c>
      <c r="V85" s="27" t="n">
        <f>8540808250000</f>
        <v>8.54080825E12</v>
      </c>
      <c r="W85" s="3" t="s">
        <v>400</v>
      </c>
      <c r="X85" s="27" t="n">
        <f>431410625000</f>
        <v>4.31410625E11</v>
      </c>
      <c r="Y85" s="27"/>
      <c r="Z85" s="25" t="str">
        <f>"－"</f>
        <v>－</v>
      </c>
      <c r="AA85" s="25" t="n">
        <f>383069</f>
        <v>383069.0</v>
      </c>
      <c r="AB85" s="2" t="s">
        <v>56</v>
      </c>
      <c r="AC85" s="26" t="n">
        <f>500695</f>
        <v>500695.0</v>
      </c>
      <c r="AD85" s="3" t="s">
        <v>189</v>
      </c>
      <c r="AE85" s="27" t="n">
        <f>372106</f>
        <v>372106.0</v>
      </c>
    </row>
    <row r="86">
      <c r="A86" s="20" t="s">
        <v>256</v>
      </c>
      <c r="B86" s="21" t="s">
        <v>257</v>
      </c>
      <c r="C86" s="22"/>
      <c r="D86" s="23"/>
      <c r="E86" s="24" t="s">
        <v>401</v>
      </c>
      <c r="F86" s="28" t="n">
        <f>125</f>
        <v>125.0</v>
      </c>
      <c r="G86" s="25" t="n">
        <f>6655574</f>
        <v>6655574.0</v>
      </c>
      <c r="H86" s="25"/>
      <c r="I86" s="25" t="n">
        <f>1633176</f>
        <v>1633176.0</v>
      </c>
      <c r="J86" s="25" t="n">
        <f>53245</f>
        <v>53245.0</v>
      </c>
      <c r="K86" s="25" t="n">
        <f>13065</f>
        <v>13065.0</v>
      </c>
      <c r="L86" s="2" t="s">
        <v>90</v>
      </c>
      <c r="M86" s="26" t="n">
        <f>471132</f>
        <v>471132.0</v>
      </c>
      <c r="N86" s="3" t="s">
        <v>114</v>
      </c>
      <c r="O86" s="27" t="n">
        <f>18510</f>
        <v>18510.0</v>
      </c>
      <c r="P86" s="29" t="s">
        <v>402</v>
      </c>
      <c r="Q86" s="25"/>
      <c r="R86" s="29" t="s">
        <v>403</v>
      </c>
      <c r="S86" s="25" t="n">
        <f>855293935280</f>
        <v>8.5529393528E11</v>
      </c>
      <c r="T86" s="25" t="n">
        <f>211506259720</f>
        <v>2.1150625972E11</v>
      </c>
      <c r="U86" s="3" t="s">
        <v>90</v>
      </c>
      <c r="V86" s="27" t="n">
        <f>7756683961000</f>
        <v>7.756683961E12</v>
      </c>
      <c r="W86" s="3" t="s">
        <v>114</v>
      </c>
      <c r="X86" s="27" t="n">
        <f>308400392000</f>
        <v>3.08400392E11</v>
      </c>
      <c r="Y86" s="27"/>
      <c r="Z86" s="25" t="str">
        <f>"－"</f>
        <v>－</v>
      </c>
      <c r="AA86" s="25" t="n">
        <f>369690</f>
        <v>369690.0</v>
      </c>
      <c r="AB86" s="2" t="s">
        <v>90</v>
      </c>
      <c r="AC86" s="26" t="n">
        <f>490206</f>
        <v>490206.0</v>
      </c>
      <c r="AD86" s="3" t="s">
        <v>67</v>
      </c>
      <c r="AE86" s="27" t="n">
        <f>343200</f>
        <v>343200.0</v>
      </c>
    </row>
    <row r="87">
      <c r="A87" s="20" t="s">
        <v>256</v>
      </c>
      <c r="B87" s="21" t="s">
        <v>257</v>
      </c>
      <c r="C87" s="22"/>
      <c r="D87" s="23"/>
      <c r="E87" s="24" t="s">
        <v>404</v>
      </c>
      <c r="F87" s="28" t="n">
        <f>121</f>
        <v>121.0</v>
      </c>
      <c r="G87" s="25" t="n">
        <f>7720652</f>
        <v>7720652.0</v>
      </c>
      <c r="H87" s="25"/>
      <c r="I87" s="25" t="n">
        <f>1950361</f>
        <v>1950361.0</v>
      </c>
      <c r="J87" s="25" t="n">
        <f>63807</f>
        <v>63807.0</v>
      </c>
      <c r="K87" s="25" t="n">
        <f>16119</f>
        <v>16119.0</v>
      </c>
      <c r="L87" s="2" t="s">
        <v>84</v>
      </c>
      <c r="M87" s="26" t="n">
        <f>540098</f>
        <v>540098.0</v>
      </c>
      <c r="N87" s="3" t="s">
        <v>168</v>
      </c>
      <c r="O87" s="27" t="n">
        <f>27861</f>
        <v>27861.0</v>
      </c>
      <c r="P87" s="29" t="s">
        <v>405</v>
      </c>
      <c r="Q87" s="25"/>
      <c r="R87" s="29" t="s">
        <v>406</v>
      </c>
      <c r="S87" s="25" t="n">
        <f>1103981910380</f>
        <v>1.10398191038E12</v>
      </c>
      <c r="T87" s="25" t="n">
        <f>279104540793</f>
        <v>2.79104540793E11</v>
      </c>
      <c r="U87" s="3" t="s">
        <v>84</v>
      </c>
      <c r="V87" s="27" t="n">
        <f>9170887319000</f>
        <v>9.170887319E12</v>
      </c>
      <c r="W87" s="3" t="s">
        <v>168</v>
      </c>
      <c r="X87" s="27" t="n">
        <f>475558661000</f>
        <v>4.75558661E11</v>
      </c>
      <c r="Y87" s="27"/>
      <c r="Z87" s="25" t="str">
        <f>"－"</f>
        <v>－</v>
      </c>
      <c r="AA87" s="25" t="n">
        <f>371287</f>
        <v>371287.0</v>
      </c>
      <c r="AB87" s="2" t="s">
        <v>74</v>
      </c>
      <c r="AC87" s="26" t="n">
        <f>508998</f>
        <v>508998.0</v>
      </c>
      <c r="AD87" s="3" t="s">
        <v>98</v>
      </c>
      <c r="AE87" s="27" t="n">
        <f>349519</f>
        <v>349519.0</v>
      </c>
    </row>
    <row r="88">
      <c r="A88" s="20" t="s">
        <v>256</v>
      </c>
      <c r="B88" s="21" t="s">
        <v>257</v>
      </c>
      <c r="C88" s="22"/>
      <c r="D88" s="23"/>
      <c r="E88" s="24" t="s">
        <v>407</v>
      </c>
      <c r="F88" s="28" t="n">
        <f>124</f>
        <v>124.0</v>
      </c>
      <c r="G88" s="25" t="n">
        <f>8858079</f>
        <v>8858079.0</v>
      </c>
      <c r="H88" s="25"/>
      <c r="I88" s="25" t="n">
        <f>1927329</f>
        <v>1927329.0</v>
      </c>
      <c r="J88" s="25" t="n">
        <f>71436</f>
        <v>71436.0</v>
      </c>
      <c r="K88" s="25" t="n">
        <f>15543</f>
        <v>15543.0</v>
      </c>
      <c r="L88" s="2" t="s">
        <v>95</v>
      </c>
      <c r="M88" s="26" t="n">
        <f>527188</f>
        <v>527188.0</v>
      </c>
      <c r="N88" s="3" t="s">
        <v>50</v>
      </c>
      <c r="O88" s="27" t="n">
        <f>19689</f>
        <v>19689.0</v>
      </c>
      <c r="P88" s="29" t="s">
        <v>408</v>
      </c>
      <c r="Q88" s="25"/>
      <c r="R88" s="29" t="s">
        <v>409</v>
      </c>
      <c r="S88" s="25" t="n">
        <f>1126662586718</f>
        <v>1.126662586718E12</v>
      </c>
      <c r="T88" s="25" t="n">
        <f>241369512040</f>
        <v>2.4136951204E11</v>
      </c>
      <c r="U88" s="3" t="s">
        <v>67</v>
      </c>
      <c r="V88" s="27" t="n">
        <f>8062300984000</f>
        <v>8.062300984E12</v>
      </c>
      <c r="W88" s="3" t="s">
        <v>50</v>
      </c>
      <c r="X88" s="27" t="n">
        <f>296517929000</f>
        <v>2.96517929E11</v>
      </c>
      <c r="Y88" s="27"/>
      <c r="Z88" s="25" t="str">
        <f>"－"</f>
        <v>－</v>
      </c>
      <c r="AA88" s="25" t="n">
        <f>365445</f>
        <v>365445.0</v>
      </c>
      <c r="AB88" s="2" t="s">
        <v>53</v>
      </c>
      <c r="AC88" s="26" t="n">
        <f>538255</f>
        <v>538255.0</v>
      </c>
      <c r="AD88" s="3" t="s">
        <v>114</v>
      </c>
      <c r="AE88" s="27" t="n">
        <f>363235</f>
        <v>363235.0</v>
      </c>
    </row>
    <row r="89">
      <c r="A89" s="20" t="s">
        <v>256</v>
      </c>
      <c r="B89" s="21" t="s">
        <v>257</v>
      </c>
      <c r="C89" s="22"/>
      <c r="D89" s="23"/>
      <c r="E89" s="24" t="s">
        <v>410</v>
      </c>
      <c r="F89" s="28" t="n">
        <f>121</f>
        <v>121.0</v>
      </c>
      <c r="G89" s="25" t="n">
        <f>9084318</f>
        <v>9084318.0</v>
      </c>
      <c r="H89" s="25"/>
      <c r="I89" s="25" t="n">
        <f>1291113</f>
        <v>1291113.0</v>
      </c>
      <c r="J89" s="25" t="n">
        <f>75077</f>
        <v>75077.0</v>
      </c>
      <c r="K89" s="25" t="n">
        <f>10670</f>
        <v>10670.0</v>
      </c>
      <c r="L89" s="2" t="s">
        <v>134</v>
      </c>
      <c r="M89" s="26" t="n">
        <f>488687</f>
        <v>488687.0</v>
      </c>
      <c r="N89" s="3" t="s">
        <v>411</v>
      </c>
      <c r="O89" s="27" t="n">
        <f>32349</f>
        <v>32349.0</v>
      </c>
      <c r="P89" s="29" t="s">
        <v>412</v>
      </c>
      <c r="Q89" s="25"/>
      <c r="R89" s="29" t="s">
        <v>413</v>
      </c>
      <c r="S89" s="25" t="n">
        <f>990291665413</f>
        <v>9.90291665413E11</v>
      </c>
      <c r="T89" s="25" t="n">
        <f>140627414926</f>
        <v>1.40627414926E11</v>
      </c>
      <c r="U89" s="3" t="s">
        <v>134</v>
      </c>
      <c r="V89" s="27" t="n">
        <f>5923927108000</f>
        <v>5.923927108E12</v>
      </c>
      <c r="W89" s="3" t="s">
        <v>411</v>
      </c>
      <c r="X89" s="27" t="n">
        <f>421482934000</f>
        <v>4.21482934E11</v>
      </c>
      <c r="Y89" s="27"/>
      <c r="Z89" s="25" t="n">
        <f>541946</f>
        <v>541946.0</v>
      </c>
      <c r="AA89" s="25" t="n">
        <f>347722</f>
        <v>347722.0</v>
      </c>
      <c r="AB89" s="2" t="s">
        <v>75</v>
      </c>
      <c r="AC89" s="26" t="n">
        <f>616685</f>
        <v>616685.0</v>
      </c>
      <c r="AD89" s="3" t="s">
        <v>414</v>
      </c>
      <c r="AE89" s="27" t="n">
        <f>344032</f>
        <v>344032.0</v>
      </c>
    </row>
    <row r="90">
      <c r="A90" s="20" t="s">
        <v>256</v>
      </c>
      <c r="B90" s="21" t="s">
        <v>257</v>
      </c>
      <c r="C90" s="22"/>
      <c r="D90" s="23"/>
      <c r="E90" s="24" t="s">
        <v>415</v>
      </c>
      <c r="F90" s="28" t="n">
        <f>124</f>
        <v>124.0</v>
      </c>
      <c r="G90" s="25" t="n">
        <f>9291484</f>
        <v>9291484.0</v>
      </c>
      <c r="H90" s="25"/>
      <c r="I90" s="25" t="n">
        <f>1496439</f>
        <v>1496439.0</v>
      </c>
      <c r="J90" s="25" t="n">
        <f>74931</f>
        <v>74931.0</v>
      </c>
      <c r="K90" s="25" t="n">
        <f>12068</f>
        <v>12068.0</v>
      </c>
      <c r="L90" s="2" t="s">
        <v>125</v>
      </c>
      <c r="M90" s="26" t="n">
        <f>460947</f>
        <v>460947.0</v>
      </c>
      <c r="N90" s="3" t="s">
        <v>114</v>
      </c>
      <c r="O90" s="27" t="n">
        <f>18734</f>
        <v>18734.0</v>
      </c>
      <c r="P90" s="29" t="s">
        <v>416</v>
      </c>
      <c r="Q90" s="25"/>
      <c r="R90" s="29" t="s">
        <v>417</v>
      </c>
      <c r="S90" s="25" t="n">
        <f>770088496427</f>
        <v>7.70088496427E11</v>
      </c>
      <c r="T90" s="25" t="n">
        <f>118132021500</f>
        <v>1.181320215E11</v>
      </c>
      <c r="U90" s="3" t="s">
        <v>125</v>
      </c>
      <c r="V90" s="27" t="n">
        <f>5523671104000</f>
        <v>5.523671104E12</v>
      </c>
      <c r="W90" s="3" t="s">
        <v>114</v>
      </c>
      <c r="X90" s="27" t="n">
        <f>156212247000</f>
        <v>1.56212247E11</v>
      </c>
      <c r="Y90" s="27"/>
      <c r="Z90" s="25" t="n">
        <f>766482</f>
        <v>766482.0</v>
      </c>
      <c r="AA90" s="25" t="n">
        <f>367194</f>
        <v>367194.0</v>
      </c>
      <c r="AB90" s="2" t="s">
        <v>53</v>
      </c>
      <c r="AC90" s="26" t="n">
        <f>492749</f>
        <v>492749.0</v>
      </c>
      <c r="AD90" s="3" t="s">
        <v>175</v>
      </c>
      <c r="AE90" s="27" t="n">
        <f>332094</f>
        <v>332094.0</v>
      </c>
    </row>
    <row r="91">
      <c r="A91" s="20" t="s">
        <v>256</v>
      </c>
      <c r="B91" s="21" t="s">
        <v>257</v>
      </c>
      <c r="C91" s="22"/>
      <c r="D91" s="23"/>
      <c r="E91" s="24" t="s">
        <v>418</v>
      </c>
      <c r="F91" s="28" t="n">
        <f>120</f>
        <v>120.0</v>
      </c>
      <c r="G91" s="25" t="n">
        <f>7738516</f>
        <v>7738516.0</v>
      </c>
      <c r="H91" s="25"/>
      <c r="I91" s="25" t="n">
        <f>1555655</f>
        <v>1555655.0</v>
      </c>
      <c r="J91" s="25" t="n">
        <f>64488</f>
        <v>64488.0</v>
      </c>
      <c r="K91" s="25" t="n">
        <f>12964</f>
        <v>12964.0</v>
      </c>
      <c r="L91" s="2" t="s">
        <v>56</v>
      </c>
      <c r="M91" s="26" t="n">
        <f>556116</f>
        <v>556116.0</v>
      </c>
      <c r="N91" s="3" t="s">
        <v>419</v>
      </c>
      <c r="O91" s="27" t="n">
        <f>28592</f>
        <v>28592.0</v>
      </c>
      <c r="P91" s="29" t="s">
        <v>420</v>
      </c>
      <c r="Q91" s="25"/>
      <c r="R91" s="29" t="s">
        <v>421</v>
      </c>
      <c r="S91" s="25" t="n">
        <f>530966928100</f>
        <v>5.309669281E11</v>
      </c>
      <c r="T91" s="25" t="n">
        <f>105529896417</f>
        <v>1.05529896417E11</v>
      </c>
      <c r="U91" s="3" t="s">
        <v>88</v>
      </c>
      <c r="V91" s="27" t="n">
        <f>4422252038000</f>
        <v>4.422252038E12</v>
      </c>
      <c r="W91" s="3" t="s">
        <v>422</v>
      </c>
      <c r="X91" s="27" t="n">
        <f>229351820000</f>
        <v>2.2935182E11</v>
      </c>
      <c r="Y91" s="27"/>
      <c r="Z91" s="25" t="n">
        <f>717504</f>
        <v>717504.0</v>
      </c>
      <c r="AA91" s="25" t="n">
        <f>339689</f>
        <v>339689.0</v>
      </c>
      <c r="AB91" s="2" t="s">
        <v>189</v>
      </c>
      <c r="AC91" s="26" t="n">
        <f>524349</f>
        <v>524349.0</v>
      </c>
      <c r="AD91" s="3" t="s">
        <v>251</v>
      </c>
      <c r="AE91" s="27" t="n">
        <f>339689</f>
        <v>339689.0</v>
      </c>
    </row>
    <row r="92">
      <c r="A92" s="20" t="s">
        <v>256</v>
      </c>
      <c r="B92" s="21" t="s">
        <v>257</v>
      </c>
      <c r="C92" s="22"/>
      <c r="D92" s="23"/>
      <c r="E92" s="24" t="s">
        <v>423</v>
      </c>
      <c r="F92" s="28" t="n">
        <f>123</f>
        <v>123.0</v>
      </c>
      <c r="G92" s="25" t="n">
        <f>7452265</f>
        <v>7452265.0</v>
      </c>
      <c r="H92" s="25"/>
      <c r="I92" s="25" t="n">
        <f>1224812</f>
        <v>1224812.0</v>
      </c>
      <c r="J92" s="25" t="n">
        <f>60588</f>
        <v>60588.0</v>
      </c>
      <c r="K92" s="25" t="n">
        <f>9958</f>
        <v>9958.0</v>
      </c>
      <c r="L92" s="2" t="s">
        <v>128</v>
      </c>
      <c r="M92" s="26" t="n">
        <f>439056</f>
        <v>439056.0</v>
      </c>
      <c r="N92" s="3" t="s">
        <v>114</v>
      </c>
      <c r="O92" s="27" t="n">
        <f>20343</f>
        <v>20343.0</v>
      </c>
      <c r="P92" s="29" t="s">
        <v>424</v>
      </c>
      <c r="Q92" s="25"/>
      <c r="R92" s="29" t="s">
        <v>425</v>
      </c>
      <c r="S92" s="25" t="n">
        <f>549349618480</f>
        <v>5.4934961848E11</v>
      </c>
      <c r="T92" s="25" t="n">
        <f>90750540423</f>
        <v>9.0750540423E10</v>
      </c>
      <c r="U92" s="3" t="s">
        <v>128</v>
      </c>
      <c r="V92" s="27" t="n">
        <f>3930487676000</f>
        <v>3.930487676E12</v>
      </c>
      <c r="W92" s="3" t="s">
        <v>114</v>
      </c>
      <c r="X92" s="27" t="n">
        <f>185194939000</f>
        <v>1.85194939E11</v>
      </c>
      <c r="Y92" s="27"/>
      <c r="Z92" s="25" t="n">
        <f>945785</f>
        <v>945785.0</v>
      </c>
      <c r="AA92" s="25" t="n">
        <f>338228</f>
        <v>338228.0</v>
      </c>
      <c r="AB92" s="2" t="s">
        <v>81</v>
      </c>
      <c r="AC92" s="26" t="n">
        <f>470407</f>
        <v>470407.0</v>
      </c>
      <c r="AD92" s="3" t="s">
        <v>280</v>
      </c>
      <c r="AE92" s="27" t="n">
        <f>319799</f>
        <v>319799.0</v>
      </c>
    </row>
    <row r="93">
      <c r="A93" s="20" t="s">
        <v>256</v>
      </c>
      <c r="B93" s="21" t="s">
        <v>257</v>
      </c>
      <c r="C93" s="22"/>
      <c r="D93" s="23"/>
      <c r="E93" s="24" t="s">
        <v>426</v>
      </c>
      <c r="F93" s="28" t="n">
        <f>121</f>
        <v>121.0</v>
      </c>
      <c r="G93" s="25" t="n">
        <f>7464932</f>
        <v>7464932.0</v>
      </c>
      <c r="H93" s="25"/>
      <c r="I93" s="25" t="n">
        <f>1299785</f>
        <v>1299785.0</v>
      </c>
      <c r="J93" s="25" t="n">
        <f>61694</f>
        <v>61694.0</v>
      </c>
      <c r="K93" s="25" t="n">
        <f>10742</f>
        <v>10742.0</v>
      </c>
      <c r="L93" s="2" t="s">
        <v>427</v>
      </c>
      <c r="M93" s="26" t="n">
        <f>467328</f>
        <v>467328.0</v>
      </c>
      <c r="N93" s="3" t="s">
        <v>135</v>
      </c>
      <c r="O93" s="27" t="n">
        <f>23436</f>
        <v>23436.0</v>
      </c>
      <c r="P93" s="29" t="s">
        <v>428</v>
      </c>
      <c r="Q93" s="25"/>
      <c r="R93" s="29" t="s">
        <v>429</v>
      </c>
      <c r="S93" s="25" t="n">
        <f>564212732281</f>
        <v>5.64212732281E11</v>
      </c>
      <c r="T93" s="25" t="n">
        <f>97304626736</f>
        <v>9.7304626736E10</v>
      </c>
      <c r="U93" s="3" t="s">
        <v>427</v>
      </c>
      <c r="V93" s="27" t="n">
        <f>4010403933000</f>
        <v>4.010403933E12</v>
      </c>
      <c r="W93" s="3" t="s">
        <v>135</v>
      </c>
      <c r="X93" s="27" t="n">
        <f>205259393000</f>
        <v>2.05259393E11</v>
      </c>
      <c r="Y93" s="27"/>
      <c r="Z93" s="25" t="n">
        <f>938984</f>
        <v>938984.0</v>
      </c>
      <c r="AA93" s="25" t="n">
        <f>351072</f>
        <v>351072.0</v>
      </c>
      <c r="AB93" s="2" t="s">
        <v>101</v>
      </c>
      <c r="AC93" s="26" t="n">
        <f>434835</f>
        <v>434835.0</v>
      </c>
      <c r="AD93" s="3" t="s">
        <v>282</v>
      </c>
      <c r="AE93" s="27" t="n">
        <f>323760</f>
        <v>323760.0</v>
      </c>
    </row>
    <row r="94">
      <c r="A94" s="20" t="s">
        <v>256</v>
      </c>
      <c r="B94" s="21" t="s">
        <v>257</v>
      </c>
      <c r="C94" s="22"/>
      <c r="D94" s="23"/>
      <c r="E94" s="24" t="s">
        <v>430</v>
      </c>
      <c r="F94" s="28" t="n">
        <f>124</f>
        <v>124.0</v>
      </c>
      <c r="G94" s="25" t="n">
        <f>7076819</f>
        <v>7076819.0</v>
      </c>
      <c r="H94" s="25"/>
      <c r="I94" s="25" t="n">
        <f>1163357</f>
        <v>1163357.0</v>
      </c>
      <c r="J94" s="25" t="n">
        <f>57071</f>
        <v>57071.0</v>
      </c>
      <c r="K94" s="25" t="n">
        <f>9382</f>
        <v>9382.0</v>
      </c>
      <c r="L94" s="2" t="s">
        <v>137</v>
      </c>
      <c r="M94" s="26" t="n">
        <f>445025</f>
        <v>445025.0</v>
      </c>
      <c r="N94" s="3" t="s">
        <v>64</v>
      </c>
      <c r="O94" s="27" t="n">
        <f>15576</f>
        <v>15576.0</v>
      </c>
      <c r="P94" s="29" t="s">
        <v>431</v>
      </c>
      <c r="Q94" s="25"/>
      <c r="R94" s="29" t="s">
        <v>432</v>
      </c>
      <c r="S94" s="25" t="n">
        <f>483392205815</f>
        <v>4.83392205815E11</v>
      </c>
      <c r="T94" s="25" t="n">
        <f>80103481645</f>
        <v>8.0103481645E10</v>
      </c>
      <c r="U94" s="3" t="s">
        <v>137</v>
      </c>
      <c r="V94" s="27" t="n">
        <f>3908203459000</f>
        <v>3.908203459E12</v>
      </c>
      <c r="W94" s="3" t="s">
        <v>64</v>
      </c>
      <c r="X94" s="27" t="n">
        <f>140862655000</f>
        <v>1.40862655E11</v>
      </c>
      <c r="Y94" s="27"/>
      <c r="Z94" s="25" t="n">
        <f>1093353</f>
        <v>1093353.0</v>
      </c>
      <c r="AA94" s="25" t="n">
        <f>368395</f>
        <v>368395.0</v>
      </c>
      <c r="AB94" s="2" t="s">
        <v>49</v>
      </c>
      <c r="AC94" s="26" t="n">
        <f>510494</f>
        <v>510494.0</v>
      </c>
      <c r="AD94" s="3" t="s">
        <v>82</v>
      </c>
      <c r="AE94" s="27" t="n">
        <f>339472</f>
        <v>339472.0</v>
      </c>
    </row>
    <row r="95">
      <c r="A95" s="20" t="s">
        <v>256</v>
      </c>
      <c r="B95" s="21" t="s">
        <v>257</v>
      </c>
      <c r="C95" s="22"/>
      <c r="D95" s="23"/>
      <c r="E95" s="24" t="s">
        <v>433</v>
      </c>
      <c r="F95" s="28" t="n">
        <f>121</f>
        <v>121.0</v>
      </c>
      <c r="G95" s="25" t="n">
        <f>7546029</f>
        <v>7546029.0</v>
      </c>
      <c r="H95" s="25"/>
      <c r="I95" s="25" t="n">
        <f>1324417</f>
        <v>1324417.0</v>
      </c>
      <c r="J95" s="25" t="n">
        <f>62364</f>
        <v>62364.0</v>
      </c>
      <c r="K95" s="25" t="n">
        <f>10946</f>
        <v>10946.0</v>
      </c>
      <c r="L95" s="2" t="s">
        <v>146</v>
      </c>
      <c r="M95" s="26" t="n">
        <f>519890</f>
        <v>519890.0</v>
      </c>
      <c r="N95" s="3" t="s">
        <v>434</v>
      </c>
      <c r="O95" s="27" t="n">
        <f>19862</f>
        <v>19862.0</v>
      </c>
      <c r="P95" s="29" t="s">
        <v>435</v>
      </c>
      <c r="Q95" s="25"/>
      <c r="R95" s="29" t="s">
        <v>436</v>
      </c>
      <c r="S95" s="25" t="n">
        <f>543531194223</f>
        <v>5.43531194223E11</v>
      </c>
      <c r="T95" s="25" t="n">
        <f>95838843273</f>
        <v>9.5838843273E10</v>
      </c>
      <c r="U95" s="3" t="s">
        <v>70</v>
      </c>
      <c r="V95" s="27" t="n">
        <f>4736085091000</f>
        <v>4.736085091E12</v>
      </c>
      <c r="W95" s="3" t="s">
        <v>434</v>
      </c>
      <c r="X95" s="27" t="n">
        <f>167469085000</f>
        <v>1.67469085E11</v>
      </c>
      <c r="Y95" s="27"/>
      <c r="Z95" s="25" t="n">
        <f>1344113</f>
        <v>1344113.0</v>
      </c>
      <c r="AA95" s="25" t="n">
        <f>367113</f>
        <v>367113.0</v>
      </c>
      <c r="AB95" s="2" t="s">
        <v>134</v>
      </c>
      <c r="AC95" s="26" t="n">
        <f>505278</f>
        <v>505278.0</v>
      </c>
      <c r="AD95" s="3" t="s">
        <v>135</v>
      </c>
      <c r="AE95" s="27" t="n">
        <f>362040</f>
        <v>362040.0</v>
      </c>
    </row>
    <row r="96">
      <c r="A96" s="20" t="s">
        <v>256</v>
      </c>
      <c r="B96" s="21" t="s">
        <v>257</v>
      </c>
      <c r="C96" s="22"/>
      <c r="D96" s="23"/>
      <c r="E96" s="24" t="s">
        <v>437</v>
      </c>
      <c r="F96" s="28" t="n">
        <f>124</f>
        <v>124.0</v>
      </c>
      <c r="G96" s="25" t="n">
        <f>7062136</f>
        <v>7062136.0</v>
      </c>
      <c r="H96" s="25"/>
      <c r="I96" s="25" t="n">
        <f>1439310</f>
        <v>1439310.0</v>
      </c>
      <c r="J96" s="25" t="n">
        <f>56953</f>
        <v>56953.0</v>
      </c>
      <c r="K96" s="25" t="n">
        <f>11607</f>
        <v>11607.0</v>
      </c>
      <c r="L96" s="2" t="s">
        <v>77</v>
      </c>
      <c r="M96" s="26" t="n">
        <f>499563</f>
        <v>499563.0</v>
      </c>
      <c r="N96" s="3" t="s">
        <v>50</v>
      </c>
      <c r="O96" s="27" t="n">
        <f>12987</f>
        <v>12987.0</v>
      </c>
      <c r="P96" s="29" t="s">
        <v>438</v>
      </c>
      <c r="Q96" s="25"/>
      <c r="R96" s="29" t="s">
        <v>439</v>
      </c>
      <c r="S96" s="25" t="n">
        <f>433359634073</f>
        <v>4.33359634073E11</v>
      </c>
      <c r="T96" s="25" t="n">
        <f>87207513685</f>
        <v>8.7207513685E10</v>
      </c>
      <c r="U96" s="3" t="s">
        <v>77</v>
      </c>
      <c r="V96" s="27" t="n">
        <f>3712558241000</f>
        <v>3.712558241E12</v>
      </c>
      <c r="W96" s="3" t="s">
        <v>50</v>
      </c>
      <c r="X96" s="27" t="n">
        <f>94283954000</f>
        <v>9.4283954E10</v>
      </c>
      <c r="Y96" s="27"/>
      <c r="Z96" s="25" t="n">
        <f>1311928</f>
        <v>1311928.0</v>
      </c>
      <c r="AA96" s="25" t="n">
        <f>366543</f>
        <v>366543.0</v>
      </c>
      <c r="AB96" s="2" t="s">
        <v>125</v>
      </c>
      <c r="AC96" s="26" t="n">
        <f>499430</f>
        <v>499430.0</v>
      </c>
      <c r="AD96" s="3" t="s">
        <v>117</v>
      </c>
      <c r="AE96" s="27" t="n">
        <f>355085</f>
        <v>355085.0</v>
      </c>
    </row>
    <row r="97">
      <c r="A97" s="20" t="s">
        <v>256</v>
      </c>
      <c r="B97" s="21" t="s">
        <v>257</v>
      </c>
      <c r="C97" s="22"/>
      <c r="D97" s="23"/>
      <c r="E97" s="24" t="s">
        <v>440</v>
      </c>
      <c r="F97" s="28" t="n">
        <f>123</f>
        <v>123.0</v>
      </c>
      <c r="G97" s="25" t="n">
        <f>7686670</f>
        <v>7686670.0</v>
      </c>
      <c r="H97" s="25"/>
      <c r="I97" s="25" t="n">
        <f>1643115</f>
        <v>1643115.0</v>
      </c>
      <c r="J97" s="25" t="n">
        <f>62493</f>
        <v>62493.0</v>
      </c>
      <c r="K97" s="25" t="n">
        <f>13359</f>
        <v>13359.0</v>
      </c>
      <c r="L97" s="2" t="s">
        <v>97</v>
      </c>
      <c r="M97" s="26" t="n">
        <f>615859</f>
        <v>615859.0</v>
      </c>
      <c r="N97" s="3" t="s">
        <v>265</v>
      </c>
      <c r="O97" s="27" t="n">
        <f>21989</f>
        <v>21989.0</v>
      </c>
      <c r="P97" s="29" t="s">
        <v>441</v>
      </c>
      <c r="Q97" s="25"/>
      <c r="R97" s="29" t="s">
        <v>442</v>
      </c>
      <c r="S97" s="25" t="n">
        <f>485977989431</f>
        <v>4.85977989431E11</v>
      </c>
      <c r="T97" s="25" t="n">
        <f>102796799902</f>
        <v>1.02796799902E11</v>
      </c>
      <c r="U97" s="3" t="s">
        <v>97</v>
      </c>
      <c r="V97" s="27" t="n">
        <f>5098170972000</f>
        <v>5.098170972E12</v>
      </c>
      <c r="W97" s="3" t="s">
        <v>265</v>
      </c>
      <c r="X97" s="27" t="n">
        <f>161174972000</f>
        <v>1.61174972E11</v>
      </c>
      <c r="Y97" s="27"/>
      <c r="Z97" s="25" t="n">
        <f>1460982</f>
        <v>1460982.0</v>
      </c>
      <c r="AA97" s="25" t="n">
        <f>383541</f>
        <v>383541.0</v>
      </c>
      <c r="AB97" s="2" t="s">
        <v>427</v>
      </c>
      <c r="AC97" s="26" t="n">
        <f>544721</f>
        <v>544721.0</v>
      </c>
      <c r="AD97" s="3" t="s">
        <v>156</v>
      </c>
      <c r="AE97" s="27" t="n">
        <f>372658</f>
        <v>372658.0</v>
      </c>
    </row>
    <row r="98">
      <c r="A98" s="20" t="s">
        <v>256</v>
      </c>
      <c r="B98" s="21" t="s">
        <v>257</v>
      </c>
      <c r="C98" s="22"/>
      <c r="D98" s="23"/>
      <c r="E98" s="24" t="s">
        <v>443</v>
      </c>
      <c r="F98" s="28" t="n">
        <f>125</f>
        <v>125.0</v>
      </c>
      <c r="G98" s="25" t="n">
        <f>7505769</f>
        <v>7505769.0</v>
      </c>
      <c r="H98" s="25"/>
      <c r="I98" s="25" t="n">
        <f>1538425</f>
        <v>1538425.0</v>
      </c>
      <c r="J98" s="25" t="n">
        <f>60046</f>
        <v>60046.0</v>
      </c>
      <c r="K98" s="25" t="n">
        <f>12307</f>
        <v>12307.0</v>
      </c>
      <c r="L98" s="2" t="s">
        <v>67</v>
      </c>
      <c r="M98" s="26" t="n">
        <f>549001</f>
        <v>549001.0</v>
      </c>
      <c r="N98" s="3" t="s">
        <v>444</v>
      </c>
      <c r="O98" s="27" t="n">
        <f>24455</f>
        <v>24455.0</v>
      </c>
      <c r="P98" s="29" t="s">
        <v>445</v>
      </c>
      <c r="Q98" s="25"/>
      <c r="R98" s="29" t="s">
        <v>446</v>
      </c>
      <c r="S98" s="25" t="n">
        <f>455300259272</f>
        <v>4.55300259272E11</v>
      </c>
      <c r="T98" s="25" t="n">
        <f>93735917000</f>
        <v>9.3735917E10</v>
      </c>
      <c r="U98" s="3" t="s">
        <v>67</v>
      </c>
      <c r="V98" s="27" t="n">
        <f>4314483068000</f>
        <v>4.314483068E12</v>
      </c>
      <c r="W98" s="3" t="s">
        <v>444</v>
      </c>
      <c r="X98" s="27" t="n">
        <f>182529063000</f>
        <v>1.82529063E11</v>
      </c>
      <c r="Y98" s="27"/>
      <c r="Z98" s="25" t="n">
        <f>1508361</f>
        <v>1508361.0</v>
      </c>
      <c r="AA98" s="25" t="n">
        <f>427564</f>
        <v>427564.0</v>
      </c>
      <c r="AB98" s="2" t="s">
        <v>216</v>
      </c>
      <c r="AC98" s="26" t="n">
        <f>539127</f>
        <v>539127.0</v>
      </c>
      <c r="AD98" s="3" t="s">
        <v>373</v>
      </c>
      <c r="AE98" s="27" t="n">
        <f>341835</f>
        <v>341835.0</v>
      </c>
    </row>
    <row r="99">
      <c r="A99" s="20" t="s">
        <v>256</v>
      </c>
      <c r="B99" s="21" t="s">
        <v>257</v>
      </c>
      <c r="C99" s="22"/>
      <c r="D99" s="23"/>
      <c r="E99" s="24" t="s">
        <v>447</v>
      </c>
      <c r="F99" s="28" t="n">
        <f>120</f>
        <v>120.0</v>
      </c>
      <c r="G99" s="25" t="n">
        <f>12403983</f>
        <v>1.2403983E7</v>
      </c>
      <c r="H99" s="25"/>
      <c r="I99" s="25" t="n">
        <f>2174930</f>
        <v>2174930.0</v>
      </c>
      <c r="J99" s="25" t="n">
        <f>103367</f>
        <v>103367.0</v>
      </c>
      <c r="K99" s="25" t="n">
        <f>18124</f>
        <v>18124.0</v>
      </c>
      <c r="L99" s="2" t="s">
        <v>101</v>
      </c>
      <c r="M99" s="26" t="n">
        <f>747937</f>
        <v>747937.0</v>
      </c>
      <c r="N99" s="3" t="s">
        <v>448</v>
      </c>
      <c r="O99" s="27" t="n">
        <f>45243</f>
        <v>45243.0</v>
      </c>
      <c r="P99" s="29" t="s">
        <v>449</v>
      </c>
      <c r="Q99" s="25"/>
      <c r="R99" s="29" t="s">
        <v>450</v>
      </c>
      <c r="S99" s="25" t="n">
        <f>1096694978075</f>
        <v>1.096694978075E12</v>
      </c>
      <c r="T99" s="25" t="n">
        <f>191965052300</f>
        <v>1.919650523E11</v>
      </c>
      <c r="U99" s="3" t="s">
        <v>101</v>
      </c>
      <c r="V99" s="27" t="n">
        <f>8302329046000</f>
        <v>8.302329046E12</v>
      </c>
      <c r="W99" s="3" t="s">
        <v>448</v>
      </c>
      <c r="X99" s="27" t="n">
        <f>410766782000</f>
        <v>4.10766782E11</v>
      </c>
      <c r="Y99" s="27"/>
      <c r="Z99" s="25" t="n">
        <f>2273264</f>
        <v>2273264.0</v>
      </c>
      <c r="AA99" s="25" t="n">
        <f>539233</f>
        <v>539233.0</v>
      </c>
      <c r="AB99" s="2" t="s">
        <v>189</v>
      </c>
      <c r="AC99" s="26" t="n">
        <f>705332</f>
        <v>705332.0</v>
      </c>
      <c r="AD99" s="3" t="s">
        <v>369</v>
      </c>
      <c r="AE99" s="27" t="n">
        <f>419995</f>
        <v>419995.0</v>
      </c>
    </row>
    <row r="100">
      <c r="A100" s="20" t="s">
        <v>256</v>
      </c>
      <c r="B100" s="21" t="s">
        <v>257</v>
      </c>
      <c r="C100" s="22"/>
      <c r="D100" s="23"/>
      <c r="E100" s="24" t="s">
        <v>451</v>
      </c>
      <c r="F100" s="28" t="n">
        <f>125</f>
        <v>125.0</v>
      </c>
      <c r="G100" s="25" t="n">
        <f>10310138</f>
        <v>1.0310138E7</v>
      </c>
      <c r="H100" s="25"/>
      <c r="I100" s="25" t="n">
        <f>1877390</f>
        <v>1877390.0</v>
      </c>
      <c r="J100" s="25" t="n">
        <f>82481</f>
        <v>82481.0</v>
      </c>
      <c r="K100" s="25" t="n">
        <f>15019</f>
        <v>15019.0</v>
      </c>
      <c r="L100" s="2" t="s">
        <v>295</v>
      </c>
      <c r="M100" s="26" t="n">
        <f>676909</f>
        <v>676909.0</v>
      </c>
      <c r="N100" s="3" t="s">
        <v>114</v>
      </c>
      <c r="O100" s="27" t="n">
        <f>26978</f>
        <v>26978.0</v>
      </c>
      <c r="P100" s="29" t="s">
        <v>452</v>
      </c>
      <c r="Q100" s="25"/>
      <c r="R100" s="29" t="s">
        <v>453</v>
      </c>
      <c r="S100" s="25" t="n">
        <f>992288472432</f>
        <v>9.92288472432E11</v>
      </c>
      <c r="T100" s="25" t="n">
        <f>181265426112</f>
        <v>1.81265426112E11</v>
      </c>
      <c r="U100" s="3" t="s">
        <v>49</v>
      </c>
      <c r="V100" s="27" t="n">
        <f>8420999669000</f>
        <v>8.420999669E12</v>
      </c>
      <c r="W100" s="3" t="s">
        <v>287</v>
      </c>
      <c r="X100" s="27" t="n">
        <f>332400938000</f>
        <v>3.32400938E11</v>
      </c>
      <c r="Y100" s="27"/>
      <c r="Z100" s="25" t="n">
        <f>1930465</f>
        <v>1930465.0</v>
      </c>
      <c r="AA100" s="25" t="n">
        <f>594299</f>
        <v>594299.0</v>
      </c>
      <c r="AB100" s="2" t="s">
        <v>117</v>
      </c>
      <c r="AC100" s="26" t="n">
        <f>784656</f>
        <v>784656.0</v>
      </c>
      <c r="AD100" s="3" t="s">
        <v>175</v>
      </c>
      <c r="AE100" s="27" t="n">
        <f>469574</f>
        <v>469574.0</v>
      </c>
    </row>
    <row r="101">
      <c r="A101" s="20" t="s">
        <v>256</v>
      </c>
      <c r="B101" s="21" t="s">
        <v>257</v>
      </c>
      <c r="C101" s="22"/>
      <c r="D101" s="23"/>
      <c r="E101" s="24" t="s">
        <v>454</v>
      </c>
      <c r="F101" s="28" t="n">
        <f>120</f>
        <v>120.0</v>
      </c>
      <c r="G101" s="25" t="n">
        <f>10125071</f>
        <v>1.0125071E7</v>
      </c>
      <c r="H101" s="25"/>
      <c r="I101" s="25" t="n">
        <f>1989573</f>
        <v>1989573.0</v>
      </c>
      <c r="J101" s="25" t="n">
        <f>84376</f>
        <v>84376.0</v>
      </c>
      <c r="K101" s="25" t="n">
        <f>16580</f>
        <v>16580.0</v>
      </c>
      <c r="L101" s="2" t="s">
        <v>307</v>
      </c>
      <c r="M101" s="26" t="n">
        <f>671141</f>
        <v>671141.0</v>
      </c>
      <c r="N101" s="3" t="s">
        <v>455</v>
      </c>
      <c r="O101" s="27" t="n">
        <f>28219</f>
        <v>28219.0</v>
      </c>
      <c r="P101" s="29" t="s">
        <v>456</v>
      </c>
      <c r="Q101" s="25"/>
      <c r="R101" s="29" t="s">
        <v>457</v>
      </c>
      <c r="S101" s="25" t="n">
        <f>1024744885450</f>
        <v>1.02474488545E12</v>
      </c>
      <c r="T101" s="25" t="n">
        <f>202427995450</f>
        <v>2.0242799545E11</v>
      </c>
      <c r="U101" s="3" t="s">
        <v>307</v>
      </c>
      <c r="V101" s="27" t="n">
        <f>8285184001000</f>
        <v>8.285184001E12</v>
      </c>
      <c r="W101" s="3" t="s">
        <v>455</v>
      </c>
      <c r="X101" s="27" t="n">
        <f>331944295000</f>
        <v>3.31944295E11</v>
      </c>
      <c r="Y101" s="27"/>
      <c r="Z101" s="25" t="n">
        <f>1972822</f>
        <v>1972822.0</v>
      </c>
      <c r="AA101" s="25" t="n">
        <f>517168</f>
        <v>517168.0</v>
      </c>
      <c r="AB101" s="2" t="s">
        <v>290</v>
      </c>
      <c r="AC101" s="26" t="n">
        <f>652891</f>
        <v>652891.0</v>
      </c>
      <c r="AD101" s="3" t="s">
        <v>458</v>
      </c>
      <c r="AE101" s="27" t="n">
        <f>470367</f>
        <v>470367.0</v>
      </c>
    </row>
    <row r="102">
      <c r="A102" s="20" t="s">
        <v>256</v>
      </c>
      <c r="B102" s="21" t="s">
        <v>257</v>
      </c>
      <c r="C102" s="22"/>
      <c r="D102" s="23"/>
      <c r="E102" s="24" t="s">
        <v>48</v>
      </c>
      <c r="F102" s="28" t="n">
        <f>124</f>
        <v>124.0</v>
      </c>
      <c r="G102" s="25" t="n">
        <f>10752179</f>
        <v>1.0752179E7</v>
      </c>
      <c r="H102" s="25"/>
      <c r="I102" s="25" t="n">
        <f>2466478</f>
        <v>2466478.0</v>
      </c>
      <c r="J102" s="25" t="n">
        <f>86711</f>
        <v>86711.0</v>
      </c>
      <c r="K102" s="25" t="n">
        <f>19891</f>
        <v>19891.0</v>
      </c>
      <c r="L102" s="2" t="s">
        <v>81</v>
      </c>
      <c r="M102" s="26" t="n">
        <f>665761</f>
        <v>665761.0</v>
      </c>
      <c r="N102" s="3" t="s">
        <v>114</v>
      </c>
      <c r="O102" s="27" t="n">
        <f>20038</f>
        <v>20038.0</v>
      </c>
      <c r="P102" s="29" t="s">
        <v>459</v>
      </c>
      <c r="Q102" s="25"/>
      <c r="R102" s="29" t="s">
        <v>460</v>
      </c>
      <c r="S102" s="25" t="n">
        <f>1155121664298</f>
        <v>1.155121664298E12</v>
      </c>
      <c r="T102" s="25" t="n">
        <f>268825876202</f>
        <v>2.68825876202E11</v>
      </c>
      <c r="U102" s="3" t="s">
        <v>81</v>
      </c>
      <c r="V102" s="27" t="n">
        <f>9578379449000</f>
        <v>9.578379449E12</v>
      </c>
      <c r="W102" s="3" t="s">
        <v>114</v>
      </c>
      <c r="X102" s="27" t="n">
        <f>284956609000</f>
        <v>2.84956609E11</v>
      </c>
      <c r="Y102" s="27"/>
      <c r="Z102" s="25" t="n">
        <f>2143489</f>
        <v>2143489.0</v>
      </c>
      <c r="AA102" s="25" t="n">
        <f>561656</f>
        <v>561656.0</v>
      </c>
      <c r="AB102" s="2" t="s">
        <v>81</v>
      </c>
      <c r="AC102" s="26" t="n">
        <f>715961</f>
        <v>715961.0</v>
      </c>
      <c r="AD102" s="3" t="s">
        <v>461</v>
      </c>
      <c r="AE102" s="27" t="n">
        <f>488281</f>
        <v>488281.0</v>
      </c>
    </row>
    <row r="103">
      <c r="A103" s="20" t="s">
        <v>256</v>
      </c>
      <c r="B103" s="21" t="s">
        <v>257</v>
      </c>
      <c r="C103" s="22"/>
      <c r="D103" s="23"/>
      <c r="E103" s="24" t="s">
        <v>55</v>
      </c>
      <c r="F103" s="28" t="n">
        <f>121</f>
        <v>121.0</v>
      </c>
      <c r="G103" s="25" t="n">
        <f>10717179</f>
        <v>1.0717179E7</v>
      </c>
      <c r="H103" s="25"/>
      <c r="I103" s="25" t="n">
        <f>2436281</f>
        <v>2436281.0</v>
      </c>
      <c r="J103" s="25" t="n">
        <f>88572</f>
        <v>88572.0</v>
      </c>
      <c r="K103" s="25" t="n">
        <f>20135</f>
        <v>20135.0</v>
      </c>
      <c r="L103" s="2" t="s">
        <v>88</v>
      </c>
      <c r="M103" s="26" t="n">
        <f>721492</f>
        <v>721492.0</v>
      </c>
      <c r="N103" s="3" t="s">
        <v>462</v>
      </c>
      <c r="O103" s="27" t="n">
        <f>30219</f>
        <v>30219.0</v>
      </c>
      <c r="P103" s="29" t="s">
        <v>463</v>
      </c>
      <c r="Q103" s="25"/>
      <c r="R103" s="29" t="s">
        <v>464</v>
      </c>
      <c r="S103" s="25" t="n">
        <f>1379396799752</f>
        <v>1.379396799752E12</v>
      </c>
      <c r="T103" s="25" t="n">
        <f>316258854884</f>
        <v>3.16258854884E11</v>
      </c>
      <c r="U103" s="3" t="s">
        <v>88</v>
      </c>
      <c r="V103" s="27" t="n">
        <f>11903170241000</f>
        <v>1.1903170241E13</v>
      </c>
      <c r="W103" s="3" t="s">
        <v>462</v>
      </c>
      <c r="X103" s="27" t="n">
        <f>501797287000</f>
        <v>5.01797287E11</v>
      </c>
      <c r="Y103" s="27"/>
      <c r="Z103" s="25" t="n">
        <f>2445231</f>
        <v>2445231.0</v>
      </c>
      <c r="AA103" s="25" t="n">
        <f>629209</f>
        <v>629209.0</v>
      </c>
      <c r="AB103" s="2" t="s">
        <v>307</v>
      </c>
      <c r="AC103" s="26" t="n">
        <f>816960</f>
        <v>816960.0</v>
      </c>
      <c r="AD103" s="3" t="s">
        <v>448</v>
      </c>
      <c r="AE103" s="27" t="n">
        <f>535253</f>
        <v>535253.0</v>
      </c>
    </row>
    <row r="104">
      <c r="A104" s="20" t="s">
        <v>256</v>
      </c>
      <c r="B104" s="21" t="s">
        <v>257</v>
      </c>
      <c r="C104" s="22"/>
      <c r="D104" s="23"/>
      <c r="E104" s="24" t="s">
        <v>62</v>
      </c>
      <c r="F104" s="28" t="n">
        <f>123</f>
        <v>123.0</v>
      </c>
      <c r="G104" s="25" t="n">
        <f>11586777</f>
        <v>1.1586777E7</v>
      </c>
      <c r="H104" s="25"/>
      <c r="I104" s="25" t="n">
        <f>2368824</f>
        <v>2368824.0</v>
      </c>
      <c r="J104" s="25" t="n">
        <f>94201</f>
        <v>94201.0</v>
      </c>
      <c r="K104" s="25" t="n">
        <f>19259</f>
        <v>19259.0</v>
      </c>
      <c r="L104" s="2" t="s">
        <v>128</v>
      </c>
      <c r="M104" s="26" t="n">
        <f>718259</f>
        <v>718259.0</v>
      </c>
      <c r="N104" s="3" t="s">
        <v>114</v>
      </c>
      <c r="O104" s="27" t="n">
        <f>23730</f>
        <v>23730.0</v>
      </c>
      <c r="P104" s="29" t="s">
        <v>465</v>
      </c>
      <c r="Q104" s="25"/>
      <c r="R104" s="29" t="s">
        <v>466</v>
      </c>
      <c r="S104" s="25" t="n">
        <f>1449647852130</f>
        <v>1.44964785213E12</v>
      </c>
      <c r="T104" s="25" t="n">
        <f>295171323228</f>
        <v>2.95171323228E11</v>
      </c>
      <c r="U104" s="3" t="s">
        <v>128</v>
      </c>
      <c r="V104" s="27" t="n">
        <f>11335309600000</f>
        <v>1.13353096E13</v>
      </c>
      <c r="W104" s="3" t="s">
        <v>114</v>
      </c>
      <c r="X104" s="27" t="n">
        <f>360022590000</f>
        <v>3.6002259E11</v>
      </c>
      <c r="Y104" s="27"/>
      <c r="Z104" s="25" t="n">
        <f>2676645</f>
        <v>2676645.0</v>
      </c>
      <c r="AA104" s="25" t="n">
        <f>602235</f>
        <v>602235.0</v>
      </c>
      <c r="AB104" s="2" t="s">
        <v>125</v>
      </c>
      <c r="AC104" s="26" t="n">
        <f>762439</f>
        <v>762439.0</v>
      </c>
      <c r="AD104" s="3" t="s">
        <v>467</v>
      </c>
      <c r="AE104" s="27" t="n">
        <f>534990</f>
        <v>534990.0</v>
      </c>
    </row>
    <row r="105">
      <c r="A105" s="20" t="s">
        <v>256</v>
      </c>
      <c r="B105" s="21" t="s">
        <v>257</v>
      </c>
      <c r="C105" s="22"/>
      <c r="D105" s="23"/>
      <c r="E105" s="24" t="s">
        <v>69</v>
      </c>
      <c r="F105" s="28" t="n">
        <f>122</f>
        <v>122.0</v>
      </c>
      <c r="G105" s="25" t="n">
        <f>11603850</f>
        <v>1.160385E7</v>
      </c>
      <c r="H105" s="25"/>
      <c r="I105" s="25" t="n">
        <f>2237483</f>
        <v>2237483.0</v>
      </c>
      <c r="J105" s="25" t="n">
        <f>95114</f>
        <v>95114.0</v>
      </c>
      <c r="K105" s="25" t="n">
        <f>18340</f>
        <v>18340.0</v>
      </c>
      <c r="L105" s="2" t="s">
        <v>70</v>
      </c>
      <c r="M105" s="26" t="n">
        <f>695285</f>
        <v>695285.0</v>
      </c>
      <c r="N105" s="3" t="s">
        <v>468</v>
      </c>
      <c r="O105" s="27" t="n">
        <f>33508</f>
        <v>33508.0</v>
      </c>
      <c r="P105" s="29" t="s">
        <v>469</v>
      </c>
      <c r="Q105" s="25"/>
      <c r="R105" s="29" t="s">
        <v>470</v>
      </c>
      <c r="S105" s="25" t="n">
        <f>1273663551311</f>
        <v>1.273663551311E12</v>
      </c>
      <c r="T105" s="25" t="n">
        <f>245305404852</f>
        <v>2.45305404852E11</v>
      </c>
      <c r="U105" s="3" t="s">
        <v>70</v>
      </c>
      <c r="V105" s="27" t="n">
        <f>9340023329000</f>
        <v>9.340023329E12</v>
      </c>
      <c r="W105" s="3" t="s">
        <v>468</v>
      </c>
      <c r="X105" s="27" t="n">
        <f>455622743000</f>
        <v>4.55622743E11</v>
      </c>
      <c r="Y105" s="27"/>
      <c r="Z105" s="25" t="n">
        <f>2829326</f>
        <v>2829326.0</v>
      </c>
      <c r="AA105" s="25" t="n">
        <f>481659</f>
        <v>481659.0</v>
      </c>
      <c r="AB105" s="2" t="s">
        <v>134</v>
      </c>
      <c r="AC105" s="26" t="n">
        <f>684211</f>
        <v>684211.0</v>
      </c>
      <c r="AD105" s="3" t="s">
        <v>135</v>
      </c>
      <c r="AE105" s="27" t="n">
        <f>473242</f>
        <v>473242.0</v>
      </c>
    </row>
    <row r="106">
      <c r="A106" s="20" t="s">
        <v>256</v>
      </c>
      <c r="B106" s="21" t="s">
        <v>257</v>
      </c>
      <c r="C106" s="22"/>
      <c r="D106" s="23"/>
      <c r="E106" s="24" t="s">
        <v>76</v>
      </c>
      <c r="F106" s="28" t="n">
        <f>123</f>
        <v>123.0</v>
      </c>
      <c r="G106" s="25" t="n">
        <f>10956855</f>
        <v>1.0956855E7</v>
      </c>
      <c r="H106" s="25"/>
      <c r="I106" s="25" t="n">
        <f>2294805</f>
        <v>2294805.0</v>
      </c>
      <c r="J106" s="25" t="n">
        <f>89080</f>
        <v>89080.0</v>
      </c>
      <c r="K106" s="25" t="n">
        <f>18657</f>
        <v>18657.0</v>
      </c>
      <c r="L106" s="2" t="s">
        <v>77</v>
      </c>
      <c r="M106" s="26" t="n">
        <f>780905</f>
        <v>780905.0</v>
      </c>
      <c r="N106" s="3" t="s">
        <v>80</v>
      </c>
      <c r="O106" s="27" t="n">
        <f>30349</f>
        <v>30349.0</v>
      </c>
      <c r="P106" s="29" t="s">
        <v>471</v>
      </c>
      <c r="Q106" s="25"/>
      <c r="R106" s="29" t="s">
        <v>472</v>
      </c>
      <c r="S106" s="25" t="n">
        <f>1233043775030</f>
        <v>1.23304377503E12</v>
      </c>
      <c r="T106" s="25" t="n">
        <f>261732233347</f>
        <v>2.61732233347E11</v>
      </c>
      <c r="U106" s="3" t="s">
        <v>77</v>
      </c>
      <c r="V106" s="27" t="n">
        <f>11541055510501</f>
        <v>1.1541055510501E13</v>
      </c>
      <c r="W106" s="3" t="s">
        <v>80</v>
      </c>
      <c r="X106" s="27" t="n">
        <f>398347754700</f>
        <v>3.983477547E11</v>
      </c>
      <c r="Y106" s="27"/>
      <c r="Z106" s="25" t="n">
        <f>2589179</f>
        <v>2589179.0</v>
      </c>
      <c r="AA106" s="25" t="n">
        <f>562313</f>
        <v>562313.0</v>
      </c>
      <c r="AB106" s="2" t="s">
        <v>77</v>
      </c>
      <c r="AC106" s="26" t="n">
        <f>601684</f>
        <v>601684.0</v>
      </c>
      <c r="AD106" s="3" t="s">
        <v>473</v>
      </c>
      <c r="AE106" s="27" t="n">
        <f>398566</f>
        <v>398566.0</v>
      </c>
    </row>
    <row r="107">
      <c r="A107" s="20" t="s">
        <v>256</v>
      </c>
      <c r="B107" s="21" t="s">
        <v>257</v>
      </c>
      <c r="C107" s="22"/>
      <c r="D107" s="23"/>
      <c r="E107" s="24" t="s">
        <v>83</v>
      </c>
      <c r="F107" s="28" t="n">
        <f>123</f>
        <v>123.0</v>
      </c>
      <c r="G107" s="25" t="n">
        <f>11651773</f>
        <v>1.1651773E7</v>
      </c>
      <c r="H107" s="25"/>
      <c r="I107" s="25" t="n">
        <f>2722177</f>
        <v>2722177.0</v>
      </c>
      <c r="J107" s="25" t="n">
        <f>94730</f>
        <v>94730.0</v>
      </c>
      <c r="K107" s="25" t="n">
        <f>22132</f>
        <v>22132.0</v>
      </c>
      <c r="L107" s="2" t="s">
        <v>152</v>
      </c>
      <c r="M107" s="26" t="n">
        <f>783411</f>
        <v>783411.0</v>
      </c>
      <c r="N107" s="3" t="s">
        <v>185</v>
      </c>
      <c r="O107" s="27" t="n">
        <f>34173</f>
        <v>34173.0</v>
      </c>
      <c r="P107" s="29" t="s">
        <v>474</v>
      </c>
      <c r="Q107" s="25"/>
      <c r="R107" s="29" t="s">
        <v>475</v>
      </c>
      <c r="S107" s="25" t="n">
        <f>1474451085133</f>
        <v>1.474451085133E12</v>
      </c>
      <c r="T107" s="25" t="n">
        <f>346385974548</f>
        <v>3.46385974548E11</v>
      </c>
      <c r="U107" s="3" t="s">
        <v>152</v>
      </c>
      <c r="V107" s="27" t="n">
        <f>12556483355748</f>
        <v>1.2556483355748E13</v>
      </c>
      <c r="W107" s="3" t="s">
        <v>185</v>
      </c>
      <c r="X107" s="27" t="n">
        <f>530408051050</f>
        <v>5.3040805105E11</v>
      </c>
      <c r="Y107" s="27"/>
      <c r="Z107" s="25" t="n">
        <f>2605411</f>
        <v>2605411.0</v>
      </c>
      <c r="AA107" s="25" t="n">
        <f>628603</f>
        <v>628603.0</v>
      </c>
      <c r="AB107" s="2" t="s">
        <v>152</v>
      </c>
      <c r="AC107" s="26" t="n">
        <f>744218</f>
        <v>744218.0</v>
      </c>
      <c r="AD107" s="3" t="s">
        <v>476</v>
      </c>
      <c r="AE107" s="27" t="n">
        <f>560142</f>
        <v>560142.0</v>
      </c>
    </row>
    <row r="108">
      <c r="A108" s="20" t="s">
        <v>256</v>
      </c>
      <c r="B108" s="21" t="s">
        <v>257</v>
      </c>
      <c r="C108" s="22"/>
      <c r="D108" s="23"/>
      <c r="E108" s="24" t="s">
        <v>89</v>
      </c>
      <c r="F108" s="28" t="n">
        <f>124</f>
        <v>124.0</v>
      </c>
      <c r="G108" s="25" t="n">
        <f>12740837</f>
        <v>1.2740837E7</v>
      </c>
      <c r="H108" s="25"/>
      <c r="I108" s="25" t="n">
        <f>2901821</f>
        <v>2901821.0</v>
      </c>
      <c r="J108" s="25" t="n">
        <f>102749</f>
        <v>102749.0</v>
      </c>
      <c r="K108" s="25" t="n">
        <f>23402</f>
        <v>23402.0</v>
      </c>
      <c r="L108" s="2" t="s">
        <v>93</v>
      </c>
      <c r="M108" s="26" t="n">
        <f>942810</f>
        <v>942810.0</v>
      </c>
      <c r="N108" s="3" t="s">
        <v>138</v>
      </c>
      <c r="O108" s="27" t="n">
        <f>26573</f>
        <v>26573.0</v>
      </c>
      <c r="P108" s="29" t="s">
        <v>477</v>
      </c>
      <c r="Q108" s="25"/>
      <c r="R108" s="29" t="s">
        <v>478</v>
      </c>
      <c r="S108" s="25" t="n">
        <f>1744117379364</f>
        <v>1.744117379364E12</v>
      </c>
      <c r="T108" s="25" t="n">
        <f>399298913614</f>
        <v>3.99298913614E11</v>
      </c>
      <c r="U108" s="3" t="s">
        <v>93</v>
      </c>
      <c r="V108" s="27" t="n">
        <f>16819997300883</f>
        <v>1.6819997300883E13</v>
      </c>
      <c r="W108" s="3" t="s">
        <v>138</v>
      </c>
      <c r="X108" s="27" t="n">
        <f>486112405900</f>
        <v>4.861124059E11</v>
      </c>
      <c r="Y108" s="27"/>
      <c r="Z108" s="25" t="n">
        <f>2984770</f>
        <v>2984770.0</v>
      </c>
      <c r="AA108" s="25" t="n">
        <f>665711</f>
        <v>665711.0</v>
      </c>
      <c r="AB108" s="2" t="s">
        <v>77</v>
      </c>
      <c r="AC108" s="26" t="n">
        <f>798553</f>
        <v>798553.0</v>
      </c>
      <c r="AD108" s="3" t="s">
        <v>95</v>
      </c>
      <c r="AE108" s="27" t="n">
        <f>571706</f>
        <v>571706.0</v>
      </c>
    </row>
    <row r="109">
      <c r="A109" s="20" t="s">
        <v>256</v>
      </c>
      <c r="B109" s="21" t="s">
        <v>257</v>
      </c>
      <c r="C109" s="22"/>
      <c r="D109" s="23"/>
      <c r="E109" s="24" t="s">
        <v>96</v>
      </c>
      <c r="F109" s="28" t="n">
        <f>121</f>
        <v>121.0</v>
      </c>
      <c r="G109" s="25" t="n">
        <f>12907909</f>
        <v>1.2907909E7</v>
      </c>
      <c r="H109" s="25"/>
      <c r="I109" s="25" t="n">
        <f>2795125</f>
        <v>2795125.0</v>
      </c>
      <c r="J109" s="25" t="n">
        <f>106677</f>
        <v>106677.0</v>
      </c>
      <c r="K109" s="25" t="n">
        <f>23100</f>
        <v>23100.0</v>
      </c>
      <c r="L109" s="2" t="s">
        <v>97</v>
      </c>
      <c r="M109" s="26" t="n">
        <f>941853</f>
        <v>941853.0</v>
      </c>
      <c r="N109" s="3" t="s">
        <v>479</v>
      </c>
      <c r="O109" s="27" t="n">
        <f>41989</f>
        <v>41989.0</v>
      </c>
      <c r="P109" s="29" t="s">
        <v>480</v>
      </c>
      <c r="Q109" s="25"/>
      <c r="R109" s="29" t="s">
        <v>481</v>
      </c>
      <c r="S109" s="25" t="n">
        <f>1875862184889</f>
        <v>1.875862184889E12</v>
      </c>
      <c r="T109" s="25" t="n">
        <f>404787855699</f>
        <v>4.04787855699E11</v>
      </c>
      <c r="U109" s="3" t="s">
        <v>482</v>
      </c>
      <c r="V109" s="27" t="n">
        <f>16310744694244</f>
        <v>1.6310744694244E13</v>
      </c>
      <c r="W109" s="3" t="s">
        <v>273</v>
      </c>
      <c r="X109" s="27" t="n">
        <f>726824481600</f>
        <v>7.268244816E11</v>
      </c>
      <c r="Y109" s="27"/>
      <c r="Z109" s="25" t="n">
        <f>2978643</f>
        <v>2978643.0</v>
      </c>
      <c r="AA109" s="25" t="n">
        <f>575329</f>
        <v>575329.0</v>
      </c>
      <c r="AB109" s="2" t="s">
        <v>152</v>
      </c>
      <c r="AC109" s="26" t="n">
        <f>732242</f>
        <v>732242.0</v>
      </c>
      <c r="AD109" s="3" t="s">
        <v>282</v>
      </c>
      <c r="AE109" s="27" t="n">
        <f>508747</f>
        <v>508747.0</v>
      </c>
    </row>
    <row r="110">
      <c r="A110" s="20" t="s">
        <v>256</v>
      </c>
      <c r="B110" s="21" t="s">
        <v>257</v>
      </c>
      <c r="C110" s="22"/>
      <c r="D110" s="23"/>
      <c r="E110" s="24" t="s">
        <v>102</v>
      </c>
      <c r="F110" s="28" t="n">
        <f>124</f>
        <v>124.0</v>
      </c>
      <c r="G110" s="25" t="n">
        <f>13316368</f>
        <v>1.3316368E7</v>
      </c>
      <c r="H110" s="25"/>
      <c r="I110" s="25" t="n">
        <f>2883273</f>
        <v>2883273.0</v>
      </c>
      <c r="J110" s="25" t="n">
        <f>107390</f>
        <v>107390.0</v>
      </c>
      <c r="K110" s="25" t="n">
        <f>23252</f>
        <v>23252.0</v>
      </c>
      <c r="L110" s="2" t="s">
        <v>67</v>
      </c>
      <c r="M110" s="26" t="n">
        <f>885983</f>
        <v>885983.0</v>
      </c>
      <c r="N110" s="3" t="s">
        <v>103</v>
      </c>
      <c r="O110" s="27" t="n">
        <f>36420</f>
        <v>36420.0</v>
      </c>
      <c r="P110" s="29" t="s">
        <v>483</v>
      </c>
      <c r="Q110" s="25"/>
      <c r="R110" s="29" t="s">
        <v>484</v>
      </c>
      <c r="S110" s="25" t="n">
        <f>1791878502100</f>
        <v>1.7918785021E12</v>
      </c>
      <c r="T110" s="25" t="n">
        <f>385248252810</f>
        <v>3.8524825281E11</v>
      </c>
      <c r="U110" s="3" t="s">
        <v>95</v>
      </c>
      <c r="V110" s="27" t="n">
        <f>14786171104082</f>
        <v>1.4786171104082E13</v>
      </c>
      <c r="W110" s="3" t="s">
        <v>103</v>
      </c>
      <c r="X110" s="27" t="n">
        <f>633301182640</f>
        <v>6.3330118264E11</v>
      </c>
      <c r="Y110" s="27"/>
      <c r="Z110" s="25" t="n">
        <f>2966668</f>
        <v>2966668.0</v>
      </c>
      <c r="AA110" s="25" t="n">
        <f>534861</f>
        <v>534861.0</v>
      </c>
      <c r="AB110" s="2" t="s">
        <v>95</v>
      </c>
      <c r="AC110" s="26" t="n">
        <f>739301</f>
        <v>739301.0</v>
      </c>
      <c r="AD110" s="3" t="s">
        <v>106</v>
      </c>
      <c r="AE110" s="27" t="n">
        <f>461228</f>
        <v>461228.0</v>
      </c>
    </row>
    <row r="111">
      <c r="A111" s="20" t="s">
        <v>256</v>
      </c>
      <c r="B111" s="21" t="s">
        <v>257</v>
      </c>
      <c r="C111" s="22"/>
      <c r="D111" s="23"/>
      <c r="E111" s="24" t="s">
        <v>107</v>
      </c>
      <c r="F111" s="28" t="n">
        <f>117</f>
        <v>117.0</v>
      </c>
      <c r="G111" s="25" t="n">
        <f>12536264</f>
        <v>1.2536264E7</v>
      </c>
      <c r="H111" s="25"/>
      <c r="I111" s="25" t="n">
        <f>2978450</f>
        <v>2978450.0</v>
      </c>
      <c r="J111" s="25" t="n">
        <f>107148</f>
        <v>107148.0</v>
      </c>
      <c r="K111" s="25" t="n">
        <f>25457</f>
        <v>25457.0</v>
      </c>
      <c r="L111" s="2" t="s">
        <v>101</v>
      </c>
      <c r="M111" s="26" t="n">
        <f>935005</f>
        <v>935005.0</v>
      </c>
      <c r="N111" s="3" t="s">
        <v>108</v>
      </c>
      <c r="O111" s="27" t="n">
        <f>39138</f>
        <v>39138.0</v>
      </c>
      <c r="P111" s="29" t="s">
        <v>485</v>
      </c>
      <c r="Q111" s="25"/>
      <c r="R111" s="29" t="s">
        <v>486</v>
      </c>
      <c r="S111" s="25" t="n">
        <f>1684625486066</f>
        <v>1.684625486066E12</v>
      </c>
      <c r="T111" s="25" t="n">
        <f>401366066613</f>
        <v>4.01366066613E11</v>
      </c>
      <c r="U111" s="3" t="s">
        <v>111</v>
      </c>
      <c r="V111" s="27" t="n">
        <f>14566313761314</f>
        <v>1.4566313761314E13</v>
      </c>
      <c r="W111" s="3" t="s">
        <v>108</v>
      </c>
      <c r="X111" s="27" t="n">
        <f>632371235000</f>
        <v>6.32371235E11</v>
      </c>
      <c r="Y111" s="27"/>
      <c r="Z111" s="25" t="n">
        <f>2573566</f>
        <v>2573566.0</v>
      </c>
      <c r="AA111" s="25" t="n">
        <f>522529</f>
        <v>522529.0</v>
      </c>
      <c r="AB111" s="2" t="s">
        <v>101</v>
      </c>
      <c r="AC111" s="26" t="n">
        <f>699461</f>
        <v>699461.0</v>
      </c>
      <c r="AD111" s="3" t="s">
        <v>134</v>
      </c>
      <c r="AE111" s="27" t="n">
        <f>467517</f>
        <v>467517.0</v>
      </c>
    </row>
    <row r="112">
      <c r="A112" s="20" t="s">
        <v>256</v>
      </c>
      <c r="B112" s="21" t="s">
        <v>257</v>
      </c>
      <c r="C112" s="22"/>
      <c r="D112" s="23"/>
      <c r="E112" s="24" t="s">
        <v>113</v>
      </c>
      <c r="F112" s="28" t="n">
        <f>124</f>
        <v>124.0</v>
      </c>
      <c r="G112" s="25" t="n">
        <f>13809282</f>
        <v>1.3809282E7</v>
      </c>
      <c r="H112" s="25"/>
      <c r="I112" s="25" t="n">
        <f>3163834</f>
        <v>3163834.0</v>
      </c>
      <c r="J112" s="25" t="n">
        <f>111365</f>
        <v>111365.0</v>
      </c>
      <c r="K112" s="25" t="n">
        <f>25515</f>
        <v>25515.0</v>
      </c>
      <c r="L112" s="2" t="s">
        <v>49</v>
      </c>
      <c r="M112" s="26" t="n">
        <f>943323</f>
        <v>943323.0</v>
      </c>
      <c r="N112" s="3" t="s">
        <v>114</v>
      </c>
      <c r="O112" s="27" t="n">
        <f>21365</f>
        <v>21365.0</v>
      </c>
      <c r="P112" s="29" t="s">
        <v>487</v>
      </c>
      <c r="Q112" s="25"/>
      <c r="R112" s="29" t="s">
        <v>488</v>
      </c>
      <c r="S112" s="25" t="n">
        <f>1800368808896</f>
        <v>1.800368808896E12</v>
      </c>
      <c r="T112" s="25" t="n">
        <f>415168540678</f>
        <v>4.15168540678E11</v>
      </c>
      <c r="U112" s="3" t="s">
        <v>49</v>
      </c>
      <c r="V112" s="27" t="n">
        <f>16225964746681</f>
        <v>1.6225964746681E13</v>
      </c>
      <c r="W112" s="3" t="s">
        <v>114</v>
      </c>
      <c r="X112" s="27" t="n">
        <f>367544868300</f>
        <v>3.675448683E11</v>
      </c>
      <c r="Y112" s="27"/>
      <c r="Z112" s="25" t="n">
        <f>2784862</f>
        <v>2784862.0</v>
      </c>
      <c r="AA112" s="25" t="n">
        <f>561087</f>
        <v>561087.0</v>
      </c>
      <c r="AB112" s="2" t="s">
        <v>49</v>
      </c>
      <c r="AC112" s="26" t="n">
        <f>700282</f>
        <v>700282.0</v>
      </c>
      <c r="AD112" s="3" t="s">
        <v>373</v>
      </c>
      <c r="AE112" s="27" t="n">
        <f>476469</f>
        <v>476469.0</v>
      </c>
    </row>
    <row r="113">
      <c r="A113" s="20" t="s">
        <v>256</v>
      </c>
      <c r="B113" s="21" t="s">
        <v>257</v>
      </c>
      <c r="C113" s="22"/>
      <c r="D113" s="23"/>
      <c r="E113" s="24" t="s">
        <v>119</v>
      </c>
      <c r="F113" s="28" t="n">
        <f>119</f>
        <v>119.0</v>
      </c>
      <c r="G113" s="25" t="n">
        <f>15414431</f>
        <v>1.5414431E7</v>
      </c>
      <c r="H113" s="25"/>
      <c r="I113" s="25" t="n">
        <f>3153139</f>
        <v>3153139.0</v>
      </c>
      <c r="J113" s="25" t="n">
        <f>129533</f>
        <v>129533.0</v>
      </c>
      <c r="K113" s="25" t="n">
        <f>26497</f>
        <v>26497.0</v>
      </c>
      <c r="L113" s="2" t="s">
        <v>56</v>
      </c>
      <c r="M113" s="26" t="n">
        <f>1146277</f>
        <v>1146277.0</v>
      </c>
      <c r="N113" s="3" t="s">
        <v>212</v>
      </c>
      <c r="O113" s="27" t="n">
        <f>28433</f>
        <v>28433.0</v>
      </c>
      <c r="P113" s="29" t="s">
        <v>489</v>
      </c>
      <c r="Q113" s="25"/>
      <c r="R113" s="29" t="s">
        <v>490</v>
      </c>
      <c r="S113" s="25" t="n">
        <f>1951233539285</f>
        <v>1.951233539285E12</v>
      </c>
      <c r="T113" s="25" t="n">
        <f>400034858461</f>
        <v>4.00034858461E11</v>
      </c>
      <c r="U113" s="3" t="s">
        <v>88</v>
      </c>
      <c r="V113" s="27" t="n">
        <f>15945164168921</f>
        <v>1.5945164168921E13</v>
      </c>
      <c r="W113" s="3" t="s">
        <v>212</v>
      </c>
      <c r="X113" s="27" t="n">
        <f>401643771460</f>
        <v>4.0164377146E11</v>
      </c>
      <c r="Y113" s="27"/>
      <c r="Z113" s="25" t="n">
        <f>3068175</f>
        <v>3068175.0</v>
      </c>
      <c r="AA113" s="25" t="n">
        <f>537363</f>
        <v>537363.0</v>
      </c>
      <c r="AB113" s="2" t="s">
        <v>134</v>
      </c>
      <c r="AC113" s="26" t="n">
        <f>872574</f>
        <v>872574.0</v>
      </c>
      <c r="AD113" s="3" t="s">
        <v>172</v>
      </c>
      <c r="AE113" s="27" t="n">
        <f>524919</f>
        <v>524919.0</v>
      </c>
    </row>
    <row r="114">
      <c r="A114" s="20" t="s">
        <v>256</v>
      </c>
      <c r="B114" s="21" t="s">
        <v>257</v>
      </c>
      <c r="C114" s="22"/>
      <c r="D114" s="23"/>
      <c r="E114" s="24" t="s">
        <v>124</v>
      </c>
      <c r="F114" s="28" t="n">
        <f>124</f>
        <v>124.0</v>
      </c>
      <c r="G114" s="25" t="n">
        <f>12287845</f>
        <v>1.2287845E7</v>
      </c>
      <c r="H114" s="25"/>
      <c r="I114" s="25" t="n">
        <f>2832906</f>
        <v>2832906.0</v>
      </c>
      <c r="J114" s="25" t="n">
        <f>99096</f>
        <v>99096.0</v>
      </c>
      <c r="K114" s="25" t="n">
        <f>22846</f>
        <v>22846.0</v>
      </c>
      <c r="L114" s="2" t="s">
        <v>128</v>
      </c>
      <c r="M114" s="26" t="n">
        <f>944386</f>
        <v>944386.0</v>
      </c>
      <c r="N114" s="3" t="s">
        <v>114</v>
      </c>
      <c r="O114" s="27" t="n">
        <f>16321</f>
        <v>16321.0</v>
      </c>
      <c r="P114" s="29" t="s">
        <v>491</v>
      </c>
      <c r="Q114" s="25"/>
      <c r="R114" s="29" t="s">
        <v>492</v>
      </c>
      <c r="S114" s="25" t="n">
        <f>1646687470719</f>
        <v>1.646687470719E12</v>
      </c>
      <c r="T114" s="25" t="n">
        <f>382691422590</f>
        <v>3.8269142259E11</v>
      </c>
      <c r="U114" s="3" t="s">
        <v>128</v>
      </c>
      <c r="V114" s="27" t="n">
        <f>16597742200008</f>
        <v>1.6597742200008E13</v>
      </c>
      <c r="W114" s="3" t="s">
        <v>114</v>
      </c>
      <c r="X114" s="27" t="n">
        <f>289622828692</f>
        <v>2.89622828692E11</v>
      </c>
      <c r="Y114" s="27"/>
      <c r="Z114" s="25" t="n">
        <f>2539733</f>
        <v>2539733.0</v>
      </c>
      <c r="AA114" s="25" t="n">
        <f>514650</f>
        <v>514650.0</v>
      </c>
      <c r="AB114" s="2" t="s">
        <v>125</v>
      </c>
      <c r="AC114" s="26" t="n">
        <f>665339</f>
        <v>665339.0</v>
      </c>
      <c r="AD114" s="3" t="s">
        <v>216</v>
      </c>
      <c r="AE114" s="27" t="n">
        <f>505555</f>
        <v>505555.0</v>
      </c>
    </row>
    <row r="115">
      <c r="A115" s="20" t="s">
        <v>256</v>
      </c>
      <c r="B115" s="21" t="s">
        <v>257</v>
      </c>
      <c r="C115" s="22"/>
      <c r="D115" s="23"/>
      <c r="E115" s="24" t="s">
        <v>130</v>
      </c>
      <c r="F115" s="28" t="n">
        <f>121</f>
        <v>121.0</v>
      </c>
      <c r="G115" s="25" t="n">
        <f>12003264</f>
        <v>1.2003264E7</v>
      </c>
      <c r="H115" s="25"/>
      <c r="I115" s="25" t="n">
        <f>2883041</f>
        <v>2883041.0</v>
      </c>
      <c r="J115" s="25" t="n">
        <f>99201</f>
        <v>99201.0</v>
      </c>
      <c r="K115" s="25" t="n">
        <f>23827</f>
        <v>23827.0</v>
      </c>
      <c r="L115" s="2" t="s">
        <v>74</v>
      </c>
      <c r="M115" s="26" t="n">
        <f>968917</f>
        <v>968917.0</v>
      </c>
      <c r="N115" s="3" t="s">
        <v>493</v>
      </c>
      <c r="O115" s="27" t="n">
        <f>37683</f>
        <v>37683.0</v>
      </c>
      <c r="P115" s="29" t="s">
        <v>494</v>
      </c>
      <c r="Q115" s="25"/>
      <c r="R115" s="29" t="s">
        <v>495</v>
      </c>
      <c r="S115" s="25" t="n">
        <f>1905726527549</f>
        <v>1.905726527549E12</v>
      </c>
      <c r="T115" s="25" t="n">
        <f>459612537978</f>
        <v>4.59612537978E11</v>
      </c>
      <c r="U115" s="3" t="s">
        <v>74</v>
      </c>
      <c r="V115" s="27" t="n">
        <f>18418036560239</f>
        <v>1.8418036560239E13</v>
      </c>
      <c r="W115" s="3" t="s">
        <v>493</v>
      </c>
      <c r="X115" s="27" t="n">
        <f>746571727325</f>
        <v>7.46571727325E11</v>
      </c>
      <c r="Y115" s="27"/>
      <c r="Z115" s="25" t="n">
        <f>2518607</f>
        <v>2518607.0</v>
      </c>
      <c r="AA115" s="25" t="n">
        <f>455653</f>
        <v>455653.0</v>
      </c>
      <c r="AB115" s="2" t="s">
        <v>56</v>
      </c>
      <c r="AC115" s="26" t="n">
        <f>604025</f>
        <v>604025.0</v>
      </c>
      <c r="AD115" s="3" t="s">
        <v>135</v>
      </c>
      <c r="AE115" s="27" t="n">
        <f>450973</f>
        <v>450973.0</v>
      </c>
    </row>
    <row r="116">
      <c r="A116" s="20" t="s">
        <v>256</v>
      </c>
      <c r="B116" s="21" t="s">
        <v>257</v>
      </c>
      <c r="C116" s="22"/>
      <c r="D116" s="23"/>
      <c r="E116" s="24" t="s">
        <v>136</v>
      </c>
      <c r="F116" s="28" t="n">
        <f>124</f>
        <v>124.0</v>
      </c>
      <c r="G116" s="25" t="n">
        <f>11306468</f>
        <v>1.1306468E7</v>
      </c>
      <c r="H116" s="25"/>
      <c r="I116" s="25" t="n">
        <f>2743523</f>
        <v>2743523.0</v>
      </c>
      <c r="J116" s="25" t="n">
        <f>91181</f>
        <v>91181.0</v>
      </c>
      <c r="K116" s="25" t="n">
        <f>22125</f>
        <v>22125.0</v>
      </c>
      <c r="L116" s="2" t="s">
        <v>137</v>
      </c>
      <c r="M116" s="26" t="n">
        <f>880405</f>
        <v>880405.0</v>
      </c>
      <c r="N116" s="3" t="s">
        <v>138</v>
      </c>
      <c r="O116" s="27" t="n">
        <f>23067</f>
        <v>23067.0</v>
      </c>
      <c r="P116" s="29" t="s">
        <v>496</v>
      </c>
      <c r="Q116" s="25"/>
      <c r="R116" s="29" t="s">
        <v>497</v>
      </c>
      <c r="S116" s="25" t="n">
        <f>1816967417119</f>
        <v>1.816967417119E12</v>
      </c>
      <c r="T116" s="25" t="n">
        <f>442845868982</f>
        <v>4.42845868982E11</v>
      </c>
      <c r="U116" s="3" t="s">
        <v>137</v>
      </c>
      <c r="V116" s="27" t="n">
        <f>17352352350085</f>
        <v>1.7352352350085E13</v>
      </c>
      <c r="W116" s="3" t="s">
        <v>138</v>
      </c>
      <c r="X116" s="27" t="n">
        <f>456012868250</f>
        <v>4.5601286825E11</v>
      </c>
      <c r="Y116" s="27"/>
      <c r="Z116" s="25" t="n">
        <f>2628589</f>
        <v>2628589.0</v>
      </c>
      <c r="AA116" s="25" t="n">
        <f>423004</f>
        <v>423004.0</v>
      </c>
      <c r="AB116" s="2" t="s">
        <v>141</v>
      </c>
      <c r="AC116" s="26" t="n">
        <f>587347</f>
        <v>587347.0</v>
      </c>
      <c r="AD116" s="3" t="s">
        <v>498</v>
      </c>
      <c r="AE116" s="27" t="n">
        <f>413896</f>
        <v>413896.0</v>
      </c>
    </row>
    <row r="117">
      <c r="A117" s="20" t="s">
        <v>256</v>
      </c>
      <c r="B117" s="21" t="s">
        <v>257</v>
      </c>
      <c r="C117" s="22"/>
      <c r="D117" s="23"/>
      <c r="E117" s="24" t="s">
        <v>142</v>
      </c>
      <c r="F117" s="28" t="n">
        <f>120</f>
        <v>120.0</v>
      </c>
      <c r="G117" s="25" t="n">
        <f>12961983</f>
        <v>1.2961983E7</v>
      </c>
      <c r="H117" s="25"/>
      <c r="I117" s="25" t="n">
        <f>3158475</f>
        <v>3158475.0</v>
      </c>
      <c r="J117" s="25" t="n">
        <f>108017</f>
        <v>108017.0</v>
      </c>
      <c r="K117" s="25" t="n">
        <f>26321</f>
        <v>26321.0</v>
      </c>
      <c r="L117" s="2" t="s">
        <v>146</v>
      </c>
      <c r="M117" s="26" t="n">
        <f>1003575</f>
        <v>1003575.0</v>
      </c>
      <c r="N117" s="3" t="s">
        <v>143</v>
      </c>
      <c r="O117" s="27" t="n">
        <f>33597</f>
        <v>33597.0</v>
      </c>
      <c r="P117" s="29" t="s">
        <v>499</v>
      </c>
      <c r="Q117" s="25"/>
      <c r="R117" s="29" t="s">
        <v>500</v>
      </c>
      <c r="S117" s="25" t="n">
        <f>2039691672009</f>
        <v>2.039691672009E12</v>
      </c>
      <c r="T117" s="25" t="n">
        <f>494475923901</f>
        <v>4.94475923901E11</v>
      </c>
      <c r="U117" s="3" t="s">
        <v>146</v>
      </c>
      <c r="V117" s="27" t="n">
        <f>19529238665394</f>
        <v>1.9529238665394E13</v>
      </c>
      <c r="W117" s="3" t="s">
        <v>143</v>
      </c>
      <c r="X117" s="27" t="n">
        <f>629949067300</f>
        <v>6.299490673E11</v>
      </c>
      <c r="Y117" s="27"/>
      <c r="Z117" s="25" t="n">
        <f>3002124</f>
        <v>3002124.0</v>
      </c>
      <c r="AA117" s="25" t="n">
        <f>506041</f>
        <v>506041.0</v>
      </c>
      <c r="AB117" s="2" t="s">
        <v>70</v>
      </c>
      <c r="AC117" s="26" t="n">
        <f>719822</f>
        <v>719822.0</v>
      </c>
      <c r="AD117" s="3" t="s">
        <v>156</v>
      </c>
      <c r="AE117" s="27" t="n">
        <f>424843</f>
        <v>424843.0</v>
      </c>
    </row>
    <row r="118">
      <c r="A118" s="20" t="s">
        <v>256</v>
      </c>
      <c r="B118" s="21" t="s">
        <v>257</v>
      </c>
      <c r="C118" s="22"/>
      <c r="D118" s="23"/>
      <c r="E118" s="24" t="s">
        <v>148</v>
      </c>
      <c r="F118" s="28" t="n">
        <f>124</f>
        <v>124.0</v>
      </c>
      <c r="G118" s="25" t="n">
        <f>12823873</f>
        <v>1.2823873E7</v>
      </c>
      <c r="H118" s="25"/>
      <c r="I118" s="25" t="n">
        <f>3220187</f>
        <v>3220187.0</v>
      </c>
      <c r="J118" s="25" t="n">
        <f>103418</f>
        <v>103418.0</v>
      </c>
      <c r="K118" s="25" t="n">
        <f>25969</f>
        <v>25969.0</v>
      </c>
      <c r="L118" s="2" t="s">
        <v>77</v>
      </c>
      <c r="M118" s="26" t="n">
        <f>931897</f>
        <v>931897.0</v>
      </c>
      <c r="N118" s="3" t="s">
        <v>138</v>
      </c>
      <c r="O118" s="27" t="n">
        <f>23755</f>
        <v>23755.0</v>
      </c>
      <c r="P118" s="29" t="s">
        <v>501</v>
      </c>
      <c r="Q118" s="25"/>
      <c r="R118" s="29" t="s">
        <v>502</v>
      </c>
      <c r="S118" s="25" t="n">
        <f>1991201507314</f>
        <v>1.991201507314E12</v>
      </c>
      <c r="T118" s="25" t="n">
        <f>500602571556</f>
        <v>5.00602571556E11</v>
      </c>
      <c r="U118" s="3" t="s">
        <v>77</v>
      </c>
      <c r="V118" s="27" t="n">
        <f>18137582628931</f>
        <v>1.8137582628931E13</v>
      </c>
      <c r="W118" s="3" t="s">
        <v>138</v>
      </c>
      <c r="X118" s="27" t="n">
        <f>453149306800</f>
        <v>4.531493068E11</v>
      </c>
      <c r="Y118" s="27"/>
      <c r="Z118" s="25" t="n">
        <f>2971855</f>
        <v>2971855.0</v>
      </c>
      <c r="AA118" s="25" t="n">
        <f>425037</f>
        <v>425037.0</v>
      </c>
      <c r="AB118" s="2" t="s">
        <v>90</v>
      </c>
      <c r="AC118" s="26" t="n">
        <f>693507</f>
        <v>693507.0</v>
      </c>
      <c r="AD118" s="3" t="s">
        <v>138</v>
      </c>
      <c r="AE118" s="27" t="n">
        <f>416364</f>
        <v>416364.0</v>
      </c>
    </row>
    <row r="119">
      <c r="A119" s="20" t="s">
        <v>256</v>
      </c>
      <c r="B119" s="21" t="s">
        <v>257</v>
      </c>
      <c r="C119" s="22"/>
      <c r="D119" s="23"/>
      <c r="E119" s="24" t="s">
        <v>151</v>
      </c>
      <c r="F119" s="28" t="n">
        <f>122</f>
        <v>122.0</v>
      </c>
      <c r="G119" s="25" t="n">
        <f>13443501</f>
        <v>1.3443501E7</v>
      </c>
      <c r="H119" s="25"/>
      <c r="I119" s="25" t="n">
        <f>3673274</f>
        <v>3673274.0</v>
      </c>
      <c r="J119" s="25" t="n">
        <f>110193</f>
        <v>110193.0</v>
      </c>
      <c r="K119" s="25" t="n">
        <f>30109</f>
        <v>30109.0</v>
      </c>
      <c r="L119" s="2" t="s">
        <v>152</v>
      </c>
      <c r="M119" s="26" t="n">
        <f>1091377</f>
        <v>1091377.0</v>
      </c>
      <c r="N119" s="3" t="s">
        <v>153</v>
      </c>
      <c r="O119" s="27" t="n">
        <f>38617</f>
        <v>38617.0</v>
      </c>
      <c r="P119" s="29" t="s">
        <v>503</v>
      </c>
      <c r="Q119" s="25"/>
      <c r="R119" s="29" t="s">
        <v>504</v>
      </c>
      <c r="S119" s="25" t="n">
        <f>2290521438027</f>
        <v>2.290521438027E12</v>
      </c>
      <c r="T119" s="25" t="n">
        <f>630566499986</f>
        <v>6.30566499986E11</v>
      </c>
      <c r="U119" s="3" t="s">
        <v>152</v>
      </c>
      <c r="V119" s="27" t="n">
        <f>24205060261276</f>
        <v>2.4205060261276E13</v>
      </c>
      <c r="W119" s="3" t="s">
        <v>153</v>
      </c>
      <c r="X119" s="27" t="n">
        <f>762999373800</f>
        <v>7.629993738E11</v>
      </c>
      <c r="Y119" s="27"/>
      <c r="Z119" s="25" t="n">
        <f>2953402</f>
        <v>2953402.0</v>
      </c>
      <c r="AA119" s="25" t="n">
        <f>541417</f>
        <v>541417.0</v>
      </c>
      <c r="AB119" s="2" t="s">
        <v>152</v>
      </c>
      <c r="AC119" s="26" t="n">
        <f>861586</f>
        <v>861586.0</v>
      </c>
      <c r="AD119" s="3" t="s">
        <v>156</v>
      </c>
      <c r="AE119" s="27" t="n">
        <f>429570</f>
        <v>429570.0</v>
      </c>
    </row>
    <row r="120">
      <c r="A120" s="20" t="s">
        <v>256</v>
      </c>
      <c r="B120" s="21" t="s">
        <v>257</v>
      </c>
      <c r="C120" s="22"/>
      <c r="D120" s="23"/>
      <c r="E120" s="24" t="s">
        <v>157</v>
      </c>
      <c r="F120" s="28" t="n">
        <f>124</f>
        <v>124.0</v>
      </c>
      <c r="G120" s="25" t="n">
        <f>13183655</f>
        <v>1.3183655E7</v>
      </c>
      <c r="H120" s="25"/>
      <c r="I120" s="25" t="n">
        <f>3240678</f>
        <v>3240678.0</v>
      </c>
      <c r="J120" s="25" t="n">
        <f>106320</f>
        <v>106320.0</v>
      </c>
      <c r="K120" s="25" t="n">
        <f>26135</f>
        <v>26135.0</v>
      </c>
      <c r="L120" s="2" t="s">
        <v>241</v>
      </c>
      <c r="M120" s="26" t="n">
        <f>1025123</f>
        <v>1025123.0</v>
      </c>
      <c r="N120" s="3" t="s">
        <v>114</v>
      </c>
      <c r="O120" s="27" t="n">
        <f>26566</f>
        <v>26566.0</v>
      </c>
      <c r="P120" s="29" t="s">
        <v>505</v>
      </c>
      <c r="Q120" s="25"/>
      <c r="R120" s="29" t="s">
        <v>506</v>
      </c>
      <c r="S120" s="25" t="n">
        <f>2474314563944</f>
        <v>2.474314563944E12</v>
      </c>
      <c r="T120" s="25" t="n">
        <f>612344426718</f>
        <v>6.12344426718E11</v>
      </c>
      <c r="U120" s="3" t="s">
        <v>241</v>
      </c>
      <c r="V120" s="27" t="n">
        <f>24217824695834</f>
        <v>2.4217824695834E13</v>
      </c>
      <c r="W120" s="3" t="s">
        <v>114</v>
      </c>
      <c r="X120" s="27" t="n">
        <f>621876683400</f>
        <v>6.218766834E11</v>
      </c>
      <c r="Y120" s="27"/>
      <c r="Z120" s="25" t="n">
        <f>3033434</f>
        <v>3033434.0</v>
      </c>
      <c r="AA120" s="25" t="n">
        <f>518358</f>
        <v>518358.0</v>
      </c>
      <c r="AB120" s="2" t="s">
        <v>93</v>
      </c>
      <c r="AC120" s="26" t="n">
        <f>746181</f>
        <v>746181.0</v>
      </c>
      <c r="AD120" s="3" t="s">
        <v>507</v>
      </c>
      <c r="AE120" s="27" t="n">
        <f>488653</f>
        <v>488653.0</v>
      </c>
    </row>
    <row r="121">
      <c r="A121" s="20" t="s">
        <v>256</v>
      </c>
      <c r="B121" s="21" t="s">
        <v>257</v>
      </c>
      <c r="C121" s="22"/>
      <c r="D121" s="23"/>
      <c r="E121" s="24" t="s">
        <v>160</v>
      </c>
      <c r="F121" s="28" t="n">
        <f>58</f>
        <v>58.0</v>
      </c>
      <c r="G121" s="25" t="n">
        <f>6798882</f>
        <v>6798882.0</v>
      </c>
      <c r="H121" s="25"/>
      <c r="I121" s="25" t="n">
        <f>1884168</f>
        <v>1884168.0</v>
      </c>
      <c r="J121" s="25" t="n">
        <f>117222</f>
        <v>117222.0</v>
      </c>
      <c r="K121" s="25" t="n">
        <f>32486</f>
        <v>32486.0</v>
      </c>
      <c r="L121" s="2" t="s">
        <v>111</v>
      </c>
      <c r="M121" s="26" t="n">
        <f>1133355</f>
        <v>1133355.0</v>
      </c>
      <c r="N121" s="3" t="s">
        <v>508</v>
      </c>
      <c r="O121" s="27" t="n">
        <f>48362</f>
        <v>48362.0</v>
      </c>
      <c r="P121" s="29" t="s">
        <v>509</v>
      </c>
      <c r="Q121" s="25"/>
      <c r="R121" s="29" t="s">
        <v>510</v>
      </c>
      <c r="S121" s="25" t="n">
        <f>3092705681501</f>
        <v>3.092705681501E12</v>
      </c>
      <c r="T121" s="25" t="n">
        <f>866760862328</f>
        <v>8.66760862328E11</v>
      </c>
      <c r="U121" s="3" t="s">
        <v>111</v>
      </c>
      <c r="V121" s="27" t="n">
        <f>30617340975339</f>
        <v>3.0617340975339E13</v>
      </c>
      <c r="W121" s="3" t="s">
        <v>508</v>
      </c>
      <c r="X121" s="27" t="n">
        <f>1218868966220</f>
        <v>1.21886896622E12</v>
      </c>
      <c r="Y121" s="27"/>
      <c r="Z121" s="25" t="n">
        <f>1602784</f>
        <v>1602784.0</v>
      </c>
      <c r="AA121" s="25" t="n">
        <f>590448</f>
        <v>590448.0</v>
      </c>
      <c r="AB121" s="2" t="s">
        <v>111</v>
      </c>
      <c r="AC121" s="26" t="n">
        <f>808869</f>
        <v>808869.0</v>
      </c>
      <c r="AD121" s="3" t="s">
        <v>147</v>
      </c>
      <c r="AE121" s="27" t="n">
        <f>518826</f>
        <v>518826.0</v>
      </c>
    </row>
    <row r="122">
      <c r="A122" s="20" t="s">
        <v>511</v>
      </c>
      <c r="B122" s="21" t="s">
        <v>512</v>
      </c>
      <c r="C122" s="22"/>
      <c r="D122" s="23"/>
      <c r="E122" s="24" t="s">
        <v>410</v>
      </c>
      <c r="F122" s="28" t="n">
        <f>11</f>
        <v>11.0</v>
      </c>
      <c r="G122" s="25" t="n">
        <f>72941</f>
        <v>72941.0</v>
      </c>
      <c r="H122" s="25"/>
      <c r="I122" s="25" t="str">
        <f>"－"</f>
        <v>－</v>
      </c>
      <c r="J122" s="25" t="n">
        <f>6631</f>
        <v>6631.0</v>
      </c>
      <c r="K122" s="25" t="str">
        <f>"－"</f>
        <v>－</v>
      </c>
      <c r="L122" s="2" t="s">
        <v>513</v>
      </c>
      <c r="M122" s="26" t="n">
        <f>11836</f>
        <v>11836.0</v>
      </c>
      <c r="N122" s="3" t="s">
        <v>112</v>
      </c>
      <c r="O122" s="27" t="n">
        <f>4323</f>
        <v>4323.0</v>
      </c>
      <c r="P122" s="29" t="s">
        <v>514</v>
      </c>
      <c r="Q122" s="25"/>
      <c r="R122" s="29" t="s">
        <v>262</v>
      </c>
      <c r="S122" s="25" t="n">
        <f>9012491932</f>
        <v>9.012491932E9</v>
      </c>
      <c r="T122" s="25" t="str">
        <f>"－"</f>
        <v>－</v>
      </c>
      <c r="U122" s="3" t="s">
        <v>513</v>
      </c>
      <c r="V122" s="27" t="n">
        <f>15867862500</f>
        <v>1.58678625E10</v>
      </c>
      <c r="W122" s="3" t="s">
        <v>112</v>
      </c>
      <c r="X122" s="27" t="n">
        <f>5826340750</f>
        <v>5.82634075E9</v>
      </c>
      <c r="Y122" s="27"/>
      <c r="Z122" s="25" t="str">
        <f>"－"</f>
        <v>－</v>
      </c>
      <c r="AA122" s="25" t="n">
        <f>3663</f>
        <v>3663.0</v>
      </c>
      <c r="AB122" s="2" t="s">
        <v>400</v>
      </c>
      <c r="AC122" s="26" t="n">
        <f>4207</f>
        <v>4207.0</v>
      </c>
      <c r="AD122" s="3" t="s">
        <v>61</v>
      </c>
      <c r="AE122" s="27" t="n">
        <f>1432</f>
        <v>1432.0</v>
      </c>
    </row>
    <row r="123">
      <c r="A123" s="20" t="s">
        <v>511</v>
      </c>
      <c r="B123" s="21" t="s">
        <v>512</v>
      </c>
      <c r="C123" s="22"/>
      <c r="D123" s="23"/>
      <c r="E123" s="24" t="s">
        <v>415</v>
      </c>
      <c r="F123" s="28" t="n">
        <f>124</f>
        <v>124.0</v>
      </c>
      <c r="G123" s="25" t="n">
        <f>526751</f>
        <v>526751.0</v>
      </c>
      <c r="H123" s="25"/>
      <c r="I123" s="25" t="n">
        <f>570</f>
        <v>570.0</v>
      </c>
      <c r="J123" s="25" t="n">
        <f>4248</f>
        <v>4248.0</v>
      </c>
      <c r="K123" s="25" t="n">
        <f>5</f>
        <v>5.0</v>
      </c>
      <c r="L123" s="2" t="s">
        <v>515</v>
      </c>
      <c r="M123" s="26" t="n">
        <f>17261</f>
        <v>17261.0</v>
      </c>
      <c r="N123" s="3" t="s">
        <v>67</v>
      </c>
      <c r="O123" s="27" t="n">
        <f>107</f>
        <v>107.0</v>
      </c>
      <c r="P123" s="29" t="s">
        <v>516</v>
      </c>
      <c r="Q123" s="25"/>
      <c r="R123" s="29" t="s">
        <v>517</v>
      </c>
      <c r="S123" s="25" t="n">
        <f>5165539829</f>
        <v>5.165539829E9</v>
      </c>
      <c r="T123" s="25" t="n">
        <f>4437105</f>
        <v>4437105.0</v>
      </c>
      <c r="U123" s="3" t="s">
        <v>515</v>
      </c>
      <c r="V123" s="27" t="n">
        <f>21817333250</f>
        <v>2.181733325E10</v>
      </c>
      <c r="W123" s="3" t="s">
        <v>67</v>
      </c>
      <c r="X123" s="27" t="n">
        <f>89657000</f>
        <v>8.9657E7</v>
      </c>
      <c r="Y123" s="27"/>
      <c r="Z123" s="25" t="n">
        <f>523</f>
        <v>523.0</v>
      </c>
      <c r="AA123" s="25" t="n">
        <f>565</f>
        <v>565.0</v>
      </c>
      <c r="AB123" s="2" t="s">
        <v>473</v>
      </c>
      <c r="AC123" s="26" t="n">
        <f>16607</f>
        <v>16607.0</v>
      </c>
      <c r="AD123" s="3" t="s">
        <v>271</v>
      </c>
      <c r="AE123" s="27" t="n">
        <f>330</f>
        <v>330.0</v>
      </c>
    </row>
    <row r="124">
      <c r="A124" s="20" t="s">
        <v>511</v>
      </c>
      <c r="B124" s="21" t="s">
        <v>512</v>
      </c>
      <c r="C124" s="22"/>
      <c r="D124" s="23"/>
      <c r="E124" s="24" t="s">
        <v>418</v>
      </c>
      <c r="F124" s="28" t="n">
        <f>120</f>
        <v>120.0</v>
      </c>
      <c r="G124" s="25" t="n">
        <f>143544</f>
        <v>143544.0</v>
      </c>
      <c r="H124" s="25"/>
      <c r="I124" s="25" t="n">
        <f>531</f>
        <v>531.0</v>
      </c>
      <c r="J124" s="25" t="n">
        <f>1196</f>
        <v>1196.0</v>
      </c>
      <c r="K124" s="25" t="n">
        <f>4</f>
        <v>4.0</v>
      </c>
      <c r="L124" s="2" t="s">
        <v>513</v>
      </c>
      <c r="M124" s="26" t="n">
        <f>11064</f>
        <v>11064.0</v>
      </c>
      <c r="N124" s="3" t="s">
        <v>108</v>
      </c>
      <c r="O124" s="27" t="n">
        <f>60</f>
        <v>60.0</v>
      </c>
      <c r="P124" s="29" t="s">
        <v>518</v>
      </c>
      <c r="Q124" s="25"/>
      <c r="R124" s="29" t="s">
        <v>519</v>
      </c>
      <c r="S124" s="25" t="n">
        <f>1036020032</f>
        <v>1.036020032E9</v>
      </c>
      <c r="T124" s="25" t="n">
        <f>3570160</f>
        <v>3570160.0</v>
      </c>
      <c r="U124" s="3" t="s">
        <v>513</v>
      </c>
      <c r="V124" s="27" t="n">
        <f>10161101500</f>
        <v>1.01611015E10</v>
      </c>
      <c r="W124" s="3" t="s">
        <v>108</v>
      </c>
      <c r="X124" s="27" t="n">
        <f>49974500</f>
        <v>4.99745E7</v>
      </c>
      <c r="Y124" s="27"/>
      <c r="Z124" s="25" t="n">
        <f>162</f>
        <v>162.0</v>
      </c>
      <c r="AA124" s="25" t="n">
        <f>5265</f>
        <v>5265.0</v>
      </c>
      <c r="AB124" s="2" t="s">
        <v>189</v>
      </c>
      <c r="AC124" s="26" t="n">
        <f>6345</f>
        <v>6345.0</v>
      </c>
      <c r="AD124" s="3" t="s">
        <v>520</v>
      </c>
      <c r="AE124" s="27" t="n">
        <f>418</f>
        <v>418.0</v>
      </c>
    </row>
    <row r="125">
      <c r="A125" s="20" t="s">
        <v>511</v>
      </c>
      <c r="B125" s="21" t="s">
        <v>512</v>
      </c>
      <c r="C125" s="22"/>
      <c r="D125" s="23"/>
      <c r="E125" s="24" t="s">
        <v>423</v>
      </c>
      <c r="F125" s="28" t="n">
        <f>123</f>
        <v>123.0</v>
      </c>
      <c r="G125" s="25" t="n">
        <f>537704</f>
        <v>537704.0</v>
      </c>
      <c r="H125" s="25"/>
      <c r="I125" s="25" t="n">
        <f>611</f>
        <v>611.0</v>
      </c>
      <c r="J125" s="25" t="n">
        <f>4372</f>
        <v>4372.0</v>
      </c>
      <c r="K125" s="25" t="n">
        <f>5</f>
        <v>5.0</v>
      </c>
      <c r="L125" s="2" t="s">
        <v>263</v>
      </c>
      <c r="M125" s="26" t="n">
        <f>15398</f>
        <v>15398.0</v>
      </c>
      <c r="N125" s="3" t="s">
        <v>521</v>
      </c>
      <c r="O125" s="27" t="n">
        <f>798</f>
        <v>798.0</v>
      </c>
      <c r="P125" s="29" t="s">
        <v>522</v>
      </c>
      <c r="Q125" s="25"/>
      <c r="R125" s="29" t="s">
        <v>523</v>
      </c>
      <c r="S125" s="25" t="n">
        <f>3932708632</f>
        <v>3.932708632E9</v>
      </c>
      <c r="T125" s="25" t="n">
        <f>4518743</f>
        <v>4518743.0</v>
      </c>
      <c r="U125" s="3" t="s">
        <v>263</v>
      </c>
      <c r="V125" s="27" t="n">
        <f>13810814500</f>
        <v>1.38108145E10</v>
      </c>
      <c r="W125" s="3" t="s">
        <v>521</v>
      </c>
      <c r="X125" s="27" t="n">
        <f>772750250</f>
        <v>7.7275025E8</v>
      </c>
      <c r="Y125" s="27"/>
      <c r="Z125" s="25" t="n">
        <f>1001</f>
        <v>1001.0</v>
      </c>
      <c r="AA125" s="25" t="n">
        <f>5604</f>
        <v>5604.0</v>
      </c>
      <c r="AB125" s="2" t="s">
        <v>524</v>
      </c>
      <c r="AC125" s="26" t="n">
        <f>28995</f>
        <v>28995.0</v>
      </c>
      <c r="AD125" s="3" t="s">
        <v>280</v>
      </c>
      <c r="AE125" s="27" t="n">
        <f>3077</f>
        <v>3077.0</v>
      </c>
    </row>
    <row r="126">
      <c r="A126" s="20" t="s">
        <v>511</v>
      </c>
      <c r="B126" s="21" t="s">
        <v>512</v>
      </c>
      <c r="C126" s="22"/>
      <c r="D126" s="23"/>
      <c r="E126" s="24" t="s">
        <v>426</v>
      </c>
      <c r="F126" s="28" t="n">
        <f>121</f>
        <v>121.0</v>
      </c>
      <c r="G126" s="25" t="n">
        <f>668271</f>
        <v>668271.0</v>
      </c>
      <c r="H126" s="25"/>
      <c r="I126" s="25" t="n">
        <f>3047</f>
        <v>3047.0</v>
      </c>
      <c r="J126" s="25" t="n">
        <f>5523</f>
        <v>5523.0</v>
      </c>
      <c r="K126" s="25" t="n">
        <f>25</f>
        <v>25.0</v>
      </c>
      <c r="L126" s="2" t="s">
        <v>525</v>
      </c>
      <c r="M126" s="26" t="n">
        <f>12009</f>
        <v>12009.0</v>
      </c>
      <c r="N126" s="3" t="s">
        <v>343</v>
      </c>
      <c r="O126" s="27" t="n">
        <f>1449</f>
        <v>1449.0</v>
      </c>
      <c r="P126" s="29" t="s">
        <v>526</v>
      </c>
      <c r="Q126" s="25"/>
      <c r="R126" s="29" t="s">
        <v>527</v>
      </c>
      <c r="S126" s="25" t="n">
        <f>5126471389</f>
        <v>5.126471389E9</v>
      </c>
      <c r="T126" s="25" t="n">
        <f>23157926</f>
        <v>2.3157926E7</v>
      </c>
      <c r="U126" s="3" t="s">
        <v>525</v>
      </c>
      <c r="V126" s="27" t="n">
        <f>11739027750</f>
        <v>1.173902775E10</v>
      </c>
      <c r="W126" s="3" t="s">
        <v>343</v>
      </c>
      <c r="X126" s="27" t="n">
        <f>1282187500</f>
        <v>1.2821875E9</v>
      </c>
      <c r="Y126" s="27"/>
      <c r="Z126" s="25" t="n">
        <f>20300</f>
        <v>20300.0</v>
      </c>
      <c r="AA126" s="25" t="n">
        <f>5066</f>
        <v>5066.0</v>
      </c>
      <c r="AB126" s="2" t="s">
        <v>528</v>
      </c>
      <c r="AC126" s="26" t="n">
        <f>23510</f>
        <v>23510.0</v>
      </c>
      <c r="AD126" s="3" t="s">
        <v>172</v>
      </c>
      <c r="AE126" s="27" t="n">
        <f>2049</f>
        <v>2049.0</v>
      </c>
    </row>
    <row r="127">
      <c r="A127" s="20" t="s">
        <v>511</v>
      </c>
      <c r="B127" s="21" t="s">
        <v>512</v>
      </c>
      <c r="C127" s="22"/>
      <c r="D127" s="23"/>
      <c r="E127" s="24" t="s">
        <v>430</v>
      </c>
      <c r="F127" s="28" t="n">
        <f>124</f>
        <v>124.0</v>
      </c>
      <c r="G127" s="25" t="n">
        <f>376072</f>
        <v>376072.0</v>
      </c>
      <c r="H127" s="25"/>
      <c r="I127" s="25" t="n">
        <f>1305</f>
        <v>1305.0</v>
      </c>
      <c r="J127" s="25" t="n">
        <f>3033</f>
        <v>3033.0</v>
      </c>
      <c r="K127" s="25" t="n">
        <f>11</f>
        <v>11.0</v>
      </c>
      <c r="L127" s="2" t="s">
        <v>529</v>
      </c>
      <c r="M127" s="26" t="n">
        <f>9277</f>
        <v>9277.0</v>
      </c>
      <c r="N127" s="3" t="s">
        <v>77</v>
      </c>
      <c r="O127" s="27" t="n">
        <f>681</f>
        <v>681.0</v>
      </c>
      <c r="P127" s="29" t="s">
        <v>530</v>
      </c>
      <c r="Q127" s="25"/>
      <c r="R127" s="29" t="s">
        <v>531</v>
      </c>
      <c r="S127" s="25" t="n">
        <f>2555243455</f>
        <v>2.555243455E9</v>
      </c>
      <c r="T127" s="25" t="n">
        <f>9034035</f>
        <v>9034035.0</v>
      </c>
      <c r="U127" s="3" t="s">
        <v>529</v>
      </c>
      <c r="V127" s="27" t="n">
        <f>7505945500</f>
        <v>7.5059455E9</v>
      </c>
      <c r="W127" s="3" t="s">
        <v>77</v>
      </c>
      <c r="X127" s="27" t="n">
        <f>599714800</f>
        <v>5.997148E8</v>
      </c>
      <c r="Y127" s="27"/>
      <c r="Z127" s="25" t="n">
        <f>24497</f>
        <v>24497.0</v>
      </c>
      <c r="AA127" s="25" t="n">
        <f>4805</f>
        <v>4805.0</v>
      </c>
      <c r="AB127" s="2" t="s">
        <v>532</v>
      </c>
      <c r="AC127" s="26" t="n">
        <f>12909</f>
        <v>12909.0</v>
      </c>
      <c r="AD127" s="3" t="s">
        <v>321</v>
      </c>
      <c r="AE127" s="27" t="n">
        <f>2109</f>
        <v>2109.0</v>
      </c>
    </row>
    <row r="128">
      <c r="A128" s="20" t="s">
        <v>511</v>
      </c>
      <c r="B128" s="21" t="s">
        <v>512</v>
      </c>
      <c r="C128" s="22"/>
      <c r="D128" s="23"/>
      <c r="E128" s="24" t="s">
        <v>433</v>
      </c>
      <c r="F128" s="28" t="n">
        <f>121</f>
        <v>121.0</v>
      </c>
      <c r="G128" s="25" t="n">
        <f>317980</f>
        <v>317980.0</v>
      </c>
      <c r="H128" s="25"/>
      <c r="I128" s="25" t="n">
        <f>4501</f>
        <v>4501.0</v>
      </c>
      <c r="J128" s="25" t="n">
        <f>2628</f>
        <v>2628.0</v>
      </c>
      <c r="K128" s="25" t="n">
        <f>37</f>
        <v>37.0</v>
      </c>
      <c r="L128" s="2" t="s">
        <v>282</v>
      </c>
      <c r="M128" s="26" t="n">
        <f>16015</f>
        <v>16015.0</v>
      </c>
      <c r="N128" s="3" t="s">
        <v>533</v>
      </c>
      <c r="O128" s="27" t="n">
        <f>402</f>
        <v>402.0</v>
      </c>
      <c r="P128" s="29" t="s">
        <v>534</v>
      </c>
      <c r="Q128" s="25"/>
      <c r="R128" s="29" t="s">
        <v>535</v>
      </c>
      <c r="S128" s="25" t="n">
        <f>2301086293</f>
        <v>2.301086293E9</v>
      </c>
      <c r="T128" s="25" t="n">
        <f>34810391</f>
        <v>3.4810391E7</v>
      </c>
      <c r="U128" s="3" t="s">
        <v>282</v>
      </c>
      <c r="V128" s="27" t="n">
        <f>12444051000</f>
        <v>1.2444051E10</v>
      </c>
      <c r="W128" s="3" t="s">
        <v>533</v>
      </c>
      <c r="X128" s="27" t="n">
        <f>347274000</f>
        <v>3.47274E8</v>
      </c>
      <c r="Y128" s="27"/>
      <c r="Z128" s="25" t="n">
        <f>102687</f>
        <v>102687.0</v>
      </c>
      <c r="AA128" s="25" t="n">
        <f>3641</f>
        <v>3641.0</v>
      </c>
      <c r="AB128" s="2" t="s">
        <v>134</v>
      </c>
      <c r="AC128" s="26" t="n">
        <f>13153</f>
        <v>13153.0</v>
      </c>
      <c r="AD128" s="3" t="s">
        <v>135</v>
      </c>
      <c r="AE128" s="27" t="n">
        <f>1875</f>
        <v>1875.0</v>
      </c>
    </row>
    <row r="129">
      <c r="A129" s="20" t="s">
        <v>511</v>
      </c>
      <c r="B129" s="21" t="s">
        <v>512</v>
      </c>
      <c r="C129" s="22"/>
      <c r="D129" s="23"/>
      <c r="E129" s="24" t="s">
        <v>437</v>
      </c>
      <c r="F129" s="28" t="n">
        <f>124</f>
        <v>124.0</v>
      </c>
      <c r="G129" s="25" t="n">
        <f>303589</f>
        <v>303589.0</v>
      </c>
      <c r="H129" s="25"/>
      <c r="I129" s="25" t="n">
        <f>1064</f>
        <v>1064.0</v>
      </c>
      <c r="J129" s="25" t="n">
        <f>2448</f>
        <v>2448.0</v>
      </c>
      <c r="K129" s="25" t="n">
        <f>9</f>
        <v>9.0</v>
      </c>
      <c r="L129" s="2" t="s">
        <v>536</v>
      </c>
      <c r="M129" s="26" t="n">
        <f>11103</f>
        <v>11103.0</v>
      </c>
      <c r="N129" s="3" t="s">
        <v>82</v>
      </c>
      <c r="O129" s="27" t="n">
        <f>302</f>
        <v>302.0</v>
      </c>
      <c r="P129" s="29" t="s">
        <v>537</v>
      </c>
      <c r="Q129" s="25"/>
      <c r="R129" s="29" t="s">
        <v>538</v>
      </c>
      <c r="S129" s="25" t="n">
        <f>1842936104</f>
        <v>1.842936104E9</v>
      </c>
      <c r="T129" s="25" t="n">
        <f>6367480</f>
        <v>6367480.0</v>
      </c>
      <c r="U129" s="3" t="s">
        <v>536</v>
      </c>
      <c r="V129" s="27" t="n">
        <f>7938051750</f>
        <v>7.93805175E9</v>
      </c>
      <c r="W129" s="3" t="s">
        <v>82</v>
      </c>
      <c r="X129" s="27" t="n">
        <f>223264250</f>
        <v>2.2326425E8</v>
      </c>
      <c r="Y129" s="27"/>
      <c r="Z129" s="25" t="n">
        <f>47157</f>
        <v>47157.0</v>
      </c>
      <c r="AA129" s="25" t="n">
        <f>8792</f>
        <v>8792.0</v>
      </c>
      <c r="AB129" s="2" t="s">
        <v>81</v>
      </c>
      <c r="AC129" s="26" t="n">
        <f>14709</f>
        <v>14709.0</v>
      </c>
      <c r="AD129" s="3" t="s">
        <v>82</v>
      </c>
      <c r="AE129" s="27" t="n">
        <f>1129</f>
        <v>1129.0</v>
      </c>
    </row>
    <row r="130">
      <c r="A130" s="20" t="s">
        <v>511</v>
      </c>
      <c r="B130" s="21" t="s">
        <v>512</v>
      </c>
      <c r="C130" s="22"/>
      <c r="D130" s="23"/>
      <c r="E130" s="24" t="s">
        <v>440</v>
      </c>
      <c r="F130" s="28" t="n">
        <f>123</f>
        <v>123.0</v>
      </c>
      <c r="G130" s="25" t="n">
        <f>979114</f>
        <v>979114.0</v>
      </c>
      <c r="H130" s="25"/>
      <c r="I130" s="25" t="n">
        <f>884</f>
        <v>884.0</v>
      </c>
      <c r="J130" s="25" t="n">
        <f>7960</f>
        <v>7960.0</v>
      </c>
      <c r="K130" s="25" t="n">
        <f>7</f>
        <v>7.0</v>
      </c>
      <c r="L130" s="2" t="s">
        <v>539</v>
      </c>
      <c r="M130" s="26" t="n">
        <f>21064</f>
        <v>21064.0</v>
      </c>
      <c r="N130" s="3" t="s">
        <v>220</v>
      </c>
      <c r="O130" s="27" t="n">
        <f>2483</f>
        <v>2483.0</v>
      </c>
      <c r="P130" s="29" t="s">
        <v>540</v>
      </c>
      <c r="Q130" s="25"/>
      <c r="R130" s="29" t="s">
        <v>541</v>
      </c>
      <c r="S130" s="25" t="n">
        <f>6242908880</f>
        <v>6.24290888E9</v>
      </c>
      <c r="T130" s="25" t="n">
        <f>5444701</f>
        <v>5444701.0</v>
      </c>
      <c r="U130" s="3" t="s">
        <v>539</v>
      </c>
      <c r="V130" s="27" t="n">
        <f>16967423750</f>
        <v>1.696742375E10</v>
      </c>
      <c r="W130" s="3" t="s">
        <v>220</v>
      </c>
      <c r="X130" s="27" t="n">
        <f>1881219250</f>
        <v>1.88121925E9</v>
      </c>
      <c r="Y130" s="27"/>
      <c r="Z130" s="25" t="n">
        <f>61975</f>
        <v>61975.0</v>
      </c>
      <c r="AA130" s="25" t="n">
        <f>6636</f>
        <v>6636.0</v>
      </c>
      <c r="AB130" s="2" t="s">
        <v>427</v>
      </c>
      <c r="AC130" s="26" t="n">
        <f>33938</f>
        <v>33938.0</v>
      </c>
      <c r="AD130" s="3" t="s">
        <v>290</v>
      </c>
      <c r="AE130" s="27" t="n">
        <f>5012</f>
        <v>5012.0</v>
      </c>
    </row>
    <row r="131">
      <c r="A131" s="20" t="s">
        <v>511</v>
      </c>
      <c r="B131" s="21" t="s">
        <v>512</v>
      </c>
      <c r="C131" s="22"/>
      <c r="D131" s="23"/>
      <c r="E131" s="24" t="s">
        <v>443</v>
      </c>
      <c r="F131" s="28" t="n">
        <f>125</f>
        <v>125.0</v>
      </c>
      <c r="G131" s="25" t="n">
        <f>1168925</f>
        <v>1168925.0</v>
      </c>
      <c r="H131" s="25"/>
      <c r="I131" s="25" t="n">
        <f>2707</f>
        <v>2707.0</v>
      </c>
      <c r="J131" s="25" t="n">
        <f>9351</f>
        <v>9351.0</v>
      </c>
      <c r="K131" s="25" t="n">
        <f>22</f>
        <v>22.0</v>
      </c>
      <c r="L131" s="2" t="s">
        <v>542</v>
      </c>
      <c r="M131" s="26" t="n">
        <f>36350</f>
        <v>36350.0</v>
      </c>
      <c r="N131" s="3" t="s">
        <v>444</v>
      </c>
      <c r="O131" s="27" t="n">
        <f>1876</f>
        <v>1876.0</v>
      </c>
      <c r="P131" s="29" t="s">
        <v>543</v>
      </c>
      <c r="Q131" s="25"/>
      <c r="R131" s="29" t="s">
        <v>544</v>
      </c>
      <c r="S131" s="25" t="n">
        <f>7095775560</f>
        <v>7.09577556E9</v>
      </c>
      <c r="T131" s="25" t="n">
        <f>16444548</f>
        <v>1.6444548E7</v>
      </c>
      <c r="U131" s="3" t="s">
        <v>542</v>
      </c>
      <c r="V131" s="27" t="n">
        <f>26870456250</f>
        <v>2.687045625E10</v>
      </c>
      <c r="W131" s="3" t="s">
        <v>444</v>
      </c>
      <c r="X131" s="27" t="n">
        <f>1400251250</f>
        <v>1.40025125E9</v>
      </c>
      <c r="Y131" s="27"/>
      <c r="Z131" s="25" t="n">
        <f>82397</f>
        <v>82397.0</v>
      </c>
      <c r="AA131" s="25" t="n">
        <f>26627</f>
        <v>26627.0</v>
      </c>
      <c r="AB131" s="2" t="s">
        <v>216</v>
      </c>
      <c r="AC131" s="26" t="n">
        <f>35054</f>
        <v>35054.0</v>
      </c>
      <c r="AD131" s="3" t="s">
        <v>545</v>
      </c>
      <c r="AE131" s="27" t="n">
        <f>6331</f>
        <v>6331.0</v>
      </c>
    </row>
    <row r="132">
      <c r="A132" s="20" t="s">
        <v>511</v>
      </c>
      <c r="B132" s="21" t="s">
        <v>512</v>
      </c>
      <c r="C132" s="22"/>
      <c r="D132" s="23"/>
      <c r="E132" s="24" t="s">
        <v>447</v>
      </c>
      <c r="F132" s="28" t="n">
        <f>120</f>
        <v>120.0</v>
      </c>
      <c r="G132" s="25" t="n">
        <f>2232662</f>
        <v>2232662.0</v>
      </c>
      <c r="H132" s="25"/>
      <c r="I132" s="25" t="n">
        <f>21722</f>
        <v>21722.0</v>
      </c>
      <c r="J132" s="25" t="n">
        <f>18606</f>
        <v>18606.0</v>
      </c>
      <c r="K132" s="25" t="n">
        <f>181</f>
        <v>181.0</v>
      </c>
      <c r="L132" s="2" t="s">
        <v>546</v>
      </c>
      <c r="M132" s="26" t="n">
        <f>56721</f>
        <v>56721.0</v>
      </c>
      <c r="N132" s="3" t="s">
        <v>343</v>
      </c>
      <c r="O132" s="27" t="n">
        <f>6460</f>
        <v>6460.0</v>
      </c>
      <c r="P132" s="29" t="s">
        <v>547</v>
      </c>
      <c r="Q132" s="25"/>
      <c r="R132" s="29" t="s">
        <v>548</v>
      </c>
      <c r="S132" s="25" t="n">
        <f>19794934404</f>
        <v>1.9794934404E10</v>
      </c>
      <c r="T132" s="25" t="n">
        <f>190926602</f>
        <v>1.90926602E8</v>
      </c>
      <c r="U132" s="3" t="s">
        <v>546</v>
      </c>
      <c r="V132" s="27" t="n">
        <f>67719417250</f>
        <v>6.771941725E10</v>
      </c>
      <c r="W132" s="3" t="s">
        <v>343</v>
      </c>
      <c r="X132" s="27" t="n">
        <f>7023152750</f>
        <v>7.02315275E9</v>
      </c>
      <c r="Y132" s="27"/>
      <c r="Z132" s="25" t="n">
        <f>223273</f>
        <v>223273.0</v>
      </c>
      <c r="AA132" s="25" t="n">
        <f>20159</f>
        <v>20159.0</v>
      </c>
      <c r="AB132" s="2" t="s">
        <v>135</v>
      </c>
      <c r="AC132" s="26" t="n">
        <f>64837</f>
        <v>64837.0</v>
      </c>
      <c r="AD132" s="3" t="s">
        <v>134</v>
      </c>
      <c r="AE132" s="27" t="n">
        <f>12557</f>
        <v>12557.0</v>
      </c>
    </row>
    <row r="133">
      <c r="A133" s="20" t="s">
        <v>511</v>
      </c>
      <c r="B133" s="21" t="s">
        <v>512</v>
      </c>
      <c r="C133" s="22"/>
      <c r="D133" s="23"/>
      <c r="E133" s="24" t="s">
        <v>451</v>
      </c>
      <c r="F133" s="28" t="n">
        <f>125</f>
        <v>125.0</v>
      </c>
      <c r="G133" s="25" t="n">
        <f>923790</f>
        <v>923790.0</v>
      </c>
      <c r="H133" s="25"/>
      <c r="I133" s="25" t="n">
        <f>3740</f>
        <v>3740.0</v>
      </c>
      <c r="J133" s="25" t="n">
        <f>7390</f>
        <v>7390.0</v>
      </c>
      <c r="K133" s="25" t="n">
        <f>30</f>
        <v>30.0</v>
      </c>
      <c r="L133" s="2" t="s">
        <v>117</v>
      </c>
      <c r="M133" s="26" t="n">
        <f>21163</f>
        <v>21163.0</v>
      </c>
      <c r="N133" s="3" t="s">
        <v>549</v>
      </c>
      <c r="O133" s="27" t="n">
        <f>1650</f>
        <v>1650.0</v>
      </c>
      <c r="P133" s="29" t="s">
        <v>550</v>
      </c>
      <c r="Q133" s="25"/>
      <c r="R133" s="29" t="s">
        <v>551</v>
      </c>
      <c r="S133" s="25" t="n">
        <f>8899216462</f>
        <v>8.899216462E9</v>
      </c>
      <c r="T133" s="25" t="n">
        <f>35810362</f>
        <v>3.5810362E7</v>
      </c>
      <c r="U133" s="3" t="s">
        <v>117</v>
      </c>
      <c r="V133" s="27" t="n">
        <f>26301353000</f>
        <v>2.6301353E10</v>
      </c>
      <c r="W133" s="3" t="s">
        <v>549</v>
      </c>
      <c r="X133" s="27" t="n">
        <f>1976785750</f>
        <v>1.97678575E9</v>
      </c>
      <c r="Y133" s="27"/>
      <c r="Z133" s="25" t="n">
        <f>47596</f>
        <v>47596.0</v>
      </c>
      <c r="AA133" s="25" t="n">
        <f>31404</f>
        <v>31404.0</v>
      </c>
      <c r="AB133" s="2" t="s">
        <v>117</v>
      </c>
      <c r="AC133" s="26" t="n">
        <f>45353</f>
        <v>45353.0</v>
      </c>
      <c r="AD133" s="3" t="s">
        <v>175</v>
      </c>
      <c r="AE133" s="27" t="n">
        <f>9057</f>
        <v>9057.0</v>
      </c>
    </row>
    <row r="134">
      <c r="A134" s="20" t="s">
        <v>511</v>
      </c>
      <c r="B134" s="21" t="s">
        <v>512</v>
      </c>
      <c r="C134" s="22"/>
      <c r="D134" s="23"/>
      <c r="E134" s="24" t="s">
        <v>454</v>
      </c>
      <c r="F134" s="28" t="n">
        <f>120</f>
        <v>120.0</v>
      </c>
      <c r="G134" s="25" t="n">
        <f>1885335</f>
        <v>1885335.0</v>
      </c>
      <c r="H134" s="25"/>
      <c r="I134" s="25" t="n">
        <f>15406</f>
        <v>15406.0</v>
      </c>
      <c r="J134" s="25" t="n">
        <f>15711</f>
        <v>15711.0</v>
      </c>
      <c r="K134" s="25" t="n">
        <f>128</f>
        <v>128.0</v>
      </c>
      <c r="L134" s="2" t="s">
        <v>315</v>
      </c>
      <c r="M134" s="26" t="n">
        <f>32262</f>
        <v>32262.0</v>
      </c>
      <c r="N134" s="3" t="s">
        <v>552</v>
      </c>
      <c r="O134" s="27" t="n">
        <f>5343</f>
        <v>5343.0</v>
      </c>
      <c r="P134" s="29" t="s">
        <v>553</v>
      </c>
      <c r="Q134" s="25"/>
      <c r="R134" s="29" t="s">
        <v>554</v>
      </c>
      <c r="S134" s="25" t="n">
        <f>18943517819</f>
        <v>1.8943517819E10</v>
      </c>
      <c r="T134" s="25" t="n">
        <f>156448363</f>
        <v>1.56448363E8</v>
      </c>
      <c r="U134" s="3" t="s">
        <v>315</v>
      </c>
      <c r="V134" s="27" t="n">
        <f>40814345250</f>
        <v>4.081434525E10</v>
      </c>
      <c r="W134" s="3" t="s">
        <v>552</v>
      </c>
      <c r="X134" s="27" t="n">
        <f>6553050500</f>
        <v>6.5530505E9</v>
      </c>
      <c r="Y134" s="27"/>
      <c r="Z134" s="25" t="n">
        <f>27985</f>
        <v>27985.0</v>
      </c>
      <c r="AA134" s="25" t="n">
        <f>36073</f>
        <v>36073.0</v>
      </c>
      <c r="AB134" s="2" t="s">
        <v>75</v>
      </c>
      <c r="AC134" s="26" t="n">
        <f>102972</f>
        <v>102972.0</v>
      </c>
      <c r="AD134" s="3" t="s">
        <v>61</v>
      </c>
      <c r="AE134" s="27" t="n">
        <f>13072</f>
        <v>13072.0</v>
      </c>
    </row>
    <row r="135">
      <c r="A135" s="20" t="s">
        <v>511</v>
      </c>
      <c r="B135" s="21" t="s">
        <v>512</v>
      </c>
      <c r="C135" s="22"/>
      <c r="D135" s="23"/>
      <c r="E135" s="24" t="s">
        <v>48</v>
      </c>
      <c r="F135" s="28" t="n">
        <f>124</f>
        <v>124.0</v>
      </c>
      <c r="G135" s="25" t="n">
        <f>2857776</f>
        <v>2857776.0</v>
      </c>
      <c r="H135" s="25"/>
      <c r="I135" s="25" t="n">
        <f>16789</f>
        <v>16789.0</v>
      </c>
      <c r="J135" s="25" t="n">
        <f>23047</f>
        <v>23047.0</v>
      </c>
      <c r="K135" s="25" t="n">
        <f>135</f>
        <v>135.0</v>
      </c>
      <c r="L135" s="2" t="s">
        <v>555</v>
      </c>
      <c r="M135" s="26" t="n">
        <f>71449</f>
        <v>71449.0</v>
      </c>
      <c r="N135" s="3" t="s">
        <v>114</v>
      </c>
      <c r="O135" s="27" t="n">
        <f>5678</f>
        <v>5678.0</v>
      </c>
      <c r="P135" s="29" t="s">
        <v>556</v>
      </c>
      <c r="Q135" s="25"/>
      <c r="R135" s="29" t="s">
        <v>557</v>
      </c>
      <c r="S135" s="25" t="n">
        <f>30330507197</f>
        <v>3.0330507197E10</v>
      </c>
      <c r="T135" s="25" t="n">
        <f>185461667</f>
        <v>1.85461667E8</v>
      </c>
      <c r="U135" s="3" t="s">
        <v>555</v>
      </c>
      <c r="V135" s="27" t="n">
        <f>93777892250</f>
        <v>9.377789225E10</v>
      </c>
      <c r="W135" s="3" t="s">
        <v>114</v>
      </c>
      <c r="X135" s="27" t="n">
        <f>8078032750</f>
        <v>8.07803275E9</v>
      </c>
      <c r="Y135" s="27"/>
      <c r="Z135" s="25" t="n">
        <f>34842</f>
        <v>34842.0</v>
      </c>
      <c r="AA135" s="25" t="n">
        <f>27825</f>
        <v>27825.0</v>
      </c>
      <c r="AB135" s="2" t="s">
        <v>473</v>
      </c>
      <c r="AC135" s="26" t="n">
        <f>86499</f>
        <v>86499.0</v>
      </c>
      <c r="AD135" s="3" t="s">
        <v>54</v>
      </c>
      <c r="AE135" s="27" t="n">
        <f>17518</f>
        <v>17518.0</v>
      </c>
    </row>
    <row r="136">
      <c r="A136" s="20" t="s">
        <v>511</v>
      </c>
      <c r="B136" s="21" t="s">
        <v>512</v>
      </c>
      <c r="C136" s="22"/>
      <c r="D136" s="23"/>
      <c r="E136" s="24" t="s">
        <v>55</v>
      </c>
      <c r="F136" s="28" t="n">
        <f>121</f>
        <v>121.0</v>
      </c>
      <c r="G136" s="25" t="n">
        <f>2287621</f>
        <v>2287621.0</v>
      </c>
      <c r="H136" s="25"/>
      <c r="I136" s="25" t="n">
        <f>33323</f>
        <v>33323.0</v>
      </c>
      <c r="J136" s="25" t="n">
        <f>18906</f>
        <v>18906.0</v>
      </c>
      <c r="K136" s="25" t="n">
        <f>275</f>
        <v>275.0</v>
      </c>
      <c r="L136" s="2" t="s">
        <v>558</v>
      </c>
      <c r="M136" s="26" t="n">
        <f>50714</f>
        <v>50714.0</v>
      </c>
      <c r="N136" s="3" t="s">
        <v>559</v>
      </c>
      <c r="O136" s="27" t="n">
        <f>6272</f>
        <v>6272.0</v>
      </c>
      <c r="P136" s="29" t="s">
        <v>560</v>
      </c>
      <c r="Q136" s="25"/>
      <c r="R136" s="29" t="s">
        <v>561</v>
      </c>
      <c r="S136" s="25" t="n">
        <f>29078708235</f>
        <v>2.9078708235E10</v>
      </c>
      <c r="T136" s="25" t="n">
        <f>438294051</f>
        <v>4.38294051E8</v>
      </c>
      <c r="U136" s="3" t="s">
        <v>558</v>
      </c>
      <c r="V136" s="27" t="n">
        <f>77680220500</f>
        <v>7.76802205E10</v>
      </c>
      <c r="W136" s="3" t="s">
        <v>559</v>
      </c>
      <c r="X136" s="27" t="n">
        <f>10402103750</f>
        <v>1.040210375E10</v>
      </c>
      <c r="Y136" s="27"/>
      <c r="Z136" s="25" t="n">
        <f>52325</f>
        <v>52325.0</v>
      </c>
      <c r="AA136" s="25" t="n">
        <f>29568</f>
        <v>29568.0</v>
      </c>
      <c r="AB136" s="2" t="s">
        <v>60</v>
      </c>
      <c r="AC136" s="26" t="n">
        <f>109517</f>
        <v>109517.0</v>
      </c>
      <c r="AD136" s="3" t="s">
        <v>172</v>
      </c>
      <c r="AE136" s="27" t="n">
        <f>15471</f>
        <v>15471.0</v>
      </c>
    </row>
    <row r="137">
      <c r="A137" s="20" t="s">
        <v>511</v>
      </c>
      <c r="B137" s="21" t="s">
        <v>512</v>
      </c>
      <c r="C137" s="22"/>
      <c r="D137" s="23"/>
      <c r="E137" s="24" t="s">
        <v>62</v>
      </c>
      <c r="F137" s="28" t="n">
        <f>123</f>
        <v>123.0</v>
      </c>
      <c r="G137" s="25" t="n">
        <f>2026560</f>
        <v>2026560.0</v>
      </c>
      <c r="H137" s="25"/>
      <c r="I137" s="25" t="n">
        <f>30528</f>
        <v>30528.0</v>
      </c>
      <c r="J137" s="25" t="n">
        <f>16476</f>
        <v>16476.0</v>
      </c>
      <c r="K137" s="25" t="n">
        <f>248</f>
        <v>248.0</v>
      </c>
      <c r="L137" s="2" t="s">
        <v>63</v>
      </c>
      <c r="M137" s="26" t="n">
        <f>148980</f>
        <v>148980.0</v>
      </c>
      <c r="N137" s="3" t="s">
        <v>562</v>
      </c>
      <c r="O137" s="27" t="n">
        <f>4026</f>
        <v>4026.0</v>
      </c>
      <c r="P137" s="29" t="s">
        <v>563</v>
      </c>
      <c r="Q137" s="25"/>
      <c r="R137" s="29" t="s">
        <v>564</v>
      </c>
      <c r="S137" s="25" t="n">
        <f>25430943804</f>
        <v>2.5430943804E10</v>
      </c>
      <c r="T137" s="25" t="n">
        <f>380371784</f>
        <v>3.80371784E8</v>
      </c>
      <c r="U137" s="3" t="s">
        <v>63</v>
      </c>
      <c r="V137" s="27" t="n">
        <f>217276847100</f>
        <v>2.172768471E11</v>
      </c>
      <c r="W137" s="3" t="s">
        <v>562</v>
      </c>
      <c r="X137" s="27" t="n">
        <f>6455554600</f>
        <v>6.4555546E9</v>
      </c>
      <c r="Y137" s="27"/>
      <c r="Z137" s="25" t="n">
        <f>68996</f>
        <v>68996.0</v>
      </c>
      <c r="AA137" s="25" t="n">
        <f>22097</f>
        <v>22097.0</v>
      </c>
      <c r="AB137" s="2" t="s">
        <v>95</v>
      </c>
      <c r="AC137" s="26" t="n">
        <f>243382</f>
        <v>243382.0</v>
      </c>
      <c r="AD137" s="3" t="s">
        <v>280</v>
      </c>
      <c r="AE137" s="27" t="n">
        <f>12349</f>
        <v>12349.0</v>
      </c>
    </row>
    <row r="138">
      <c r="A138" s="20" t="s">
        <v>511</v>
      </c>
      <c r="B138" s="21" t="s">
        <v>512</v>
      </c>
      <c r="C138" s="22"/>
      <c r="D138" s="23"/>
      <c r="E138" s="24" t="s">
        <v>69</v>
      </c>
      <c r="F138" s="28" t="n">
        <f>122</f>
        <v>122.0</v>
      </c>
      <c r="G138" s="25" t="n">
        <f>1837093</f>
        <v>1837093.0</v>
      </c>
      <c r="H138" s="25"/>
      <c r="I138" s="25" t="n">
        <f>55861</f>
        <v>55861.0</v>
      </c>
      <c r="J138" s="25" t="n">
        <f>15058</f>
        <v>15058.0</v>
      </c>
      <c r="K138" s="25" t="n">
        <f>458</f>
        <v>458.0</v>
      </c>
      <c r="L138" s="2" t="s">
        <v>565</v>
      </c>
      <c r="M138" s="26" t="n">
        <f>50935</f>
        <v>50935.0</v>
      </c>
      <c r="N138" s="3" t="s">
        <v>566</v>
      </c>
      <c r="O138" s="27" t="n">
        <f>4626</f>
        <v>4626.0</v>
      </c>
      <c r="P138" s="29" t="s">
        <v>567</v>
      </c>
      <c r="Q138" s="25"/>
      <c r="R138" s="29" t="s">
        <v>568</v>
      </c>
      <c r="S138" s="25" t="n">
        <f>20310485540</f>
        <v>2.031048554E10</v>
      </c>
      <c r="T138" s="25" t="n">
        <f>610640050</f>
        <v>6.1064005E8</v>
      </c>
      <c r="U138" s="3" t="s">
        <v>565</v>
      </c>
      <c r="V138" s="27" t="n">
        <f>74068269900</f>
        <v>7.40682699E10</v>
      </c>
      <c r="W138" s="3" t="s">
        <v>569</v>
      </c>
      <c r="X138" s="27" t="n">
        <f>6063144200</f>
        <v>6.0631442E9</v>
      </c>
      <c r="Y138" s="27"/>
      <c r="Z138" s="25" t="n">
        <f>564255</f>
        <v>564255.0</v>
      </c>
      <c r="AA138" s="25" t="n">
        <f>31011</f>
        <v>31011.0</v>
      </c>
      <c r="AB138" s="2" t="s">
        <v>134</v>
      </c>
      <c r="AC138" s="26" t="n">
        <f>152216</f>
        <v>152216.0</v>
      </c>
      <c r="AD138" s="3" t="s">
        <v>533</v>
      </c>
      <c r="AE138" s="27" t="n">
        <f>21313</f>
        <v>21313.0</v>
      </c>
    </row>
    <row r="139">
      <c r="A139" s="20" t="s">
        <v>511</v>
      </c>
      <c r="B139" s="21" t="s">
        <v>512</v>
      </c>
      <c r="C139" s="22"/>
      <c r="D139" s="23"/>
      <c r="E139" s="24" t="s">
        <v>76</v>
      </c>
      <c r="F139" s="28" t="n">
        <f>123</f>
        <v>123.0</v>
      </c>
      <c r="G139" s="25" t="n">
        <f>1118005</f>
        <v>1118005.0</v>
      </c>
      <c r="H139" s="25"/>
      <c r="I139" s="25" t="n">
        <f>70746</f>
        <v>70746.0</v>
      </c>
      <c r="J139" s="25" t="n">
        <f>9089</f>
        <v>9089.0</v>
      </c>
      <c r="K139" s="25" t="n">
        <f>575</f>
        <v>575.0</v>
      </c>
      <c r="L139" s="2" t="s">
        <v>181</v>
      </c>
      <c r="M139" s="26" t="n">
        <f>28032</f>
        <v>28032.0</v>
      </c>
      <c r="N139" s="3" t="s">
        <v>570</v>
      </c>
      <c r="O139" s="27" t="n">
        <f>4121</f>
        <v>4121.0</v>
      </c>
      <c r="P139" s="29" t="s">
        <v>571</v>
      </c>
      <c r="Q139" s="25"/>
      <c r="R139" s="29" t="s">
        <v>572</v>
      </c>
      <c r="S139" s="25" t="n">
        <f>12516279172</f>
        <v>1.2516279172E10</v>
      </c>
      <c r="T139" s="25" t="n">
        <f>823500477</f>
        <v>8.23500477E8</v>
      </c>
      <c r="U139" s="3" t="s">
        <v>128</v>
      </c>
      <c r="V139" s="27" t="n">
        <f>40600211220</f>
        <v>4.060021122E10</v>
      </c>
      <c r="W139" s="3" t="s">
        <v>570</v>
      </c>
      <c r="X139" s="27" t="n">
        <f>5427675300</f>
        <v>5.4276753E9</v>
      </c>
      <c r="Y139" s="27"/>
      <c r="Z139" s="25" t="n">
        <f>51530</f>
        <v>51530.0</v>
      </c>
      <c r="AA139" s="25" t="n">
        <f>43575</f>
        <v>43575.0</v>
      </c>
      <c r="AB139" s="2" t="s">
        <v>81</v>
      </c>
      <c r="AC139" s="26" t="n">
        <f>79874</f>
        <v>79874.0</v>
      </c>
      <c r="AD139" s="3" t="s">
        <v>82</v>
      </c>
      <c r="AE139" s="27" t="n">
        <f>12220</f>
        <v>12220.0</v>
      </c>
    </row>
    <row r="140">
      <c r="A140" s="20" t="s">
        <v>511</v>
      </c>
      <c r="B140" s="21" t="s">
        <v>512</v>
      </c>
      <c r="C140" s="22"/>
      <c r="D140" s="23"/>
      <c r="E140" s="24" t="s">
        <v>83</v>
      </c>
      <c r="F140" s="28" t="n">
        <f>123</f>
        <v>123.0</v>
      </c>
      <c r="G140" s="25" t="n">
        <f>1303569</f>
        <v>1303569.0</v>
      </c>
      <c r="H140" s="25"/>
      <c r="I140" s="25" t="n">
        <f>75333</f>
        <v>75333.0</v>
      </c>
      <c r="J140" s="25" t="n">
        <f>10598</f>
        <v>10598.0</v>
      </c>
      <c r="K140" s="25" t="n">
        <f>612</f>
        <v>612.0</v>
      </c>
      <c r="L140" s="2" t="s">
        <v>152</v>
      </c>
      <c r="M140" s="26" t="n">
        <f>27276</f>
        <v>27276.0</v>
      </c>
      <c r="N140" s="3" t="s">
        <v>75</v>
      </c>
      <c r="O140" s="27" t="n">
        <f>4278</f>
        <v>4278.0</v>
      </c>
      <c r="P140" s="29" t="s">
        <v>573</v>
      </c>
      <c r="Q140" s="25"/>
      <c r="R140" s="29" t="s">
        <v>574</v>
      </c>
      <c r="S140" s="25" t="n">
        <f>16468128187</f>
        <v>1.6468128187E10</v>
      </c>
      <c r="T140" s="25" t="n">
        <f>959040190</f>
        <v>9.5904019E8</v>
      </c>
      <c r="U140" s="3" t="s">
        <v>152</v>
      </c>
      <c r="V140" s="27" t="n">
        <f>43702043466</f>
        <v>4.3702043466E10</v>
      </c>
      <c r="W140" s="3" t="s">
        <v>75</v>
      </c>
      <c r="X140" s="27" t="n">
        <f>6686170000</f>
        <v>6.68617E9</v>
      </c>
      <c r="Y140" s="27"/>
      <c r="Z140" s="25" t="n">
        <f>73793</f>
        <v>73793.0</v>
      </c>
      <c r="AA140" s="25" t="n">
        <f>23155</f>
        <v>23155.0</v>
      </c>
      <c r="AB140" s="2" t="s">
        <v>56</v>
      </c>
      <c r="AC140" s="26" t="n">
        <f>70230</f>
        <v>70230.0</v>
      </c>
      <c r="AD140" s="3" t="s">
        <v>60</v>
      </c>
      <c r="AE140" s="27" t="n">
        <f>14644</f>
        <v>14644.0</v>
      </c>
    </row>
    <row r="141">
      <c r="A141" s="20" t="s">
        <v>511</v>
      </c>
      <c r="B141" s="21" t="s">
        <v>512</v>
      </c>
      <c r="C141" s="22"/>
      <c r="D141" s="23"/>
      <c r="E141" s="24" t="s">
        <v>89</v>
      </c>
      <c r="F141" s="28" t="n">
        <f>124</f>
        <v>124.0</v>
      </c>
      <c r="G141" s="25" t="n">
        <f>2321281</f>
        <v>2321281.0</v>
      </c>
      <c r="H141" s="25"/>
      <c r="I141" s="25" t="n">
        <f>33955</f>
        <v>33955.0</v>
      </c>
      <c r="J141" s="25" t="n">
        <f>18720</f>
        <v>18720.0</v>
      </c>
      <c r="K141" s="25" t="n">
        <f>274</f>
        <v>274.0</v>
      </c>
      <c r="L141" s="2" t="s">
        <v>181</v>
      </c>
      <c r="M141" s="26" t="n">
        <f>45709</f>
        <v>45709.0</v>
      </c>
      <c r="N141" s="3" t="s">
        <v>114</v>
      </c>
      <c r="O141" s="27" t="n">
        <f>7267</f>
        <v>7267.0</v>
      </c>
      <c r="P141" s="29" t="s">
        <v>575</v>
      </c>
      <c r="Q141" s="25"/>
      <c r="R141" s="29" t="s">
        <v>576</v>
      </c>
      <c r="S141" s="25" t="n">
        <f>31881351479</f>
        <v>3.1881351479E10</v>
      </c>
      <c r="T141" s="25" t="n">
        <f>463517207</f>
        <v>4.63517207E8</v>
      </c>
      <c r="U141" s="3" t="s">
        <v>181</v>
      </c>
      <c r="V141" s="27" t="n">
        <f>83390614350</f>
        <v>8.339061435E10</v>
      </c>
      <c r="W141" s="3" t="s">
        <v>114</v>
      </c>
      <c r="X141" s="27" t="n">
        <f>13290044250</f>
        <v>1.329004425E10</v>
      </c>
      <c r="Y141" s="27"/>
      <c r="Z141" s="25" t="n">
        <f>40652</f>
        <v>40652.0</v>
      </c>
      <c r="AA141" s="25" t="n">
        <f>31128</f>
        <v>31128.0</v>
      </c>
      <c r="AB141" s="2" t="s">
        <v>128</v>
      </c>
      <c r="AC141" s="26" t="n">
        <f>120792</f>
        <v>120792.0</v>
      </c>
      <c r="AD141" s="3" t="s">
        <v>95</v>
      </c>
      <c r="AE141" s="27" t="n">
        <f>15007</f>
        <v>15007.0</v>
      </c>
    </row>
    <row r="142">
      <c r="A142" s="20" t="s">
        <v>511</v>
      </c>
      <c r="B142" s="21" t="s">
        <v>512</v>
      </c>
      <c r="C142" s="22"/>
      <c r="D142" s="23"/>
      <c r="E142" s="24" t="s">
        <v>96</v>
      </c>
      <c r="F142" s="28" t="n">
        <f>121</f>
        <v>121.0</v>
      </c>
      <c r="G142" s="25" t="n">
        <f>2173705</f>
        <v>2173705.0</v>
      </c>
      <c r="H142" s="25"/>
      <c r="I142" s="25" t="n">
        <f>51261</f>
        <v>51261.0</v>
      </c>
      <c r="J142" s="25" t="n">
        <f>17965</f>
        <v>17965.0</v>
      </c>
      <c r="K142" s="25" t="n">
        <f>424</f>
        <v>424.0</v>
      </c>
      <c r="L142" s="2" t="s">
        <v>476</v>
      </c>
      <c r="M142" s="26" t="n">
        <f>60174</f>
        <v>60174.0</v>
      </c>
      <c r="N142" s="3" t="s">
        <v>194</v>
      </c>
      <c r="O142" s="27" t="n">
        <f>9109</f>
        <v>9109.0</v>
      </c>
      <c r="P142" s="29" t="s">
        <v>577</v>
      </c>
      <c r="Q142" s="25"/>
      <c r="R142" s="29" t="s">
        <v>578</v>
      </c>
      <c r="S142" s="25" t="n">
        <f>31676503432</f>
        <v>3.1676503432E10</v>
      </c>
      <c r="T142" s="25" t="n">
        <f>738573319</f>
        <v>7.38573319E8</v>
      </c>
      <c r="U142" s="3" t="s">
        <v>476</v>
      </c>
      <c r="V142" s="27" t="n">
        <f>105175024000</f>
        <v>1.05175024E11</v>
      </c>
      <c r="W142" s="3" t="s">
        <v>479</v>
      </c>
      <c r="X142" s="27" t="n">
        <f>16175592600</f>
        <v>1.61755926E10</v>
      </c>
      <c r="Y142" s="27"/>
      <c r="Z142" s="25" t="n">
        <f>43413</f>
        <v>43413.0</v>
      </c>
      <c r="AA142" s="25" t="n">
        <f>23060</f>
        <v>23060.0</v>
      </c>
      <c r="AB142" s="2" t="s">
        <v>152</v>
      </c>
      <c r="AC142" s="26" t="n">
        <f>102927</f>
        <v>102927.0</v>
      </c>
      <c r="AD142" s="3" t="s">
        <v>290</v>
      </c>
      <c r="AE142" s="27" t="n">
        <f>21557</f>
        <v>21557.0</v>
      </c>
    </row>
    <row r="143">
      <c r="A143" s="20" t="s">
        <v>511</v>
      </c>
      <c r="B143" s="21" t="s">
        <v>512</v>
      </c>
      <c r="C143" s="22"/>
      <c r="D143" s="23"/>
      <c r="E143" s="24" t="s">
        <v>102</v>
      </c>
      <c r="F143" s="28" t="n">
        <f>124</f>
        <v>124.0</v>
      </c>
      <c r="G143" s="25" t="n">
        <f>2307147</f>
        <v>2307147.0</v>
      </c>
      <c r="H143" s="25"/>
      <c r="I143" s="25" t="n">
        <f>58197</f>
        <v>58197.0</v>
      </c>
      <c r="J143" s="25" t="n">
        <f>18606</f>
        <v>18606.0</v>
      </c>
      <c r="K143" s="25" t="n">
        <f>469</f>
        <v>469.0</v>
      </c>
      <c r="L143" s="2" t="s">
        <v>67</v>
      </c>
      <c r="M143" s="26" t="n">
        <f>38585</f>
        <v>38585.0</v>
      </c>
      <c r="N143" s="3" t="s">
        <v>103</v>
      </c>
      <c r="O143" s="27" t="n">
        <f>8512</f>
        <v>8512.0</v>
      </c>
      <c r="P143" s="29" t="s">
        <v>579</v>
      </c>
      <c r="Q143" s="25"/>
      <c r="R143" s="29" t="s">
        <v>580</v>
      </c>
      <c r="S143" s="25" t="n">
        <f>31286917182</f>
        <v>3.1286917182E10</v>
      </c>
      <c r="T143" s="25" t="n">
        <f>772146026</f>
        <v>7.72146026E8</v>
      </c>
      <c r="U143" s="3" t="s">
        <v>197</v>
      </c>
      <c r="V143" s="27" t="n">
        <f>64312643650</f>
        <v>6.431264365E10</v>
      </c>
      <c r="W143" s="3" t="s">
        <v>581</v>
      </c>
      <c r="X143" s="27" t="n">
        <f>14355734600</f>
        <v>1.43557346E10</v>
      </c>
      <c r="Y143" s="27"/>
      <c r="Z143" s="25" t="n">
        <f>44442</f>
        <v>44442.0</v>
      </c>
      <c r="AA143" s="25" t="n">
        <f>31652</f>
        <v>31652.0</v>
      </c>
      <c r="AB143" s="2" t="s">
        <v>582</v>
      </c>
      <c r="AC143" s="26" t="n">
        <f>63760</f>
        <v>63760.0</v>
      </c>
      <c r="AD143" s="3" t="s">
        <v>106</v>
      </c>
      <c r="AE143" s="27" t="n">
        <f>18298</f>
        <v>18298.0</v>
      </c>
    </row>
    <row r="144">
      <c r="A144" s="20" t="s">
        <v>511</v>
      </c>
      <c r="B144" s="21" t="s">
        <v>512</v>
      </c>
      <c r="C144" s="22"/>
      <c r="D144" s="23"/>
      <c r="E144" s="24" t="s">
        <v>107</v>
      </c>
      <c r="F144" s="28" t="n">
        <f>117</f>
        <v>117.0</v>
      </c>
      <c r="G144" s="25" t="n">
        <f>2093634</f>
        <v>2093634.0</v>
      </c>
      <c r="H144" s="25"/>
      <c r="I144" s="25" t="n">
        <f>83263</f>
        <v>83263.0</v>
      </c>
      <c r="J144" s="25" t="n">
        <f>17894</f>
        <v>17894.0</v>
      </c>
      <c r="K144" s="25" t="n">
        <f>712</f>
        <v>712.0</v>
      </c>
      <c r="L144" s="2" t="s">
        <v>101</v>
      </c>
      <c r="M144" s="26" t="n">
        <f>42138</f>
        <v>42138.0</v>
      </c>
      <c r="N144" s="3" t="s">
        <v>108</v>
      </c>
      <c r="O144" s="27" t="n">
        <f>8054</f>
        <v>8054.0</v>
      </c>
      <c r="P144" s="29" t="s">
        <v>583</v>
      </c>
      <c r="Q144" s="25"/>
      <c r="R144" s="29" t="s">
        <v>584</v>
      </c>
      <c r="S144" s="25" t="n">
        <f>28059659128</f>
        <v>2.8059659128E10</v>
      </c>
      <c r="T144" s="25" t="n">
        <f>1120073368</f>
        <v>1.120073368E9</v>
      </c>
      <c r="U144" s="3" t="s">
        <v>101</v>
      </c>
      <c r="V144" s="27" t="n">
        <f>65606461254</f>
        <v>6.5606461254E10</v>
      </c>
      <c r="W144" s="3" t="s">
        <v>108</v>
      </c>
      <c r="X144" s="27" t="n">
        <f>13013301250</f>
        <v>1.301330125E10</v>
      </c>
      <c r="Y144" s="27"/>
      <c r="Z144" s="25" t="n">
        <f>44793</f>
        <v>44793.0</v>
      </c>
      <c r="AA144" s="25" t="n">
        <f>29516</f>
        <v>29516.0</v>
      </c>
      <c r="AB144" s="2" t="s">
        <v>135</v>
      </c>
      <c r="AC144" s="26" t="n">
        <f>74891</f>
        <v>74891.0</v>
      </c>
      <c r="AD144" s="3" t="s">
        <v>134</v>
      </c>
      <c r="AE144" s="27" t="n">
        <f>16036</f>
        <v>16036.0</v>
      </c>
    </row>
    <row r="145">
      <c r="A145" s="20" t="s">
        <v>511</v>
      </c>
      <c r="B145" s="21" t="s">
        <v>512</v>
      </c>
      <c r="C145" s="22"/>
      <c r="D145" s="23"/>
      <c r="E145" s="24" t="s">
        <v>113</v>
      </c>
      <c r="F145" s="28" t="n">
        <f>124</f>
        <v>124.0</v>
      </c>
      <c r="G145" s="25" t="n">
        <f>2584099</f>
        <v>2584099.0</v>
      </c>
      <c r="H145" s="25"/>
      <c r="I145" s="25" t="n">
        <f>109721</f>
        <v>109721.0</v>
      </c>
      <c r="J145" s="25" t="n">
        <f>20840</f>
        <v>20840.0</v>
      </c>
      <c r="K145" s="25" t="n">
        <f>885</f>
        <v>885.0</v>
      </c>
      <c r="L145" s="2" t="s">
        <v>295</v>
      </c>
      <c r="M145" s="26" t="n">
        <f>46954</f>
        <v>46954.0</v>
      </c>
      <c r="N145" s="3" t="s">
        <v>114</v>
      </c>
      <c r="O145" s="27" t="n">
        <f>7373</f>
        <v>7373.0</v>
      </c>
      <c r="P145" s="29" t="s">
        <v>585</v>
      </c>
      <c r="Q145" s="25"/>
      <c r="R145" s="29" t="s">
        <v>586</v>
      </c>
      <c r="S145" s="25" t="n">
        <f>33536634259</f>
        <v>3.3536634259E10</v>
      </c>
      <c r="T145" s="25" t="n">
        <f>1454454032</f>
        <v>1.454454032E9</v>
      </c>
      <c r="U145" s="3" t="s">
        <v>295</v>
      </c>
      <c r="V145" s="27" t="n">
        <f>72839902449</f>
        <v>7.2839902449E10</v>
      </c>
      <c r="W145" s="3" t="s">
        <v>114</v>
      </c>
      <c r="X145" s="27" t="n">
        <f>12689503850</f>
        <v>1.268950385E10</v>
      </c>
      <c r="Y145" s="27"/>
      <c r="Z145" s="25" t="n">
        <f>82484</f>
        <v>82484.0</v>
      </c>
      <c r="AA145" s="25" t="n">
        <f>49823</f>
        <v>49823.0</v>
      </c>
      <c r="AB145" s="2" t="s">
        <v>117</v>
      </c>
      <c r="AC145" s="26" t="n">
        <f>131361</f>
        <v>131361.0</v>
      </c>
      <c r="AD145" s="3" t="s">
        <v>215</v>
      </c>
      <c r="AE145" s="27" t="n">
        <f>24304</f>
        <v>24304.0</v>
      </c>
    </row>
    <row r="146">
      <c r="A146" s="20" t="s">
        <v>511</v>
      </c>
      <c r="B146" s="21" t="s">
        <v>512</v>
      </c>
      <c r="C146" s="22"/>
      <c r="D146" s="23"/>
      <c r="E146" s="24" t="s">
        <v>119</v>
      </c>
      <c r="F146" s="28" t="n">
        <f>119</f>
        <v>119.0</v>
      </c>
      <c r="G146" s="25" t="n">
        <f>4256663</f>
        <v>4256663.0</v>
      </c>
      <c r="H146" s="25"/>
      <c r="I146" s="25" t="n">
        <f>227202</f>
        <v>227202.0</v>
      </c>
      <c r="J146" s="25" t="n">
        <f>35770</f>
        <v>35770.0</v>
      </c>
      <c r="K146" s="25" t="n">
        <f>1909</f>
        <v>1909.0</v>
      </c>
      <c r="L146" s="2" t="s">
        <v>60</v>
      </c>
      <c r="M146" s="26" t="n">
        <f>124710</f>
        <v>124710.0</v>
      </c>
      <c r="N146" s="3" t="s">
        <v>212</v>
      </c>
      <c r="O146" s="27" t="n">
        <f>11043</f>
        <v>11043.0</v>
      </c>
      <c r="P146" s="29" t="s">
        <v>587</v>
      </c>
      <c r="Q146" s="25"/>
      <c r="R146" s="29" t="s">
        <v>588</v>
      </c>
      <c r="S146" s="25" t="n">
        <f>54227587549</f>
        <v>5.4227587549E10</v>
      </c>
      <c r="T146" s="25" t="n">
        <f>2890716863</f>
        <v>2.890716863E9</v>
      </c>
      <c r="U146" s="3" t="s">
        <v>56</v>
      </c>
      <c r="V146" s="27" t="n">
        <f>161927679470</f>
        <v>1.6192767947E11</v>
      </c>
      <c r="W146" s="3" t="s">
        <v>212</v>
      </c>
      <c r="X146" s="27" t="n">
        <f>15606708050</f>
        <v>1.560670805E10</v>
      </c>
      <c r="Y146" s="27"/>
      <c r="Z146" s="25" t="n">
        <f>195043</f>
        <v>195043.0</v>
      </c>
      <c r="AA146" s="25" t="n">
        <f>54046</f>
        <v>54046.0</v>
      </c>
      <c r="AB146" s="2" t="s">
        <v>189</v>
      </c>
      <c r="AC146" s="26" t="n">
        <f>171383</f>
        <v>171383.0</v>
      </c>
      <c r="AD146" s="3" t="s">
        <v>172</v>
      </c>
      <c r="AE146" s="27" t="n">
        <f>26981</f>
        <v>26981.0</v>
      </c>
    </row>
    <row r="147">
      <c r="A147" s="20" t="s">
        <v>511</v>
      </c>
      <c r="B147" s="21" t="s">
        <v>512</v>
      </c>
      <c r="C147" s="22"/>
      <c r="D147" s="23"/>
      <c r="E147" s="24" t="s">
        <v>124</v>
      </c>
      <c r="F147" s="28" t="n">
        <f>124</f>
        <v>124.0</v>
      </c>
      <c r="G147" s="25" t="n">
        <f>3966641</f>
        <v>3966641.0</v>
      </c>
      <c r="H147" s="25"/>
      <c r="I147" s="25" t="n">
        <f>145022</f>
        <v>145022.0</v>
      </c>
      <c r="J147" s="25" t="n">
        <f>31989</f>
        <v>31989.0</v>
      </c>
      <c r="K147" s="25" t="n">
        <f>1170</f>
        <v>1170.0</v>
      </c>
      <c r="L147" s="2" t="s">
        <v>521</v>
      </c>
      <c r="M147" s="26" t="n">
        <f>86308</f>
        <v>86308.0</v>
      </c>
      <c r="N147" s="3" t="s">
        <v>114</v>
      </c>
      <c r="O147" s="27" t="n">
        <f>8209</f>
        <v>8209.0</v>
      </c>
      <c r="P147" s="29" t="s">
        <v>589</v>
      </c>
      <c r="Q147" s="25"/>
      <c r="R147" s="29" t="s">
        <v>590</v>
      </c>
      <c r="S147" s="25" t="n">
        <f>52640974513</f>
        <v>5.2640974513E10</v>
      </c>
      <c r="T147" s="25" t="n">
        <f>1936199246</f>
        <v>1.936199246E9</v>
      </c>
      <c r="U147" s="3" t="s">
        <v>521</v>
      </c>
      <c r="V147" s="27" t="n">
        <f>139232180210</f>
        <v>1.3923218021E11</v>
      </c>
      <c r="W147" s="3" t="s">
        <v>114</v>
      </c>
      <c r="X147" s="27" t="n">
        <f>14568036500</f>
        <v>1.45680365E10</v>
      </c>
      <c r="Y147" s="27"/>
      <c r="Z147" s="25" t="n">
        <f>175378</f>
        <v>175378.0</v>
      </c>
      <c r="AA147" s="25" t="n">
        <f>41338</f>
        <v>41338.0</v>
      </c>
      <c r="AB147" s="2" t="s">
        <v>125</v>
      </c>
      <c r="AC147" s="26" t="n">
        <f>146439</f>
        <v>146439.0</v>
      </c>
      <c r="AD147" s="3" t="s">
        <v>216</v>
      </c>
      <c r="AE147" s="27" t="n">
        <f>27477</f>
        <v>27477.0</v>
      </c>
    </row>
    <row r="148">
      <c r="A148" s="20" t="s">
        <v>511</v>
      </c>
      <c r="B148" s="21" t="s">
        <v>512</v>
      </c>
      <c r="C148" s="22"/>
      <c r="D148" s="23"/>
      <c r="E148" s="24" t="s">
        <v>130</v>
      </c>
      <c r="F148" s="28" t="n">
        <f>121</f>
        <v>121.0</v>
      </c>
      <c r="G148" s="25" t="n">
        <f>4374833</f>
        <v>4374833.0</v>
      </c>
      <c r="H148" s="25"/>
      <c r="I148" s="25" t="n">
        <f>115893</f>
        <v>115893.0</v>
      </c>
      <c r="J148" s="25" t="n">
        <f>36156</f>
        <v>36156.0</v>
      </c>
      <c r="K148" s="25" t="n">
        <f>958</f>
        <v>958.0</v>
      </c>
      <c r="L148" s="2" t="s">
        <v>74</v>
      </c>
      <c r="M148" s="26" t="n">
        <f>69771</f>
        <v>69771.0</v>
      </c>
      <c r="N148" s="3" t="s">
        <v>135</v>
      </c>
      <c r="O148" s="27" t="n">
        <f>19236</f>
        <v>19236.0</v>
      </c>
      <c r="P148" s="29" t="s">
        <v>591</v>
      </c>
      <c r="Q148" s="25"/>
      <c r="R148" s="29" t="s">
        <v>592</v>
      </c>
      <c r="S148" s="25" t="n">
        <f>69284305626</f>
        <v>6.9284305626E10</v>
      </c>
      <c r="T148" s="25" t="n">
        <f>1843364820</f>
        <v>1.84336482E9</v>
      </c>
      <c r="U148" s="3" t="s">
        <v>243</v>
      </c>
      <c r="V148" s="27" t="n">
        <f>137056872320</f>
        <v>1.3705687232E11</v>
      </c>
      <c r="W148" s="3" t="s">
        <v>135</v>
      </c>
      <c r="X148" s="27" t="n">
        <f>37625900200</f>
        <v>3.76259002E10</v>
      </c>
      <c r="Y148" s="27"/>
      <c r="Z148" s="25" t="n">
        <f>473900</f>
        <v>473900.0</v>
      </c>
      <c r="AA148" s="25" t="n">
        <f>42723</f>
        <v>42723.0</v>
      </c>
      <c r="AB148" s="2" t="s">
        <v>290</v>
      </c>
      <c r="AC148" s="26" t="n">
        <f>99359</f>
        <v>99359.0</v>
      </c>
      <c r="AD148" s="3" t="s">
        <v>282</v>
      </c>
      <c r="AE148" s="27" t="n">
        <f>27545</f>
        <v>27545.0</v>
      </c>
    </row>
    <row r="149">
      <c r="A149" s="20" t="s">
        <v>511</v>
      </c>
      <c r="B149" s="21" t="s">
        <v>512</v>
      </c>
      <c r="C149" s="22"/>
      <c r="D149" s="23"/>
      <c r="E149" s="24" t="s">
        <v>136</v>
      </c>
      <c r="F149" s="28" t="n">
        <f>124</f>
        <v>124.0</v>
      </c>
      <c r="G149" s="25" t="n">
        <f>4489344</f>
        <v>4489344.0</v>
      </c>
      <c r="H149" s="25"/>
      <c r="I149" s="25" t="n">
        <f>139881</f>
        <v>139881.0</v>
      </c>
      <c r="J149" s="25" t="n">
        <f>36204</f>
        <v>36204.0</v>
      </c>
      <c r="K149" s="25" t="n">
        <f>1128</f>
        <v>1128.0</v>
      </c>
      <c r="L149" s="2" t="s">
        <v>593</v>
      </c>
      <c r="M149" s="26" t="n">
        <f>78678</f>
        <v>78678.0</v>
      </c>
      <c r="N149" s="3" t="s">
        <v>138</v>
      </c>
      <c r="O149" s="27" t="n">
        <f>12102</f>
        <v>12102.0</v>
      </c>
      <c r="P149" s="29" t="s">
        <v>594</v>
      </c>
      <c r="Q149" s="25"/>
      <c r="R149" s="29" t="s">
        <v>595</v>
      </c>
      <c r="S149" s="25" t="n">
        <f>71706114775</f>
        <v>7.1706114775E10</v>
      </c>
      <c r="T149" s="25" t="n">
        <f>2249618347</f>
        <v>2.249618347E9</v>
      </c>
      <c r="U149" s="3" t="s">
        <v>141</v>
      </c>
      <c r="V149" s="27" t="n">
        <f>157018449761</f>
        <v>1.57018449761E11</v>
      </c>
      <c r="W149" s="3" t="s">
        <v>138</v>
      </c>
      <c r="X149" s="27" t="n">
        <f>23936727750</f>
        <v>2.393672775E10</v>
      </c>
      <c r="Y149" s="27"/>
      <c r="Z149" s="25" t="n">
        <f>557711</f>
        <v>557711.0</v>
      </c>
      <c r="AA149" s="25" t="n">
        <f>28512</f>
        <v>28512.0</v>
      </c>
      <c r="AB149" s="2" t="s">
        <v>224</v>
      </c>
      <c r="AC149" s="26" t="n">
        <f>77327</f>
        <v>77327.0</v>
      </c>
      <c r="AD149" s="3" t="s">
        <v>117</v>
      </c>
      <c r="AE149" s="27" t="n">
        <f>23221</f>
        <v>23221.0</v>
      </c>
    </row>
    <row r="150">
      <c r="A150" s="20" t="s">
        <v>511</v>
      </c>
      <c r="B150" s="21" t="s">
        <v>512</v>
      </c>
      <c r="C150" s="22"/>
      <c r="D150" s="23"/>
      <c r="E150" s="24" t="s">
        <v>142</v>
      </c>
      <c r="F150" s="28" t="n">
        <f>120</f>
        <v>120.0</v>
      </c>
      <c r="G150" s="25" t="n">
        <f>4328812</f>
        <v>4328812.0</v>
      </c>
      <c r="H150" s="25"/>
      <c r="I150" s="25" t="n">
        <f>167911</f>
        <v>167911.0</v>
      </c>
      <c r="J150" s="25" t="n">
        <f>36073</f>
        <v>36073.0</v>
      </c>
      <c r="K150" s="25" t="n">
        <f>1399</f>
        <v>1399.0</v>
      </c>
      <c r="L150" s="2" t="s">
        <v>70</v>
      </c>
      <c r="M150" s="26" t="n">
        <f>88427</f>
        <v>88427.0</v>
      </c>
      <c r="N150" s="3" t="s">
        <v>143</v>
      </c>
      <c r="O150" s="27" t="n">
        <f>17684</f>
        <v>17684.0</v>
      </c>
      <c r="P150" s="29" t="s">
        <v>596</v>
      </c>
      <c r="Q150" s="25"/>
      <c r="R150" s="29" t="s">
        <v>597</v>
      </c>
      <c r="S150" s="25" t="n">
        <f>68426327556</f>
        <v>6.8426327556E10</v>
      </c>
      <c r="T150" s="25" t="n">
        <f>2644294004</f>
        <v>2.644294004E9</v>
      </c>
      <c r="U150" s="3" t="s">
        <v>146</v>
      </c>
      <c r="V150" s="27" t="n">
        <f>158025263987</f>
        <v>1.58025263987E11</v>
      </c>
      <c r="W150" s="3" t="s">
        <v>143</v>
      </c>
      <c r="X150" s="27" t="n">
        <f>33176563400</f>
        <v>3.31765634E10</v>
      </c>
      <c r="Y150" s="27"/>
      <c r="Z150" s="25" t="n">
        <f>475582</f>
        <v>475582.0</v>
      </c>
      <c r="AA150" s="25" t="n">
        <f>47963</f>
        <v>47963.0</v>
      </c>
      <c r="AB150" s="2" t="s">
        <v>307</v>
      </c>
      <c r="AC150" s="26" t="n">
        <f>85497</f>
        <v>85497.0</v>
      </c>
      <c r="AD150" s="3" t="s">
        <v>75</v>
      </c>
      <c r="AE150" s="27" t="n">
        <f>29427</f>
        <v>29427.0</v>
      </c>
    </row>
    <row r="151">
      <c r="A151" s="20" t="s">
        <v>511</v>
      </c>
      <c r="B151" s="21" t="s">
        <v>512</v>
      </c>
      <c r="C151" s="22"/>
      <c r="D151" s="23"/>
      <c r="E151" s="24" t="s">
        <v>148</v>
      </c>
      <c r="F151" s="28" t="n">
        <f>124</f>
        <v>124.0</v>
      </c>
      <c r="G151" s="25" t="n">
        <f>3028332</f>
        <v>3028332.0</v>
      </c>
      <c r="H151" s="25"/>
      <c r="I151" s="25" t="n">
        <f>149189</f>
        <v>149189.0</v>
      </c>
      <c r="J151" s="25" t="n">
        <f>24422</f>
        <v>24422.0</v>
      </c>
      <c r="K151" s="25" t="n">
        <f>1203</f>
        <v>1203.0</v>
      </c>
      <c r="L151" s="2" t="s">
        <v>77</v>
      </c>
      <c r="M151" s="26" t="n">
        <f>64824</f>
        <v>64824.0</v>
      </c>
      <c r="N151" s="3" t="s">
        <v>138</v>
      </c>
      <c r="O151" s="27" t="n">
        <f>10613</f>
        <v>10613.0</v>
      </c>
      <c r="P151" s="29" t="s">
        <v>598</v>
      </c>
      <c r="Q151" s="25"/>
      <c r="R151" s="29" t="s">
        <v>599</v>
      </c>
      <c r="S151" s="25" t="n">
        <f>46966530024</f>
        <v>4.6966530024E10</v>
      </c>
      <c r="T151" s="25" t="n">
        <f>2316293539</f>
        <v>2.316293539E9</v>
      </c>
      <c r="U151" s="3" t="s">
        <v>77</v>
      </c>
      <c r="V151" s="27" t="n">
        <f>126172111956</f>
        <v>1.26172111956E11</v>
      </c>
      <c r="W151" s="3" t="s">
        <v>138</v>
      </c>
      <c r="X151" s="27" t="n">
        <f>20245551450</f>
        <v>2.024555145E10</v>
      </c>
      <c r="Y151" s="27"/>
      <c r="Z151" s="25" t="n">
        <f>167910</f>
        <v>167910.0</v>
      </c>
      <c r="AA151" s="25" t="n">
        <f>40008</f>
        <v>40008.0</v>
      </c>
      <c r="AB151" s="2" t="s">
        <v>128</v>
      </c>
      <c r="AC151" s="26" t="n">
        <f>58112</f>
        <v>58112.0</v>
      </c>
      <c r="AD151" s="3" t="s">
        <v>82</v>
      </c>
      <c r="AE151" s="27" t="n">
        <f>27807</f>
        <v>27807.0</v>
      </c>
    </row>
    <row r="152">
      <c r="A152" s="20" t="s">
        <v>511</v>
      </c>
      <c r="B152" s="21" t="s">
        <v>512</v>
      </c>
      <c r="C152" s="22"/>
      <c r="D152" s="23"/>
      <c r="E152" s="24" t="s">
        <v>151</v>
      </c>
      <c r="F152" s="28" t="n">
        <f>122</f>
        <v>122.0</v>
      </c>
      <c r="G152" s="25" t="n">
        <f>3420450</f>
        <v>3420450.0</v>
      </c>
      <c r="H152" s="25"/>
      <c r="I152" s="25" t="n">
        <f>142748</f>
        <v>142748.0</v>
      </c>
      <c r="J152" s="25" t="n">
        <f>28036</f>
        <v>28036.0</v>
      </c>
      <c r="K152" s="25" t="n">
        <f>1170</f>
        <v>1170.0</v>
      </c>
      <c r="L152" s="2" t="s">
        <v>146</v>
      </c>
      <c r="M152" s="26" t="n">
        <f>68329</f>
        <v>68329.0</v>
      </c>
      <c r="N152" s="3" t="s">
        <v>153</v>
      </c>
      <c r="O152" s="27" t="n">
        <f>13540</f>
        <v>13540.0</v>
      </c>
      <c r="P152" s="29" t="s">
        <v>600</v>
      </c>
      <c r="Q152" s="25"/>
      <c r="R152" s="29" t="s">
        <v>601</v>
      </c>
      <c r="S152" s="25" t="n">
        <f>57832778851</f>
        <v>5.7832778851E10</v>
      </c>
      <c r="T152" s="25" t="n">
        <f>2443182364</f>
        <v>2.443182364E9</v>
      </c>
      <c r="U152" s="3" t="s">
        <v>146</v>
      </c>
      <c r="V152" s="27" t="n">
        <f>151944916540</f>
        <v>1.5194491654E11</v>
      </c>
      <c r="W152" s="3" t="s">
        <v>153</v>
      </c>
      <c r="X152" s="27" t="n">
        <f>26743786250</f>
        <v>2.674378625E10</v>
      </c>
      <c r="Y152" s="27"/>
      <c r="Z152" s="25" t="n">
        <f>161619</f>
        <v>161619.0</v>
      </c>
      <c r="AA152" s="25" t="n">
        <f>41785</f>
        <v>41785.0</v>
      </c>
      <c r="AB152" s="2" t="s">
        <v>152</v>
      </c>
      <c r="AC152" s="26" t="n">
        <f>84035</f>
        <v>84035.0</v>
      </c>
      <c r="AD152" s="3" t="s">
        <v>60</v>
      </c>
      <c r="AE152" s="27" t="n">
        <f>28325</f>
        <v>28325.0</v>
      </c>
    </row>
    <row r="153">
      <c r="A153" s="20" t="s">
        <v>511</v>
      </c>
      <c r="B153" s="21" t="s">
        <v>512</v>
      </c>
      <c r="C153" s="22"/>
      <c r="D153" s="23"/>
      <c r="E153" s="24" t="s">
        <v>157</v>
      </c>
      <c r="F153" s="28" t="n">
        <f>124</f>
        <v>124.0</v>
      </c>
      <c r="G153" s="25" t="n">
        <f>3422874</f>
        <v>3422874.0</v>
      </c>
      <c r="H153" s="25"/>
      <c r="I153" s="25" t="n">
        <f>128009</f>
        <v>128009.0</v>
      </c>
      <c r="J153" s="25" t="n">
        <f>27604</f>
        <v>27604.0</v>
      </c>
      <c r="K153" s="25" t="n">
        <f>1032</f>
        <v>1032.0</v>
      </c>
      <c r="L153" s="2" t="s">
        <v>241</v>
      </c>
      <c r="M153" s="26" t="n">
        <f>60939</f>
        <v>60939.0</v>
      </c>
      <c r="N153" s="3" t="s">
        <v>50</v>
      </c>
      <c r="O153" s="27" t="n">
        <f>11371</f>
        <v>11371.0</v>
      </c>
      <c r="P153" s="29" t="s">
        <v>602</v>
      </c>
      <c r="Q153" s="25"/>
      <c r="R153" s="29" t="s">
        <v>603</v>
      </c>
      <c r="S153" s="25" t="n">
        <f>63817098770</f>
        <v>6.381709877E10</v>
      </c>
      <c r="T153" s="25" t="n">
        <f>2411788297</f>
        <v>2.411788297E9</v>
      </c>
      <c r="U153" s="3" t="s">
        <v>241</v>
      </c>
      <c r="V153" s="27" t="n">
        <f>143967086695</f>
        <v>1.43967086695E11</v>
      </c>
      <c r="W153" s="3" t="s">
        <v>50</v>
      </c>
      <c r="X153" s="27" t="n">
        <f>26529796375</f>
        <v>2.6529796375E10</v>
      </c>
      <c r="Y153" s="27"/>
      <c r="Z153" s="25" t="n">
        <f>148517</f>
        <v>148517.0</v>
      </c>
      <c r="AA153" s="25" t="n">
        <f>29815</f>
        <v>29815.0</v>
      </c>
      <c r="AB153" s="2" t="s">
        <v>388</v>
      </c>
      <c r="AC153" s="26" t="n">
        <f>59613</f>
        <v>59613.0</v>
      </c>
      <c r="AD153" s="3" t="s">
        <v>82</v>
      </c>
      <c r="AE153" s="27" t="n">
        <f>26456</f>
        <v>26456.0</v>
      </c>
    </row>
    <row r="154">
      <c r="A154" s="20" t="s">
        <v>511</v>
      </c>
      <c r="B154" s="21" t="s">
        <v>512</v>
      </c>
      <c r="C154" s="22"/>
      <c r="D154" s="23"/>
      <c r="E154" s="24" t="s">
        <v>160</v>
      </c>
      <c r="F154" s="28" t="n">
        <f>58</f>
        <v>58.0</v>
      </c>
      <c r="G154" s="25" t="n">
        <f>1729419</f>
        <v>1729419.0</v>
      </c>
      <c r="H154" s="25"/>
      <c r="I154" s="25" t="n">
        <f>60510</f>
        <v>60510.0</v>
      </c>
      <c r="J154" s="25" t="n">
        <f>29818</f>
        <v>29818.0</v>
      </c>
      <c r="K154" s="25" t="n">
        <f>1043</f>
        <v>1043.0</v>
      </c>
      <c r="L154" s="2" t="s">
        <v>134</v>
      </c>
      <c r="M154" s="26" t="n">
        <f>56135</f>
        <v>56135.0</v>
      </c>
      <c r="N154" s="3" t="s">
        <v>476</v>
      </c>
      <c r="O154" s="27" t="n">
        <f>16966</f>
        <v>16966.0</v>
      </c>
      <c r="P154" s="29" t="s">
        <v>604</v>
      </c>
      <c r="Q154" s="25"/>
      <c r="R154" s="29" t="s">
        <v>605</v>
      </c>
      <c r="S154" s="25" t="n">
        <f>77896565571</f>
        <v>7.7896565571E10</v>
      </c>
      <c r="T154" s="25" t="n">
        <f>2782408657</f>
        <v>2.782408657E9</v>
      </c>
      <c r="U154" s="3" t="s">
        <v>242</v>
      </c>
      <c r="V154" s="27" t="n">
        <f>154451989840</f>
        <v>1.5445198984E11</v>
      </c>
      <c r="W154" s="3" t="s">
        <v>476</v>
      </c>
      <c r="X154" s="27" t="n">
        <f>43172211200</f>
        <v>4.31722112E10</v>
      </c>
      <c r="Y154" s="27"/>
      <c r="Z154" s="25" t="n">
        <f>90858</f>
        <v>90858.0</v>
      </c>
      <c r="AA154" s="25" t="n">
        <f>53470</f>
        <v>53470.0</v>
      </c>
      <c r="AB154" s="2" t="s">
        <v>70</v>
      </c>
      <c r="AC154" s="26" t="n">
        <f>64387</f>
        <v>64387.0</v>
      </c>
      <c r="AD154" s="3" t="s">
        <v>156</v>
      </c>
      <c r="AE154" s="27" t="n">
        <f>30419</f>
        <v>30419.0</v>
      </c>
    </row>
    <row r="155">
      <c r="A155" s="20" t="s">
        <v>606</v>
      </c>
      <c r="B155" s="21" t="s">
        <v>607</v>
      </c>
      <c r="C155" s="22"/>
      <c r="D155" s="23"/>
      <c r="E155" s="24" t="s">
        <v>160</v>
      </c>
      <c r="F155" s="28" t="n">
        <f>9</f>
        <v>9.0</v>
      </c>
      <c r="G155" s="25" t="n">
        <f>25</f>
        <v>25.0</v>
      </c>
      <c r="H155" s="25"/>
      <c r="I155" s="25" t="n">
        <f>22</f>
        <v>22.0</v>
      </c>
      <c r="J155" s="25" t="n">
        <f>3</f>
        <v>3.0</v>
      </c>
      <c r="K155" s="25" t="n">
        <f>2</f>
        <v>2.0</v>
      </c>
      <c r="L155" s="2" t="s">
        <v>177</v>
      </c>
      <c r="M155" s="26" t="n">
        <f>22</f>
        <v>22.0</v>
      </c>
      <c r="N155" s="3" t="s">
        <v>378</v>
      </c>
      <c r="O155" s="27" t="str">
        <f>"－"</f>
        <v>－</v>
      </c>
      <c r="P155" s="29" t="s">
        <v>608</v>
      </c>
      <c r="Q155" s="25"/>
      <c r="R155" s="29" t="s">
        <v>609</v>
      </c>
      <c r="S155" s="25" t="n">
        <f>3334664</f>
        <v>3334664.0</v>
      </c>
      <c r="T155" s="25" t="n">
        <f>2941498</f>
        <v>2941498.0</v>
      </c>
      <c r="U155" s="3" t="s">
        <v>177</v>
      </c>
      <c r="V155" s="27" t="n">
        <f>26473480</f>
        <v>2.647348E7</v>
      </c>
      <c r="W155" s="3" t="s">
        <v>378</v>
      </c>
      <c r="X155" s="27" t="str">
        <f>"－"</f>
        <v>－</v>
      </c>
      <c r="Y155" s="27"/>
      <c r="Z155" s="25" t="n">
        <f>6</f>
        <v>6.0</v>
      </c>
      <c r="AA155" s="25" t="n">
        <f>23</f>
        <v>23.0</v>
      </c>
      <c r="AB155" s="2" t="s">
        <v>177</v>
      </c>
      <c r="AC155" s="26" t="n">
        <f>23</f>
        <v>23.0</v>
      </c>
      <c r="AD155" s="3" t="s">
        <v>378</v>
      </c>
      <c r="AE155" s="27" t="n">
        <f>1</f>
        <v>1.0</v>
      </c>
    </row>
    <row r="156">
      <c r="A156" s="20" t="s">
        <v>610</v>
      </c>
      <c r="B156" s="21" t="s">
        <v>611</v>
      </c>
      <c r="C156" s="22"/>
      <c r="D156" s="23"/>
      <c r="E156" s="24" t="s">
        <v>48</v>
      </c>
      <c r="F156" s="28" t="n">
        <f>25</f>
        <v>25.0</v>
      </c>
      <c r="G156" s="25" t="n">
        <f>1606338</f>
        <v>1606338.0</v>
      </c>
      <c r="H156" s="25"/>
      <c r="I156" s="25" t="n">
        <f>413909</f>
        <v>413909.0</v>
      </c>
      <c r="J156" s="25" t="n">
        <f>64254</f>
        <v>64254.0</v>
      </c>
      <c r="K156" s="25" t="n">
        <f>16556</f>
        <v>16556.0</v>
      </c>
      <c r="L156" s="2" t="s">
        <v>81</v>
      </c>
      <c r="M156" s="26" t="n">
        <f>250534</f>
        <v>250534.0</v>
      </c>
      <c r="N156" s="3" t="s">
        <v>114</v>
      </c>
      <c r="O156" s="27" t="n">
        <f>6724</f>
        <v>6724.0</v>
      </c>
      <c r="P156" s="29" t="s">
        <v>612</v>
      </c>
      <c r="Q156" s="25"/>
      <c r="R156" s="29" t="s">
        <v>613</v>
      </c>
      <c r="S156" s="25" t="n">
        <f>82715440800</f>
        <v>8.27154408E10</v>
      </c>
      <c r="T156" s="25" t="n">
        <f>21508567940</f>
        <v>2.150856794E10</v>
      </c>
      <c r="U156" s="3" t="s">
        <v>81</v>
      </c>
      <c r="V156" s="27" t="n">
        <f>327454561000</f>
        <v>3.27454561E11</v>
      </c>
      <c r="W156" s="3" t="s">
        <v>114</v>
      </c>
      <c r="X156" s="27" t="n">
        <f>8688686500</f>
        <v>8.6886865E9</v>
      </c>
      <c r="Y156" s="27"/>
      <c r="Z156" s="25" t="n">
        <f>257275</f>
        <v>257275.0</v>
      </c>
      <c r="AA156" s="25" t="n">
        <f>277059</f>
        <v>277059.0</v>
      </c>
      <c r="AB156" s="2" t="s">
        <v>53</v>
      </c>
      <c r="AC156" s="26" t="n">
        <f>402441</f>
        <v>402441.0</v>
      </c>
      <c r="AD156" s="3" t="s">
        <v>614</v>
      </c>
      <c r="AE156" s="27" t="n">
        <f>58661</f>
        <v>58661.0</v>
      </c>
    </row>
    <row r="157">
      <c r="A157" s="20" t="s">
        <v>610</v>
      </c>
      <c r="B157" s="21" t="s">
        <v>611</v>
      </c>
      <c r="C157" s="22"/>
      <c r="D157" s="23"/>
      <c r="E157" s="24" t="s">
        <v>55</v>
      </c>
      <c r="F157" s="28" t="n">
        <f>121</f>
        <v>121.0</v>
      </c>
      <c r="G157" s="25" t="n">
        <f>5083176</f>
        <v>5083176.0</v>
      </c>
      <c r="H157" s="25"/>
      <c r="I157" s="25" t="n">
        <f>1115178</f>
        <v>1115178.0</v>
      </c>
      <c r="J157" s="25" t="n">
        <f>42010</f>
        <v>42010.0</v>
      </c>
      <c r="K157" s="25" t="n">
        <f>9216</f>
        <v>9216.0</v>
      </c>
      <c r="L157" s="2" t="s">
        <v>56</v>
      </c>
      <c r="M157" s="26" t="n">
        <f>320880</f>
        <v>320880.0</v>
      </c>
      <c r="N157" s="3" t="s">
        <v>513</v>
      </c>
      <c r="O157" s="27" t="n">
        <f>13228</f>
        <v>13228.0</v>
      </c>
      <c r="P157" s="29" t="s">
        <v>615</v>
      </c>
      <c r="Q157" s="25"/>
      <c r="R157" s="29" t="s">
        <v>616</v>
      </c>
      <c r="S157" s="25" t="n">
        <f>59231059215</f>
        <v>5.9231059215E10</v>
      </c>
      <c r="T157" s="25" t="n">
        <f>13155903407</f>
        <v>1.3155903407E10</v>
      </c>
      <c r="U157" s="3" t="s">
        <v>56</v>
      </c>
      <c r="V157" s="27" t="n">
        <f>446159225200</f>
        <v>4.461592252E11</v>
      </c>
      <c r="W157" s="3" t="s">
        <v>57</v>
      </c>
      <c r="X157" s="27" t="n">
        <f>18076154300</f>
        <v>1.80761543E10</v>
      </c>
      <c r="Y157" s="27"/>
      <c r="Z157" s="25" t="n">
        <f>696687</f>
        <v>696687.0</v>
      </c>
      <c r="AA157" s="25" t="n">
        <f>247074</f>
        <v>247074.0</v>
      </c>
      <c r="AB157" s="2" t="s">
        <v>60</v>
      </c>
      <c r="AC157" s="26" t="n">
        <f>478225</f>
        <v>478225.0</v>
      </c>
      <c r="AD157" s="3" t="s">
        <v>61</v>
      </c>
      <c r="AE157" s="27" t="n">
        <f>236334</f>
        <v>236334.0</v>
      </c>
    </row>
    <row r="158">
      <c r="A158" s="20" t="s">
        <v>610</v>
      </c>
      <c r="B158" s="21" t="s">
        <v>611</v>
      </c>
      <c r="C158" s="22"/>
      <c r="D158" s="23"/>
      <c r="E158" s="24" t="s">
        <v>62</v>
      </c>
      <c r="F158" s="28" t="n">
        <f>123</f>
        <v>123.0</v>
      </c>
      <c r="G158" s="25" t="n">
        <f>5391156</f>
        <v>5391156.0</v>
      </c>
      <c r="H158" s="25"/>
      <c r="I158" s="25" t="n">
        <f>1104576</f>
        <v>1104576.0</v>
      </c>
      <c r="J158" s="25" t="n">
        <f>43831</f>
        <v>43831.0</v>
      </c>
      <c r="K158" s="25" t="n">
        <f>8980</f>
        <v>8980.0</v>
      </c>
      <c r="L158" s="2" t="s">
        <v>388</v>
      </c>
      <c r="M158" s="26" t="n">
        <f>276686</f>
        <v>276686.0</v>
      </c>
      <c r="N158" s="3" t="s">
        <v>114</v>
      </c>
      <c r="O158" s="27" t="n">
        <f>7474</f>
        <v>7474.0</v>
      </c>
      <c r="P158" s="29" t="s">
        <v>617</v>
      </c>
      <c r="Q158" s="25"/>
      <c r="R158" s="29" t="s">
        <v>618</v>
      </c>
      <c r="S158" s="25" t="n">
        <f>60658197680</f>
        <v>6.065819768E10</v>
      </c>
      <c r="T158" s="25" t="n">
        <f>12442356765</f>
        <v>1.2442356765E10</v>
      </c>
      <c r="U158" s="3" t="s">
        <v>388</v>
      </c>
      <c r="V158" s="27" t="n">
        <f>355413377700</f>
        <v>3.554133777E11</v>
      </c>
      <c r="W158" s="3" t="s">
        <v>114</v>
      </c>
      <c r="X158" s="27" t="n">
        <f>10235678900</f>
        <v>1.02356789E10</v>
      </c>
      <c r="Y158" s="27"/>
      <c r="Z158" s="25" t="n">
        <f>357825</f>
        <v>357825.0</v>
      </c>
      <c r="AA158" s="25" t="n">
        <f>220725</f>
        <v>220725.0</v>
      </c>
      <c r="AB158" s="2" t="s">
        <v>95</v>
      </c>
      <c r="AC158" s="26" t="n">
        <f>372225</f>
        <v>372225.0</v>
      </c>
      <c r="AD158" s="3" t="s">
        <v>54</v>
      </c>
      <c r="AE158" s="27" t="n">
        <f>193816</f>
        <v>193816.0</v>
      </c>
    </row>
    <row r="159">
      <c r="A159" s="20" t="s">
        <v>610</v>
      </c>
      <c r="B159" s="21" t="s">
        <v>611</v>
      </c>
      <c r="C159" s="22"/>
      <c r="D159" s="23"/>
      <c r="E159" s="24" t="s">
        <v>69</v>
      </c>
      <c r="F159" s="28" t="n">
        <f>122</f>
        <v>122.0</v>
      </c>
      <c r="G159" s="25" t="n">
        <f>4036253</f>
        <v>4036253.0</v>
      </c>
      <c r="H159" s="25"/>
      <c r="I159" s="25" t="n">
        <f>949551</f>
        <v>949551.0</v>
      </c>
      <c r="J159" s="25" t="n">
        <f>33084</f>
        <v>33084.0</v>
      </c>
      <c r="K159" s="25" t="n">
        <f>7783</f>
        <v>7783.0</v>
      </c>
      <c r="L159" s="2" t="s">
        <v>427</v>
      </c>
      <c r="M159" s="26" t="n">
        <f>245268</f>
        <v>245268.0</v>
      </c>
      <c r="N159" s="3" t="s">
        <v>184</v>
      </c>
      <c r="O159" s="27" t="n">
        <f>8102</f>
        <v>8102.0</v>
      </c>
      <c r="P159" s="29" t="s">
        <v>619</v>
      </c>
      <c r="Q159" s="25"/>
      <c r="R159" s="29" t="s">
        <v>620</v>
      </c>
      <c r="S159" s="25" t="n">
        <f>40004859940</f>
        <v>4.000485994E10</v>
      </c>
      <c r="T159" s="25" t="n">
        <f>9424556032</f>
        <v>9.424556032E9</v>
      </c>
      <c r="U159" s="3" t="s">
        <v>427</v>
      </c>
      <c r="V159" s="27" t="n">
        <f>296546348000</f>
        <v>2.96546348E11</v>
      </c>
      <c r="W159" s="3" t="s">
        <v>184</v>
      </c>
      <c r="X159" s="27" t="n">
        <f>9810286800</f>
        <v>9.8102868E9</v>
      </c>
      <c r="Y159" s="27"/>
      <c r="Z159" s="25" t="n">
        <f>246846</f>
        <v>246846.0</v>
      </c>
      <c r="AA159" s="25" t="n">
        <f>183067</f>
        <v>183067.0</v>
      </c>
      <c r="AB159" s="2" t="s">
        <v>70</v>
      </c>
      <c r="AC159" s="26" t="n">
        <f>329858</f>
        <v>329858.0</v>
      </c>
      <c r="AD159" s="3" t="s">
        <v>75</v>
      </c>
      <c r="AE159" s="27" t="n">
        <f>164875</f>
        <v>164875.0</v>
      </c>
    </row>
    <row r="160">
      <c r="A160" s="20" t="s">
        <v>610</v>
      </c>
      <c r="B160" s="21" t="s">
        <v>611</v>
      </c>
      <c r="C160" s="22"/>
      <c r="D160" s="23"/>
      <c r="E160" s="24" t="s">
        <v>76</v>
      </c>
      <c r="F160" s="28" t="n">
        <f>123</f>
        <v>123.0</v>
      </c>
      <c r="G160" s="25" t="n">
        <f>3334322</f>
        <v>3334322.0</v>
      </c>
      <c r="H160" s="25"/>
      <c r="I160" s="25" t="n">
        <f>926790</f>
        <v>926790.0</v>
      </c>
      <c r="J160" s="25" t="n">
        <f>27108</f>
        <v>27108.0</v>
      </c>
      <c r="K160" s="25" t="n">
        <f>7535</f>
        <v>7535.0</v>
      </c>
      <c r="L160" s="2" t="s">
        <v>77</v>
      </c>
      <c r="M160" s="26" t="n">
        <f>162880</f>
        <v>162880.0</v>
      </c>
      <c r="N160" s="3" t="s">
        <v>224</v>
      </c>
      <c r="O160" s="27" t="n">
        <f>8647</f>
        <v>8647.0</v>
      </c>
      <c r="P160" s="29" t="s">
        <v>621</v>
      </c>
      <c r="Q160" s="25"/>
      <c r="R160" s="29" t="s">
        <v>622</v>
      </c>
      <c r="S160" s="25" t="n">
        <f>33554132756</f>
        <v>3.3554132756E10</v>
      </c>
      <c r="T160" s="25" t="n">
        <f>9410906072</f>
        <v>9.410906072E9</v>
      </c>
      <c r="U160" s="3" t="s">
        <v>77</v>
      </c>
      <c r="V160" s="27" t="n">
        <f>215821541543</f>
        <v>2.15821541543E11</v>
      </c>
      <c r="W160" s="3" t="s">
        <v>224</v>
      </c>
      <c r="X160" s="27" t="n">
        <f>10276072000</f>
        <v>1.0276072E10</v>
      </c>
      <c r="Y160" s="27"/>
      <c r="Z160" s="25" t="n">
        <f>242370</f>
        <v>242370.0</v>
      </c>
      <c r="AA160" s="25" t="n">
        <f>150272</f>
        <v>150272.0</v>
      </c>
      <c r="AB160" s="2" t="s">
        <v>81</v>
      </c>
      <c r="AC160" s="26" t="n">
        <f>216554</f>
        <v>216554.0</v>
      </c>
      <c r="AD160" s="3" t="s">
        <v>473</v>
      </c>
      <c r="AE160" s="27" t="n">
        <f>134641</f>
        <v>134641.0</v>
      </c>
    </row>
    <row r="161">
      <c r="A161" s="20" t="s">
        <v>610</v>
      </c>
      <c r="B161" s="21" t="s">
        <v>611</v>
      </c>
      <c r="C161" s="22"/>
      <c r="D161" s="23"/>
      <c r="E161" s="24" t="s">
        <v>83</v>
      </c>
      <c r="F161" s="28" t="n">
        <f>123</f>
        <v>123.0</v>
      </c>
      <c r="G161" s="25" t="n">
        <f>3417477</f>
        <v>3417477.0</v>
      </c>
      <c r="H161" s="25"/>
      <c r="I161" s="25" t="n">
        <f>723915</f>
        <v>723915.0</v>
      </c>
      <c r="J161" s="25" t="n">
        <f>27784</f>
        <v>27784.0</v>
      </c>
      <c r="K161" s="25" t="n">
        <f>5885</f>
        <v>5885.0</v>
      </c>
      <c r="L161" s="2" t="s">
        <v>152</v>
      </c>
      <c r="M161" s="26" t="n">
        <f>209008</f>
        <v>209008.0</v>
      </c>
      <c r="N161" s="3" t="s">
        <v>249</v>
      </c>
      <c r="O161" s="27" t="n">
        <f>7066</f>
        <v>7066.0</v>
      </c>
      <c r="P161" s="29" t="s">
        <v>623</v>
      </c>
      <c r="Q161" s="25"/>
      <c r="R161" s="29" t="s">
        <v>624</v>
      </c>
      <c r="S161" s="25" t="n">
        <f>38559912351</f>
        <v>3.8559912351E10</v>
      </c>
      <c r="T161" s="25" t="n">
        <f>8183316734</f>
        <v>8.183316734E9</v>
      </c>
      <c r="U161" s="3" t="s">
        <v>152</v>
      </c>
      <c r="V161" s="27" t="n">
        <f>298110371947</f>
        <v>2.98110371947E11</v>
      </c>
      <c r="W161" s="3" t="s">
        <v>249</v>
      </c>
      <c r="X161" s="27" t="n">
        <f>9894501936</f>
        <v>9.894501936E9</v>
      </c>
      <c r="Y161" s="27"/>
      <c r="Z161" s="25" t="n">
        <f>234119</f>
        <v>234119.0</v>
      </c>
      <c r="AA161" s="25" t="n">
        <f>178329</f>
        <v>178329.0</v>
      </c>
      <c r="AB161" s="2" t="s">
        <v>88</v>
      </c>
      <c r="AC161" s="26" t="n">
        <f>247389</f>
        <v>247389.0</v>
      </c>
      <c r="AD161" s="3" t="s">
        <v>625</v>
      </c>
      <c r="AE161" s="27" t="n">
        <f>140958</f>
        <v>140958.0</v>
      </c>
    </row>
    <row r="162">
      <c r="A162" s="20" t="s">
        <v>610</v>
      </c>
      <c r="B162" s="21" t="s">
        <v>611</v>
      </c>
      <c r="C162" s="22"/>
      <c r="D162" s="23"/>
      <c r="E162" s="24" t="s">
        <v>89</v>
      </c>
      <c r="F162" s="28" t="n">
        <f>124</f>
        <v>124.0</v>
      </c>
      <c r="G162" s="25" t="n">
        <f>4251992</f>
        <v>4251992.0</v>
      </c>
      <c r="H162" s="25"/>
      <c r="I162" s="25" t="n">
        <f>766755</f>
        <v>766755.0</v>
      </c>
      <c r="J162" s="25" t="n">
        <f>34290</f>
        <v>34290.0</v>
      </c>
      <c r="K162" s="25" t="n">
        <f>6184</f>
        <v>6184.0</v>
      </c>
      <c r="L162" s="2" t="s">
        <v>241</v>
      </c>
      <c r="M162" s="26" t="n">
        <f>215653</f>
        <v>215653.0</v>
      </c>
      <c r="N162" s="3" t="s">
        <v>50</v>
      </c>
      <c r="O162" s="27" t="n">
        <f>10989</f>
        <v>10989.0</v>
      </c>
      <c r="P162" s="29" t="s">
        <v>626</v>
      </c>
      <c r="Q162" s="25"/>
      <c r="R162" s="29" t="s">
        <v>627</v>
      </c>
      <c r="S162" s="25" t="n">
        <f>51811519408</f>
        <v>5.1811519408E10</v>
      </c>
      <c r="T162" s="25" t="n">
        <f>9236556258</f>
        <v>9.236556258E9</v>
      </c>
      <c r="U162" s="3" t="s">
        <v>241</v>
      </c>
      <c r="V162" s="27" t="n">
        <f>303940321238</f>
        <v>3.03940321238E11</v>
      </c>
      <c r="W162" s="3" t="s">
        <v>224</v>
      </c>
      <c r="X162" s="27" t="n">
        <f>15968233560</f>
        <v>1.596823356E10</v>
      </c>
      <c r="Y162" s="27"/>
      <c r="Z162" s="25" t="n">
        <f>290012</f>
        <v>290012.0</v>
      </c>
      <c r="AA162" s="25" t="n">
        <f>140190</f>
        <v>140190.0</v>
      </c>
      <c r="AB162" s="2" t="s">
        <v>388</v>
      </c>
      <c r="AC162" s="26" t="n">
        <f>217381</f>
        <v>217381.0</v>
      </c>
      <c r="AD162" s="3" t="s">
        <v>95</v>
      </c>
      <c r="AE162" s="27" t="n">
        <f>110215</f>
        <v>110215.0</v>
      </c>
    </row>
    <row r="163">
      <c r="A163" s="20" t="s">
        <v>610</v>
      </c>
      <c r="B163" s="21" t="s">
        <v>611</v>
      </c>
      <c r="C163" s="22"/>
      <c r="D163" s="23"/>
      <c r="E163" s="24" t="s">
        <v>96</v>
      </c>
      <c r="F163" s="28" t="n">
        <f>121</f>
        <v>121.0</v>
      </c>
      <c r="G163" s="25" t="n">
        <f>4203246</f>
        <v>4203246.0</v>
      </c>
      <c r="H163" s="25"/>
      <c r="I163" s="25" t="n">
        <f>575032</f>
        <v>575032.0</v>
      </c>
      <c r="J163" s="25" t="n">
        <f>34738</f>
        <v>34738.0</v>
      </c>
      <c r="K163" s="25" t="n">
        <f>4752</f>
        <v>4752.0</v>
      </c>
      <c r="L163" s="2" t="s">
        <v>476</v>
      </c>
      <c r="M163" s="26" t="n">
        <f>136826</f>
        <v>136826.0</v>
      </c>
      <c r="N163" s="3" t="s">
        <v>194</v>
      </c>
      <c r="O163" s="27" t="n">
        <f>11303</f>
        <v>11303.0</v>
      </c>
      <c r="P163" s="29" t="s">
        <v>628</v>
      </c>
      <c r="Q163" s="25"/>
      <c r="R163" s="29" t="s">
        <v>629</v>
      </c>
      <c r="S163" s="25" t="n">
        <f>54185560387</f>
        <v>5.4185560387E10</v>
      </c>
      <c r="T163" s="25" t="n">
        <f>7344947381</f>
        <v>7.344947381E9</v>
      </c>
      <c r="U163" s="3" t="s">
        <v>476</v>
      </c>
      <c r="V163" s="27" t="n">
        <f>210511414876</f>
        <v>2.10511414876E11</v>
      </c>
      <c r="W163" s="3" t="s">
        <v>194</v>
      </c>
      <c r="X163" s="27" t="n">
        <f>18075476000</f>
        <v>1.8075476E10</v>
      </c>
      <c r="Y163" s="27"/>
      <c r="Z163" s="25" t="n">
        <f>274105</f>
        <v>274105.0</v>
      </c>
      <c r="AA163" s="25" t="n">
        <f>124433</f>
        <v>124433.0</v>
      </c>
      <c r="AB163" s="2" t="s">
        <v>74</v>
      </c>
      <c r="AC163" s="26" t="n">
        <f>203323</f>
        <v>203323.0</v>
      </c>
      <c r="AD163" s="3" t="s">
        <v>378</v>
      </c>
      <c r="AE163" s="27" t="n">
        <f>102882</f>
        <v>102882.0</v>
      </c>
    </row>
    <row r="164">
      <c r="A164" s="20" t="s">
        <v>610</v>
      </c>
      <c r="B164" s="21" t="s">
        <v>611</v>
      </c>
      <c r="C164" s="22"/>
      <c r="D164" s="23"/>
      <c r="E164" s="24" t="s">
        <v>102</v>
      </c>
      <c r="F164" s="28" t="n">
        <f>124</f>
        <v>124.0</v>
      </c>
      <c r="G164" s="25" t="n">
        <f>3949592</f>
        <v>3949592.0</v>
      </c>
      <c r="H164" s="25"/>
      <c r="I164" s="25" t="n">
        <f>765724</f>
        <v>765724.0</v>
      </c>
      <c r="J164" s="25" t="n">
        <f>31852</f>
        <v>31852.0</v>
      </c>
      <c r="K164" s="25" t="n">
        <f>6175</f>
        <v>6175.0</v>
      </c>
      <c r="L164" s="2" t="s">
        <v>53</v>
      </c>
      <c r="M164" s="26" t="n">
        <f>169645</f>
        <v>169645.0</v>
      </c>
      <c r="N164" s="3" t="s">
        <v>103</v>
      </c>
      <c r="O164" s="27" t="n">
        <f>11192</f>
        <v>11192.0</v>
      </c>
      <c r="P164" s="29" t="s">
        <v>630</v>
      </c>
      <c r="Q164" s="25"/>
      <c r="R164" s="29" t="s">
        <v>631</v>
      </c>
      <c r="S164" s="25" t="n">
        <f>47236281494</f>
        <v>4.7236281494E10</v>
      </c>
      <c r="T164" s="25" t="n">
        <f>9088035106</f>
        <v>9.088035106E9</v>
      </c>
      <c r="U164" s="3" t="s">
        <v>95</v>
      </c>
      <c r="V164" s="27" t="n">
        <f>250570073485</f>
        <v>2.50570073485E11</v>
      </c>
      <c r="W164" s="3" t="s">
        <v>632</v>
      </c>
      <c r="X164" s="27" t="n">
        <f>16916364500</f>
        <v>1.69163645E10</v>
      </c>
      <c r="Y164" s="27"/>
      <c r="Z164" s="25" t="n">
        <f>273379</f>
        <v>273379.0</v>
      </c>
      <c r="AA164" s="25" t="n">
        <f>161167</f>
        <v>161167.0</v>
      </c>
      <c r="AB164" s="2" t="s">
        <v>473</v>
      </c>
      <c r="AC164" s="26" t="n">
        <f>248312</f>
        <v>248312.0</v>
      </c>
      <c r="AD164" s="3" t="s">
        <v>633</v>
      </c>
      <c r="AE164" s="27" t="n">
        <f>125363</f>
        <v>125363.0</v>
      </c>
    </row>
    <row r="165">
      <c r="A165" s="20" t="s">
        <v>610</v>
      </c>
      <c r="B165" s="21" t="s">
        <v>611</v>
      </c>
      <c r="C165" s="22"/>
      <c r="D165" s="23"/>
      <c r="E165" s="24" t="s">
        <v>107</v>
      </c>
      <c r="F165" s="28" t="n">
        <f>117</f>
        <v>117.0</v>
      </c>
      <c r="G165" s="25" t="n">
        <f>3510719</f>
        <v>3510719.0</v>
      </c>
      <c r="H165" s="25"/>
      <c r="I165" s="25" t="n">
        <f>824557</f>
        <v>824557.0</v>
      </c>
      <c r="J165" s="25" t="n">
        <f>30006</f>
        <v>30006.0</v>
      </c>
      <c r="K165" s="25" t="n">
        <f>7047</f>
        <v>7047.0</v>
      </c>
      <c r="L165" s="2" t="s">
        <v>97</v>
      </c>
      <c r="M165" s="26" t="n">
        <f>187154</f>
        <v>187154.0</v>
      </c>
      <c r="N165" s="3" t="s">
        <v>634</v>
      </c>
      <c r="O165" s="27" t="n">
        <f>11024</f>
        <v>11024.0</v>
      </c>
      <c r="P165" s="29" t="s">
        <v>635</v>
      </c>
      <c r="Q165" s="25"/>
      <c r="R165" s="29" t="s">
        <v>636</v>
      </c>
      <c r="S165" s="25" t="n">
        <f>41874125856</f>
        <v>4.1874125856E10</v>
      </c>
      <c r="T165" s="25" t="n">
        <f>9846456118</f>
        <v>9.846456118E9</v>
      </c>
      <c r="U165" s="3" t="s">
        <v>97</v>
      </c>
      <c r="V165" s="27" t="n">
        <f>267403295524</f>
        <v>2.67403295524E11</v>
      </c>
      <c r="W165" s="3" t="s">
        <v>634</v>
      </c>
      <c r="X165" s="27" t="n">
        <f>15224091500</f>
        <v>1.52240915E10</v>
      </c>
      <c r="Y165" s="27"/>
      <c r="Z165" s="25" t="n">
        <f>242429</f>
        <v>242429.0</v>
      </c>
      <c r="AA165" s="25" t="n">
        <f>163009</f>
        <v>163009.0</v>
      </c>
      <c r="AB165" s="2" t="s">
        <v>101</v>
      </c>
      <c r="AC165" s="26" t="n">
        <f>273874</f>
        <v>273874.0</v>
      </c>
      <c r="AD165" s="3" t="s">
        <v>134</v>
      </c>
      <c r="AE165" s="27" t="n">
        <f>126624</f>
        <v>126624.0</v>
      </c>
    </row>
    <row r="166">
      <c r="A166" s="20" t="s">
        <v>610</v>
      </c>
      <c r="B166" s="21" t="s">
        <v>611</v>
      </c>
      <c r="C166" s="22"/>
      <c r="D166" s="23"/>
      <c r="E166" s="24" t="s">
        <v>113</v>
      </c>
      <c r="F166" s="28" t="n">
        <f>124</f>
        <v>124.0</v>
      </c>
      <c r="G166" s="25" t="n">
        <f>3187714</f>
        <v>3187714.0</v>
      </c>
      <c r="H166" s="25"/>
      <c r="I166" s="25" t="n">
        <f>799480</f>
        <v>799480.0</v>
      </c>
      <c r="J166" s="25" t="n">
        <f>25707</f>
        <v>25707.0</v>
      </c>
      <c r="K166" s="25" t="n">
        <f>6447</f>
        <v>6447.0</v>
      </c>
      <c r="L166" s="2" t="s">
        <v>95</v>
      </c>
      <c r="M166" s="26" t="n">
        <f>150817</f>
        <v>150817.0</v>
      </c>
      <c r="N166" s="3" t="s">
        <v>114</v>
      </c>
      <c r="O166" s="27" t="n">
        <f>5375</f>
        <v>5375.0</v>
      </c>
      <c r="P166" s="29" t="s">
        <v>637</v>
      </c>
      <c r="Q166" s="25"/>
      <c r="R166" s="29" t="s">
        <v>638</v>
      </c>
      <c r="S166" s="25" t="n">
        <f>36935831514</f>
        <v>3.6935831514E10</v>
      </c>
      <c r="T166" s="25" t="n">
        <f>9352648753</f>
        <v>9.352648753E9</v>
      </c>
      <c r="U166" s="3" t="s">
        <v>49</v>
      </c>
      <c r="V166" s="27" t="n">
        <f>226569632886</f>
        <v>2.26569632886E11</v>
      </c>
      <c r="W166" s="3" t="s">
        <v>114</v>
      </c>
      <c r="X166" s="27" t="n">
        <f>8272131000</f>
        <v>8.272131E9</v>
      </c>
      <c r="Y166" s="27"/>
      <c r="Z166" s="25" t="n">
        <f>258198</f>
        <v>258198.0</v>
      </c>
      <c r="AA166" s="25" t="n">
        <f>113644</f>
        <v>113644.0</v>
      </c>
      <c r="AB166" s="2" t="s">
        <v>295</v>
      </c>
      <c r="AC166" s="26" t="n">
        <f>190063</f>
        <v>190063.0</v>
      </c>
      <c r="AD166" s="3" t="s">
        <v>175</v>
      </c>
      <c r="AE166" s="27" t="n">
        <f>100918</f>
        <v>100918.0</v>
      </c>
    </row>
    <row r="167">
      <c r="A167" s="20" t="s">
        <v>610</v>
      </c>
      <c r="B167" s="21" t="s">
        <v>611</v>
      </c>
      <c r="C167" s="22"/>
      <c r="D167" s="23"/>
      <c r="E167" s="24" t="s">
        <v>119</v>
      </c>
      <c r="F167" s="28" t="n">
        <f>119</f>
        <v>119.0</v>
      </c>
      <c r="G167" s="25" t="n">
        <f>3338653</f>
        <v>3338653.0</v>
      </c>
      <c r="H167" s="25"/>
      <c r="I167" s="25" t="n">
        <f>688096</f>
        <v>688096.0</v>
      </c>
      <c r="J167" s="25" t="n">
        <f>28056</f>
        <v>28056.0</v>
      </c>
      <c r="K167" s="25" t="n">
        <f>5782</f>
        <v>5782.0</v>
      </c>
      <c r="L167" s="2" t="s">
        <v>56</v>
      </c>
      <c r="M167" s="26" t="n">
        <f>155492</f>
        <v>155492.0</v>
      </c>
      <c r="N167" s="3" t="s">
        <v>212</v>
      </c>
      <c r="O167" s="27" t="n">
        <f>8675</f>
        <v>8675.0</v>
      </c>
      <c r="P167" s="29" t="s">
        <v>639</v>
      </c>
      <c r="Q167" s="25"/>
      <c r="R167" s="29" t="s">
        <v>640</v>
      </c>
      <c r="S167" s="25" t="n">
        <f>38012827601</f>
        <v>3.8012827601E10</v>
      </c>
      <c r="T167" s="25" t="n">
        <f>7853086685</f>
        <v>7.853086685E9</v>
      </c>
      <c r="U167" s="3" t="s">
        <v>88</v>
      </c>
      <c r="V167" s="27" t="n">
        <f>222331074392</f>
        <v>2.22331074392E11</v>
      </c>
      <c r="W167" s="3" t="s">
        <v>212</v>
      </c>
      <c r="X167" s="27" t="n">
        <f>10972384000</f>
        <v>1.0972384E10</v>
      </c>
      <c r="Y167" s="27"/>
      <c r="Z167" s="25" t="n">
        <f>198999</f>
        <v>198999.0</v>
      </c>
      <c r="AA167" s="25" t="n">
        <f>98936</f>
        <v>98936.0</v>
      </c>
      <c r="AB167" s="2" t="s">
        <v>88</v>
      </c>
      <c r="AC167" s="26" t="n">
        <f>203880</f>
        <v>203880.0</v>
      </c>
      <c r="AD167" s="3" t="s">
        <v>112</v>
      </c>
      <c r="AE167" s="27" t="n">
        <f>89556</f>
        <v>89556.0</v>
      </c>
    </row>
    <row r="168">
      <c r="A168" s="20" t="s">
        <v>610</v>
      </c>
      <c r="B168" s="21" t="s">
        <v>611</v>
      </c>
      <c r="C168" s="22"/>
      <c r="D168" s="23"/>
      <c r="E168" s="24" t="s">
        <v>124</v>
      </c>
      <c r="F168" s="28" t="n">
        <f>124</f>
        <v>124.0</v>
      </c>
      <c r="G168" s="25" t="n">
        <f>2449509</f>
        <v>2449509.0</v>
      </c>
      <c r="H168" s="25"/>
      <c r="I168" s="25" t="n">
        <f>420884</f>
        <v>420884.0</v>
      </c>
      <c r="J168" s="25" t="n">
        <f>19754</f>
        <v>19754.0</v>
      </c>
      <c r="K168" s="25" t="n">
        <f>3394</f>
        <v>3394.0</v>
      </c>
      <c r="L168" s="2" t="s">
        <v>128</v>
      </c>
      <c r="M168" s="26" t="n">
        <f>104080</f>
        <v>104080.0</v>
      </c>
      <c r="N168" s="3" t="s">
        <v>114</v>
      </c>
      <c r="O168" s="27" t="n">
        <f>4657</f>
        <v>4657.0</v>
      </c>
      <c r="P168" s="29" t="s">
        <v>641</v>
      </c>
      <c r="Q168" s="25"/>
      <c r="R168" s="29" t="s">
        <v>642</v>
      </c>
      <c r="S168" s="25" t="n">
        <f>29493831684</f>
        <v>2.9493831684E10</v>
      </c>
      <c r="T168" s="25" t="n">
        <f>5087676063</f>
        <v>5.087676063E9</v>
      </c>
      <c r="U168" s="3" t="s">
        <v>128</v>
      </c>
      <c r="V168" s="27" t="n">
        <f>166147292200</f>
        <v>1.661472922E11</v>
      </c>
      <c r="W168" s="3" t="s">
        <v>114</v>
      </c>
      <c r="X168" s="27" t="n">
        <f>7475115000</f>
        <v>7.475115E9</v>
      </c>
      <c r="Y168" s="27"/>
      <c r="Z168" s="25" t="n">
        <f>160933</f>
        <v>160933.0</v>
      </c>
      <c r="AA168" s="25" t="n">
        <f>73006</f>
        <v>73006.0</v>
      </c>
      <c r="AB168" s="2" t="s">
        <v>81</v>
      </c>
      <c r="AC168" s="26" t="n">
        <f>119179</f>
        <v>119179.0</v>
      </c>
      <c r="AD168" s="3" t="s">
        <v>280</v>
      </c>
      <c r="AE168" s="27" t="n">
        <f>66152</f>
        <v>66152.0</v>
      </c>
    </row>
    <row r="169">
      <c r="A169" s="20" t="s">
        <v>610</v>
      </c>
      <c r="B169" s="21" t="s">
        <v>611</v>
      </c>
      <c r="C169" s="22"/>
      <c r="D169" s="23"/>
      <c r="E169" s="24" t="s">
        <v>130</v>
      </c>
      <c r="F169" s="28" t="n">
        <f>121</f>
        <v>121.0</v>
      </c>
      <c r="G169" s="25" t="n">
        <f>2486376</f>
        <v>2486376.0</v>
      </c>
      <c r="H169" s="25"/>
      <c r="I169" s="25" t="n">
        <f>320499</f>
        <v>320499.0</v>
      </c>
      <c r="J169" s="25" t="n">
        <f>20549</f>
        <v>20549.0</v>
      </c>
      <c r="K169" s="25" t="n">
        <f>2649</f>
        <v>2649.0</v>
      </c>
      <c r="L169" s="2" t="s">
        <v>74</v>
      </c>
      <c r="M169" s="26" t="n">
        <f>128273</f>
        <v>128273.0</v>
      </c>
      <c r="N169" s="3" t="s">
        <v>251</v>
      </c>
      <c r="O169" s="27" t="n">
        <f>7903</f>
        <v>7903.0</v>
      </c>
      <c r="P169" s="29" t="s">
        <v>643</v>
      </c>
      <c r="Q169" s="25"/>
      <c r="R169" s="29" t="s">
        <v>644</v>
      </c>
      <c r="S169" s="25" t="n">
        <f>35581297754</f>
        <v>3.5581297754E10</v>
      </c>
      <c r="T169" s="25" t="n">
        <f>4611937417</f>
        <v>4.611937417E9</v>
      </c>
      <c r="U169" s="3" t="s">
        <v>74</v>
      </c>
      <c r="V169" s="27" t="n">
        <f>220138487672</f>
        <v>2.20138487672E11</v>
      </c>
      <c r="W169" s="3" t="s">
        <v>251</v>
      </c>
      <c r="X169" s="27" t="n">
        <f>13882223056</f>
        <v>1.3882223056E10</v>
      </c>
      <c r="Y169" s="27"/>
      <c r="Z169" s="25" t="n">
        <f>138173</f>
        <v>138173.0</v>
      </c>
      <c r="AA169" s="25" t="n">
        <f>80061</f>
        <v>80061.0</v>
      </c>
      <c r="AB169" s="2" t="s">
        <v>290</v>
      </c>
      <c r="AC169" s="26" t="n">
        <f>138049</f>
        <v>138049.0</v>
      </c>
      <c r="AD169" s="3" t="s">
        <v>156</v>
      </c>
      <c r="AE169" s="27" t="n">
        <f>71938</f>
        <v>71938.0</v>
      </c>
    </row>
    <row r="170">
      <c r="A170" s="20" t="s">
        <v>610</v>
      </c>
      <c r="B170" s="21" t="s">
        <v>611</v>
      </c>
      <c r="C170" s="22"/>
      <c r="D170" s="23"/>
      <c r="E170" s="24" t="s">
        <v>136</v>
      </c>
      <c r="F170" s="28" t="n">
        <f>124</f>
        <v>124.0</v>
      </c>
      <c r="G170" s="25" t="n">
        <f>1680723</f>
        <v>1680723.0</v>
      </c>
      <c r="H170" s="25"/>
      <c r="I170" s="25" t="n">
        <f>255455</f>
        <v>255455.0</v>
      </c>
      <c r="J170" s="25" t="n">
        <f>13554</f>
        <v>13554.0</v>
      </c>
      <c r="K170" s="25" t="n">
        <f>2060</f>
        <v>2060.0</v>
      </c>
      <c r="L170" s="2" t="s">
        <v>137</v>
      </c>
      <c r="M170" s="26" t="n">
        <f>137493</f>
        <v>137493.0</v>
      </c>
      <c r="N170" s="3" t="s">
        <v>138</v>
      </c>
      <c r="O170" s="27" t="n">
        <f>3914</f>
        <v>3914.0</v>
      </c>
      <c r="P170" s="29" t="s">
        <v>645</v>
      </c>
      <c r="Q170" s="25"/>
      <c r="R170" s="29" t="s">
        <v>646</v>
      </c>
      <c r="S170" s="25" t="n">
        <f>24271943061</f>
        <v>2.4271943061E10</v>
      </c>
      <c r="T170" s="25" t="n">
        <f>3718223341</f>
        <v>3.718223341E9</v>
      </c>
      <c r="U170" s="3" t="s">
        <v>137</v>
      </c>
      <c r="V170" s="27" t="n">
        <f>244390317272</f>
        <v>2.44390317272E11</v>
      </c>
      <c r="W170" s="3" t="s">
        <v>138</v>
      </c>
      <c r="X170" s="27" t="n">
        <f>6995585600</f>
        <v>6.9955856E9</v>
      </c>
      <c r="Y170" s="27"/>
      <c r="Z170" s="25" t="n">
        <f>85877</f>
        <v>85877.0</v>
      </c>
      <c r="AA170" s="25" t="n">
        <f>47485</f>
        <v>47485.0</v>
      </c>
      <c r="AB170" s="2" t="s">
        <v>137</v>
      </c>
      <c r="AC170" s="26" t="n">
        <f>90991</f>
        <v>90991.0</v>
      </c>
      <c r="AD170" s="3" t="s">
        <v>82</v>
      </c>
      <c r="AE170" s="27" t="n">
        <f>40920</f>
        <v>40920.0</v>
      </c>
    </row>
    <row r="171">
      <c r="A171" s="20" t="s">
        <v>610</v>
      </c>
      <c r="B171" s="21" t="s">
        <v>611</v>
      </c>
      <c r="C171" s="22"/>
      <c r="D171" s="23"/>
      <c r="E171" s="24" t="s">
        <v>142</v>
      </c>
      <c r="F171" s="28" t="n">
        <f>120</f>
        <v>120.0</v>
      </c>
      <c r="G171" s="25" t="n">
        <f>1787844</f>
        <v>1787844.0</v>
      </c>
      <c r="H171" s="25"/>
      <c r="I171" s="25" t="n">
        <f>231390</f>
        <v>231390.0</v>
      </c>
      <c r="J171" s="25" t="n">
        <f>14899</f>
        <v>14899.0</v>
      </c>
      <c r="K171" s="25" t="n">
        <f>1928</f>
        <v>1928.0</v>
      </c>
      <c r="L171" s="2" t="s">
        <v>146</v>
      </c>
      <c r="M171" s="26" t="n">
        <f>75349</f>
        <v>75349.0</v>
      </c>
      <c r="N171" s="3" t="s">
        <v>143</v>
      </c>
      <c r="O171" s="27" t="n">
        <f>3966</f>
        <v>3966.0</v>
      </c>
      <c r="P171" s="29" t="s">
        <v>647</v>
      </c>
      <c r="Q171" s="25"/>
      <c r="R171" s="29" t="s">
        <v>648</v>
      </c>
      <c r="S171" s="25" t="n">
        <f>25464846303</f>
        <v>2.5464846303E10</v>
      </c>
      <c r="T171" s="25" t="n">
        <f>3282174845</f>
        <v>3.282174845E9</v>
      </c>
      <c r="U171" s="3" t="s">
        <v>146</v>
      </c>
      <c r="V171" s="27" t="n">
        <f>132332859150</f>
        <v>1.3233285915E11</v>
      </c>
      <c r="W171" s="3" t="s">
        <v>143</v>
      </c>
      <c r="X171" s="27" t="n">
        <f>6702074000</f>
        <v>6.702074E9</v>
      </c>
      <c r="Y171" s="27"/>
      <c r="Z171" s="25" t="n">
        <f>77298</f>
        <v>77298.0</v>
      </c>
      <c r="AA171" s="25" t="n">
        <f>56138</f>
        <v>56138.0</v>
      </c>
      <c r="AB171" s="2" t="s">
        <v>427</v>
      </c>
      <c r="AC171" s="26" t="n">
        <f>80027</f>
        <v>80027.0</v>
      </c>
      <c r="AD171" s="3" t="s">
        <v>458</v>
      </c>
      <c r="AE171" s="27" t="n">
        <f>42252</f>
        <v>42252.0</v>
      </c>
    </row>
    <row r="172">
      <c r="A172" s="20" t="s">
        <v>610</v>
      </c>
      <c r="B172" s="21" t="s">
        <v>611</v>
      </c>
      <c r="C172" s="22"/>
      <c r="D172" s="23"/>
      <c r="E172" s="24" t="s">
        <v>148</v>
      </c>
      <c r="F172" s="28" t="n">
        <f>124</f>
        <v>124.0</v>
      </c>
      <c r="G172" s="25" t="n">
        <f>1343054</f>
        <v>1343054.0</v>
      </c>
      <c r="H172" s="25"/>
      <c r="I172" s="25" t="n">
        <f>244327</f>
        <v>244327.0</v>
      </c>
      <c r="J172" s="25" t="n">
        <f>10831</f>
        <v>10831.0</v>
      </c>
      <c r="K172" s="25" t="n">
        <f>1970</f>
        <v>1970.0</v>
      </c>
      <c r="L172" s="2" t="s">
        <v>137</v>
      </c>
      <c r="M172" s="26" t="n">
        <f>80101</f>
        <v>80101.0</v>
      </c>
      <c r="N172" s="3" t="s">
        <v>50</v>
      </c>
      <c r="O172" s="27" t="n">
        <f>3547</f>
        <v>3547.0</v>
      </c>
      <c r="P172" s="29" t="s">
        <v>649</v>
      </c>
      <c r="Q172" s="25"/>
      <c r="R172" s="29" t="s">
        <v>650</v>
      </c>
      <c r="S172" s="25" t="n">
        <f>18765086907</f>
        <v>1.8765086907E10</v>
      </c>
      <c r="T172" s="25" t="n">
        <f>3419919484</f>
        <v>3.419919484E9</v>
      </c>
      <c r="U172" s="3" t="s">
        <v>137</v>
      </c>
      <c r="V172" s="27" t="n">
        <f>140944483100</f>
        <v>1.409444831E11</v>
      </c>
      <c r="W172" s="3" t="s">
        <v>50</v>
      </c>
      <c r="X172" s="27" t="n">
        <f>6069986500</f>
        <v>6.0699865E9</v>
      </c>
      <c r="Y172" s="27"/>
      <c r="Z172" s="25" t="n">
        <f>95962</f>
        <v>95962.0</v>
      </c>
      <c r="AA172" s="25" t="n">
        <f>61057</f>
        <v>61057.0</v>
      </c>
      <c r="AB172" s="2" t="s">
        <v>137</v>
      </c>
      <c r="AC172" s="26" t="n">
        <f>82179</f>
        <v>82179.0</v>
      </c>
      <c r="AD172" s="3" t="s">
        <v>224</v>
      </c>
      <c r="AE172" s="27" t="n">
        <f>49906</f>
        <v>49906.0</v>
      </c>
    </row>
    <row r="173">
      <c r="A173" s="20" t="s">
        <v>610</v>
      </c>
      <c r="B173" s="21" t="s">
        <v>611</v>
      </c>
      <c r="C173" s="22"/>
      <c r="D173" s="23"/>
      <c r="E173" s="24" t="s">
        <v>151</v>
      </c>
      <c r="F173" s="28" t="n">
        <f>122</f>
        <v>122.0</v>
      </c>
      <c r="G173" s="25" t="n">
        <f>1563093</f>
        <v>1563093.0</v>
      </c>
      <c r="H173" s="25"/>
      <c r="I173" s="25" t="n">
        <f>284157</f>
        <v>284157.0</v>
      </c>
      <c r="J173" s="25" t="n">
        <f>12812</f>
        <v>12812.0</v>
      </c>
      <c r="K173" s="25" t="n">
        <f>2329</f>
        <v>2329.0</v>
      </c>
      <c r="L173" s="2" t="s">
        <v>146</v>
      </c>
      <c r="M173" s="26" t="n">
        <f>116362</f>
        <v>116362.0</v>
      </c>
      <c r="N173" s="3" t="s">
        <v>185</v>
      </c>
      <c r="O173" s="27" t="n">
        <f>4098</f>
        <v>4098.0</v>
      </c>
      <c r="P173" s="29" t="s">
        <v>651</v>
      </c>
      <c r="Q173" s="25"/>
      <c r="R173" s="29" t="s">
        <v>652</v>
      </c>
      <c r="S173" s="25" t="n">
        <f>24219826887</f>
        <v>2.4219826887E10</v>
      </c>
      <c r="T173" s="25" t="n">
        <f>4460471093</f>
        <v>4.460471093E9</v>
      </c>
      <c r="U173" s="3" t="s">
        <v>146</v>
      </c>
      <c r="V173" s="27" t="n">
        <f>236591637036</f>
        <v>2.36591637036E11</v>
      </c>
      <c r="W173" s="3" t="s">
        <v>185</v>
      </c>
      <c r="X173" s="27" t="n">
        <f>7384094000</f>
        <v>7.384094E9</v>
      </c>
      <c r="Y173" s="27"/>
      <c r="Z173" s="25" t="n">
        <f>88033</f>
        <v>88033.0</v>
      </c>
      <c r="AA173" s="25" t="n">
        <f>68223</f>
        <v>68223.0</v>
      </c>
      <c r="AB173" s="2" t="s">
        <v>427</v>
      </c>
      <c r="AC173" s="26" t="n">
        <f>97097</f>
        <v>97097.0</v>
      </c>
      <c r="AD173" s="3" t="s">
        <v>60</v>
      </c>
      <c r="AE173" s="27" t="n">
        <f>50462</f>
        <v>50462.0</v>
      </c>
    </row>
    <row r="174">
      <c r="A174" s="20" t="s">
        <v>610</v>
      </c>
      <c r="B174" s="21" t="s">
        <v>611</v>
      </c>
      <c r="C174" s="22"/>
      <c r="D174" s="23"/>
      <c r="E174" s="24" t="s">
        <v>157</v>
      </c>
      <c r="F174" s="28" t="n">
        <f>124</f>
        <v>124.0</v>
      </c>
      <c r="G174" s="25" t="n">
        <f>1580957</f>
        <v>1580957.0</v>
      </c>
      <c r="H174" s="25"/>
      <c r="I174" s="25" t="n">
        <f>285001</f>
        <v>285001.0</v>
      </c>
      <c r="J174" s="25" t="n">
        <f>12750</f>
        <v>12750.0</v>
      </c>
      <c r="K174" s="25" t="n">
        <f>2298</f>
        <v>2298.0</v>
      </c>
      <c r="L174" s="2" t="s">
        <v>90</v>
      </c>
      <c r="M174" s="26" t="n">
        <f>86856</f>
        <v>86856.0</v>
      </c>
      <c r="N174" s="3" t="s">
        <v>50</v>
      </c>
      <c r="O174" s="27" t="n">
        <f>2216</f>
        <v>2216.0</v>
      </c>
      <c r="P174" s="29" t="s">
        <v>653</v>
      </c>
      <c r="Q174" s="25"/>
      <c r="R174" s="29" t="s">
        <v>654</v>
      </c>
      <c r="S174" s="25" t="n">
        <f>26703248158</f>
        <v>2.6703248158E10</v>
      </c>
      <c r="T174" s="25" t="n">
        <f>4874574617</f>
        <v>4.874574617E9</v>
      </c>
      <c r="U174" s="3" t="s">
        <v>90</v>
      </c>
      <c r="V174" s="27" t="n">
        <f>186739201848</f>
        <v>1.86739201848E11</v>
      </c>
      <c r="W174" s="3" t="s">
        <v>50</v>
      </c>
      <c r="X174" s="27" t="n">
        <f>4673138000</f>
        <v>4.673138E9</v>
      </c>
      <c r="Y174" s="27"/>
      <c r="Z174" s="25" t="n">
        <f>85069</f>
        <v>85069.0</v>
      </c>
      <c r="AA174" s="25" t="n">
        <f>48963</f>
        <v>48963.0</v>
      </c>
      <c r="AB174" s="2" t="s">
        <v>90</v>
      </c>
      <c r="AC174" s="26" t="n">
        <f>97113</f>
        <v>97113.0</v>
      </c>
      <c r="AD174" s="3" t="s">
        <v>288</v>
      </c>
      <c r="AE174" s="27" t="n">
        <f>45211</f>
        <v>45211.0</v>
      </c>
    </row>
    <row r="175">
      <c r="A175" s="20" t="s">
        <v>610</v>
      </c>
      <c r="B175" s="21" t="s">
        <v>611</v>
      </c>
      <c r="C175" s="22"/>
      <c r="D175" s="23"/>
      <c r="E175" s="24" t="s">
        <v>160</v>
      </c>
      <c r="F175" s="28" t="n">
        <f>58</f>
        <v>58.0</v>
      </c>
      <c r="G175" s="25" t="n">
        <f>674819</f>
        <v>674819.0</v>
      </c>
      <c r="H175" s="25"/>
      <c r="I175" s="25" t="n">
        <f>125737</f>
        <v>125737.0</v>
      </c>
      <c r="J175" s="25" t="n">
        <f>11635</f>
        <v>11635.0</v>
      </c>
      <c r="K175" s="25" t="n">
        <f>2168</f>
        <v>2168.0</v>
      </c>
      <c r="L175" s="2" t="s">
        <v>111</v>
      </c>
      <c r="M175" s="26" t="n">
        <f>90832</f>
        <v>90832.0</v>
      </c>
      <c r="N175" s="3" t="s">
        <v>419</v>
      </c>
      <c r="O175" s="27" t="n">
        <f>4733</f>
        <v>4733.0</v>
      </c>
      <c r="P175" s="29" t="s">
        <v>655</v>
      </c>
      <c r="Q175" s="25"/>
      <c r="R175" s="29" t="s">
        <v>656</v>
      </c>
      <c r="S175" s="25" t="n">
        <f>27680812181</f>
        <v>2.7680812181E10</v>
      </c>
      <c r="T175" s="25" t="n">
        <f>5285601755</f>
        <v>5.285601755E9</v>
      </c>
      <c r="U175" s="3" t="s">
        <v>111</v>
      </c>
      <c r="V175" s="27" t="n">
        <f>221986144920</f>
        <v>2.2198614492E11</v>
      </c>
      <c r="W175" s="3" t="s">
        <v>419</v>
      </c>
      <c r="X175" s="27" t="n">
        <f>10746876500</f>
        <v>1.07468765E10</v>
      </c>
      <c r="Y175" s="27"/>
      <c r="Z175" s="25" t="n">
        <f>40661</f>
        <v>40661.0</v>
      </c>
      <c r="AA175" s="25" t="n">
        <f>58251</f>
        <v>58251.0</v>
      </c>
      <c r="AB175" s="2" t="s">
        <v>111</v>
      </c>
      <c r="AC175" s="26" t="n">
        <f>89468</f>
        <v>89468.0</v>
      </c>
      <c r="AD175" s="3" t="s">
        <v>282</v>
      </c>
      <c r="AE175" s="27" t="n">
        <f>46834</f>
        <v>46834.0</v>
      </c>
    </row>
    <row r="176">
      <c r="A176" s="20" t="s">
        <v>657</v>
      </c>
      <c r="B176" s="21" t="s">
        <v>658</v>
      </c>
      <c r="C176" s="22"/>
      <c r="D176" s="23"/>
      <c r="E176" s="24" t="s">
        <v>410</v>
      </c>
      <c r="F176" s="28" t="n">
        <f>11</f>
        <v>11.0</v>
      </c>
      <c r="G176" s="25" t="n">
        <f>6547</f>
        <v>6547.0</v>
      </c>
      <c r="H176" s="25"/>
      <c r="I176" s="25" t="n">
        <f>183</f>
        <v>183.0</v>
      </c>
      <c r="J176" s="25" t="n">
        <f>595</f>
        <v>595.0</v>
      </c>
      <c r="K176" s="25" t="n">
        <f>17</f>
        <v>17.0</v>
      </c>
      <c r="L176" s="2" t="s">
        <v>61</v>
      </c>
      <c r="M176" s="26" t="n">
        <f>2207</f>
        <v>2207.0</v>
      </c>
      <c r="N176" s="3" t="s">
        <v>251</v>
      </c>
      <c r="O176" s="27" t="n">
        <f>8</f>
        <v>8.0</v>
      </c>
      <c r="P176" s="29" t="s">
        <v>659</v>
      </c>
      <c r="Q176" s="25"/>
      <c r="R176" s="29" t="s">
        <v>660</v>
      </c>
      <c r="S176" s="25" t="n">
        <f>525130773</f>
        <v>5.25130773E8</v>
      </c>
      <c r="T176" s="25" t="n">
        <f>14675273</f>
        <v>1.4675273E7</v>
      </c>
      <c r="U176" s="3" t="s">
        <v>61</v>
      </c>
      <c r="V176" s="27" t="n">
        <f>1976559000</f>
        <v>1.976559E9</v>
      </c>
      <c r="W176" s="3" t="s">
        <v>251</v>
      </c>
      <c r="X176" s="27" t="n">
        <f>6758000</f>
        <v>6758000.0</v>
      </c>
      <c r="Y176" s="27"/>
      <c r="Z176" s="25" t="str">
        <f>"－"</f>
        <v>－</v>
      </c>
      <c r="AA176" s="25" t="n">
        <f>1948</f>
        <v>1948.0</v>
      </c>
      <c r="AB176" s="2" t="s">
        <v>85</v>
      </c>
      <c r="AC176" s="26" t="n">
        <f>1990</f>
        <v>1990.0</v>
      </c>
      <c r="AD176" s="3" t="s">
        <v>61</v>
      </c>
      <c r="AE176" s="27" t="n">
        <f>461</f>
        <v>461.0</v>
      </c>
    </row>
    <row r="177">
      <c r="A177" s="20" t="s">
        <v>657</v>
      </c>
      <c r="B177" s="21" t="s">
        <v>658</v>
      </c>
      <c r="C177" s="22"/>
      <c r="D177" s="23"/>
      <c r="E177" s="24" t="s">
        <v>415</v>
      </c>
      <c r="F177" s="28" t="n">
        <f>124</f>
        <v>124.0</v>
      </c>
      <c r="G177" s="25" t="n">
        <f>195642</f>
        <v>195642.0</v>
      </c>
      <c r="H177" s="25"/>
      <c r="I177" s="25" t="n">
        <f>160339</f>
        <v>160339.0</v>
      </c>
      <c r="J177" s="25" t="n">
        <f>1578</f>
        <v>1578.0</v>
      </c>
      <c r="K177" s="25" t="n">
        <f>1293</f>
        <v>1293.0</v>
      </c>
      <c r="L177" s="2" t="s">
        <v>49</v>
      </c>
      <c r="M177" s="26" t="n">
        <f>77709</f>
        <v>77709.0</v>
      </c>
      <c r="N177" s="3" t="s">
        <v>332</v>
      </c>
      <c r="O177" s="27" t="str">
        <f>"－"</f>
        <v>－</v>
      </c>
      <c r="P177" s="29" t="s">
        <v>661</v>
      </c>
      <c r="Q177" s="25"/>
      <c r="R177" s="29" t="s">
        <v>662</v>
      </c>
      <c r="S177" s="25" t="n">
        <f>958061202</f>
        <v>9.58061202E8</v>
      </c>
      <c r="T177" s="25" t="n">
        <f>786415668</f>
        <v>7.86415668E8</v>
      </c>
      <c r="U177" s="3" t="s">
        <v>49</v>
      </c>
      <c r="V177" s="27" t="n">
        <f>36523852000</f>
        <v>3.6523852E10</v>
      </c>
      <c r="W177" s="3" t="s">
        <v>332</v>
      </c>
      <c r="X177" s="27" t="str">
        <f>"－"</f>
        <v>－</v>
      </c>
      <c r="Y177" s="27"/>
      <c r="Z177" s="25" t="str">
        <f>"－"</f>
        <v>－</v>
      </c>
      <c r="AA177" s="25" t="n">
        <f>39159</f>
        <v>39159.0</v>
      </c>
      <c r="AB177" s="2" t="s">
        <v>53</v>
      </c>
      <c r="AC177" s="26" t="n">
        <f>79177</f>
        <v>79177.0</v>
      </c>
      <c r="AD177" s="3" t="s">
        <v>663</v>
      </c>
      <c r="AE177" s="27" t="n">
        <f>1027</f>
        <v>1027.0</v>
      </c>
    </row>
    <row r="178">
      <c r="A178" s="20" t="s">
        <v>657</v>
      </c>
      <c r="B178" s="21" t="s">
        <v>658</v>
      </c>
      <c r="C178" s="22"/>
      <c r="D178" s="23"/>
      <c r="E178" s="24" t="s">
        <v>418</v>
      </c>
      <c r="F178" s="28" t="n">
        <f>120</f>
        <v>120.0</v>
      </c>
      <c r="G178" s="25" t="n">
        <f>185689</f>
        <v>185689.0</v>
      </c>
      <c r="H178" s="25"/>
      <c r="I178" s="25" t="n">
        <f>177127</f>
        <v>177127.0</v>
      </c>
      <c r="J178" s="25" t="n">
        <f>1547</f>
        <v>1547.0</v>
      </c>
      <c r="K178" s="25" t="n">
        <f>1476</f>
        <v>1476.0</v>
      </c>
      <c r="L178" s="2" t="s">
        <v>56</v>
      </c>
      <c r="M178" s="26" t="n">
        <f>120950</f>
        <v>120950.0</v>
      </c>
      <c r="N178" s="3" t="s">
        <v>147</v>
      </c>
      <c r="O178" s="27" t="str">
        <f>"－"</f>
        <v>－</v>
      </c>
      <c r="P178" s="29" t="s">
        <v>664</v>
      </c>
      <c r="Q178" s="25"/>
      <c r="R178" s="29" t="s">
        <v>665</v>
      </c>
      <c r="S178" s="25" t="n">
        <f>671735808</f>
        <v>6.71735808E8</v>
      </c>
      <c r="T178" s="25" t="n">
        <f>637969571</f>
        <v>6.37969571E8</v>
      </c>
      <c r="U178" s="3" t="s">
        <v>56</v>
      </c>
      <c r="V178" s="27" t="n">
        <f>48332216000</f>
        <v>4.8332216E10</v>
      </c>
      <c r="W178" s="3" t="s">
        <v>147</v>
      </c>
      <c r="X178" s="27" t="str">
        <f>"－"</f>
        <v>－</v>
      </c>
      <c r="Y178" s="27"/>
      <c r="Z178" s="25" t="str">
        <f>"－"</f>
        <v>－</v>
      </c>
      <c r="AA178" s="25" t="n">
        <f>20511</f>
        <v>20511.0</v>
      </c>
      <c r="AB178" s="2" t="s">
        <v>134</v>
      </c>
      <c r="AC178" s="26" t="n">
        <f>86647</f>
        <v>86647.0</v>
      </c>
      <c r="AD178" s="3" t="s">
        <v>172</v>
      </c>
      <c r="AE178" s="27" t="n">
        <f>20301</f>
        <v>20301.0</v>
      </c>
    </row>
    <row r="179">
      <c r="A179" s="20" t="s">
        <v>657</v>
      </c>
      <c r="B179" s="21" t="s">
        <v>658</v>
      </c>
      <c r="C179" s="22"/>
      <c r="D179" s="23"/>
      <c r="E179" s="24" t="s">
        <v>423</v>
      </c>
      <c r="F179" s="28" t="n">
        <f>123</f>
        <v>123.0</v>
      </c>
      <c r="G179" s="25" t="n">
        <f>177193</f>
        <v>177193.0</v>
      </c>
      <c r="H179" s="25"/>
      <c r="I179" s="25" t="n">
        <f>171386</f>
        <v>171386.0</v>
      </c>
      <c r="J179" s="25" t="n">
        <f>1441</f>
        <v>1441.0</v>
      </c>
      <c r="K179" s="25" t="n">
        <f>1393</f>
        <v>1393.0</v>
      </c>
      <c r="L179" s="2" t="s">
        <v>137</v>
      </c>
      <c r="M179" s="26" t="n">
        <f>60000</f>
        <v>60000.0</v>
      </c>
      <c r="N179" s="3" t="s">
        <v>215</v>
      </c>
      <c r="O179" s="27" t="str">
        <f>"－"</f>
        <v>－</v>
      </c>
      <c r="P179" s="29" t="s">
        <v>666</v>
      </c>
      <c r="Q179" s="25"/>
      <c r="R179" s="29" t="s">
        <v>667</v>
      </c>
      <c r="S179" s="25" t="n">
        <f>749603041</f>
        <v>7.49603041E8</v>
      </c>
      <c r="T179" s="25" t="n">
        <f>725216257</f>
        <v>7.25216257E8</v>
      </c>
      <c r="U179" s="3" t="s">
        <v>137</v>
      </c>
      <c r="V179" s="27" t="n">
        <f>30828000000</f>
        <v>3.0828E10</v>
      </c>
      <c r="W179" s="3" t="s">
        <v>215</v>
      </c>
      <c r="X179" s="27" t="str">
        <f>"－"</f>
        <v>－</v>
      </c>
      <c r="Y179" s="27"/>
      <c r="Z179" s="25" t="str">
        <f>"－"</f>
        <v>－</v>
      </c>
      <c r="AA179" s="25" t="n">
        <f>30106</f>
        <v>30106.0</v>
      </c>
      <c r="AB179" s="2" t="s">
        <v>388</v>
      </c>
      <c r="AC179" s="26" t="n">
        <f>64703</f>
        <v>64703.0</v>
      </c>
      <c r="AD179" s="3" t="s">
        <v>68</v>
      </c>
      <c r="AE179" s="27" t="n">
        <f>20551</f>
        <v>20551.0</v>
      </c>
    </row>
    <row r="180">
      <c r="A180" s="20" t="s">
        <v>657</v>
      </c>
      <c r="B180" s="21" t="s">
        <v>658</v>
      </c>
      <c r="C180" s="22"/>
      <c r="D180" s="23"/>
      <c r="E180" s="24" t="s">
        <v>426</v>
      </c>
      <c r="F180" s="28" t="n">
        <f>121</f>
        <v>121.0</v>
      </c>
      <c r="G180" s="25" t="n">
        <f>122105</f>
        <v>122105.0</v>
      </c>
      <c r="H180" s="25"/>
      <c r="I180" s="25" t="n">
        <f>120630</f>
        <v>120630.0</v>
      </c>
      <c r="J180" s="25" t="n">
        <f>1009</f>
        <v>1009.0</v>
      </c>
      <c r="K180" s="25" t="n">
        <f>997</f>
        <v>997.0</v>
      </c>
      <c r="L180" s="2" t="s">
        <v>70</v>
      </c>
      <c r="M180" s="26" t="n">
        <f>60020</f>
        <v>60020.0</v>
      </c>
      <c r="N180" s="3" t="s">
        <v>156</v>
      </c>
      <c r="O180" s="27" t="str">
        <f>"－"</f>
        <v>－</v>
      </c>
      <c r="P180" s="29" t="s">
        <v>668</v>
      </c>
      <c r="Q180" s="25"/>
      <c r="R180" s="29" t="s">
        <v>669</v>
      </c>
      <c r="S180" s="25" t="n">
        <f>544244526</f>
        <v>5.44244526E8</v>
      </c>
      <c r="T180" s="25" t="n">
        <f>537719534</f>
        <v>5.37719534E8</v>
      </c>
      <c r="U180" s="3" t="s">
        <v>670</v>
      </c>
      <c r="V180" s="27" t="n">
        <f>33465000000</f>
        <v>3.3465E10</v>
      </c>
      <c r="W180" s="3" t="s">
        <v>156</v>
      </c>
      <c r="X180" s="27" t="str">
        <f>"－"</f>
        <v>－</v>
      </c>
      <c r="Y180" s="27"/>
      <c r="Z180" s="25" t="str">
        <f>"－"</f>
        <v>－</v>
      </c>
      <c r="AA180" s="25" t="n">
        <f>30000</f>
        <v>30000.0</v>
      </c>
      <c r="AB180" s="2" t="s">
        <v>180</v>
      </c>
      <c r="AC180" s="26" t="n">
        <f>31061</f>
        <v>31061.0</v>
      </c>
      <c r="AD180" s="3" t="s">
        <v>282</v>
      </c>
      <c r="AE180" s="27" t="n">
        <f>30000</f>
        <v>30000.0</v>
      </c>
    </row>
    <row r="181">
      <c r="A181" s="20" t="s">
        <v>657</v>
      </c>
      <c r="B181" s="21" t="s">
        <v>658</v>
      </c>
      <c r="C181" s="22"/>
      <c r="D181" s="23"/>
      <c r="E181" s="24" t="s">
        <v>430</v>
      </c>
      <c r="F181" s="28" t="n">
        <f>124</f>
        <v>124.0</v>
      </c>
      <c r="G181" s="25" t="n">
        <f>120000</f>
        <v>120000.0</v>
      </c>
      <c r="H181" s="25"/>
      <c r="I181" s="25" t="n">
        <f>120000</f>
        <v>120000.0</v>
      </c>
      <c r="J181" s="25" t="n">
        <f>968</f>
        <v>968.0</v>
      </c>
      <c r="K181" s="25" t="n">
        <f>968</f>
        <v>968.0</v>
      </c>
      <c r="L181" s="2" t="s">
        <v>671</v>
      </c>
      <c r="M181" s="26" t="n">
        <f>60000</f>
        <v>60000.0</v>
      </c>
      <c r="N181" s="3" t="s">
        <v>68</v>
      </c>
      <c r="O181" s="27" t="str">
        <f>"－"</f>
        <v>－</v>
      </c>
      <c r="P181" s="29" t="s">
        <v>672</v>
      </c>
      <c r="Q181" s="25"/>
      <c r="R181" s="29" t="s">
        <v>672</v>
      </c>
      <c r="S181" s="25" t="n">
        <f>453120968</f>
        <v>4.53120968E8</v>
      </c>
      <c r="T181" s="25" t="n">
        <f>453120968</f>
        <v>4.53120968E8</v>
      </c>
      <c r="U181" s="3" t="s">
        <v>128</v>
      </c>
      <c r="V181" s="27" t="n">
        <f>29022000000</f>
        <v>2.9022E10</v>
      </c>
      <c r="W181" s="3" t="s">
        <v>68</v>
      </c>
      <c r="X181" s="27" t="str">
        <f>"－"</f>
        <v>－</v>
      </c>
      <c r="Y181" s="27"/>
      <c r="Z181" s="25" t="str">
        <f>"－"</f>
        <v>－</v>
      </c>
      <c r="AA181" s="25" t="n">
        <f>30000</f>
        <v>30000.0</v>
      </c>
      <c r="AB181" s="2" t="s">
        <v>68</v>
      </c>
      <c r="AC181" s="26" t="n">
        <f>30000</f>
        <v>30000.0</v>
      </c>
      <c r="AD181" s="3" t="s">
        <v>68</v>
      </c>
      <c r="AE181" s="27" t="n">
        <f>30000</f>
        <v>30000.0</v>
      </c>
    </row>
    <row r="182">
      <c r="A182" s="20" t="s">
        <v>657</v>
      </c>
      <c r="B182" s="21" t="s">
        <v>658</v>
      </c>
      <c r="C182" s="22"/>
      <c r="D182" s="23"/>
      <c r="E182" s="24" t="s">
        <v>433</v>
      </c>
      <c r="F182" s="28" t="n">
        <f>121</f>
        <v>121.0</v>
      </c>
      <c r="G182" s="25" t="n">
        <f>50009</f>
        <v>50009.0</v>
      </c>
      <c r="H182" s="25"/>
      <c r="I182" s="25" t="n">
        <f>50000</f>
        <v>50000.0</v>
      </c>
      <c r="J182" s="25" t="n">
        <f>413</f>
        <v>413.0</v>
      </c>
      <c r="K182" s="25" t="n">
        <f>413</f>
        <v>413.0</v>
      </c>
      <c r="L182" s="2" t="s">
        <v>70</v>
      </c>
      <c r="M182" s="26" t="n">
        <f>30000</f>
        <v>30000.0</v>
      </c>
      <c r="N182" s="3" t="s">
        <v>156</v>
      </c>
      <c r="O182" s="27" t="str">
        <f>"－"</f>
        <v>－</v>
      </c>
      <c r="P182" s="29" t="s">
        <v>673</v>
      </c>
      <c r="Q182" s="25"/>
      <c r="R182" s="29" t="s">
        <v>674</v>
      </c>
      <c r="S182" s="25" t="n">
        <f>199158504</f>
        <v>1.99158504E8</v>
      </c>
      <c r="T182" s="25" t="n">
        <f>199119835</f>
        <v>1.99119835E8</v>
      </c>
      <c r="U182" s="3" t="s">
        <v>70</v>
      </c>
      <c r="V182" s="27" t="n">
        <f>15520500000</f>
        <v>1.55205E10</v>
      </c>
      <c r="W182" s="3" t="s">
        <v>156</v>
      </c>
      <c r="X182" s="27" t="str">
        <f>"－"</f>
        <v>－</v>
      </c>
      <c r="Y182" s="27"/>
      <c r="Z182" s="25" t="str">
        <f>"－"</f>
        <v>－</v>
      </c>
      <c r="AA182" s="25" t="n">
        <f>10000</f>
        <v>10000.0</v>
      </c>
      <c r="AB182" s="2" t="s">
        <v>56</v>
      </c>
      <c r="AC182" s="26" t="n">
        <f>30007</f>
        <v>30007.0</v>
      </c>
      <c r="AD182" s="3" t="s">
        <v>98</v>
      </c>
      <c r="AE182" s="27" t="n">
        <f>10000</f>
        <v>10000.0</v>
      </c>
    </row>
    <row r="183">
      <c r="A183" s="20" t="s">
        <v>657</v>
      </c>
      <c r="B183" s="21" t="s">
        <v>658</v>
      </c>
      <c r="C183" s="22"/>
      <c r="D183" s="23"/>
      <c r="E183" s="24" t="s">
        <v>437</v>
      </c>
      <c r="F183" s="28" t="n">
        <f>124</f>
        <v>124.0</v>
      </c>
      <c r="G183" s="25" t="n">
        <f>41706</f>
        <v>41706.0</v>
      </c>
      <c r="H183" s="25"/>
      <c r="I183" s="25" t="n">
        <f>41700</f>
        <v>41700.0</v>
      </c>
      <c r="J183" s="25" t="n">
        <f>336</f>
        <v>336.0</v>
      </c>
      <c r="K183" s="25" t="n">
        <f>336</f>
        <v>336.0</v>
      </c>
      <c r="L183" s="2" t="s">
        <v>137</v>
      </c>
      <c r="M183" s="26" t="n">
        <f>21000</f>
        <v>21000.0</v>
      </c>
      <c r="N183" s="3" t="s">
        <v>68</v>
      </c>
      <c r="O183" s="27" t="str">
        <f>"－"</f>
        <v>－</v>
      </c>
      <c r="P183" s="29" t="s">
        <v>675</v>
      </c>
      <c r="Q183" s="25"/>
      <c r="R183" s="29" t="s">
        <v>676</v>
      </c>
      <c r="S183" s="25" t="n">
        <f>127456488</f>
        <v>1.27456488E8</v>
      </c>
      <c r="T183" s="25" t="n">
        <f>127437500</f>
        <v>1.274375E8</v>
      </c>
      <c r="U183" s="3" t="s">
        <v>137</v>
      </c>
      <c r="V183" s="27" t="n">
        <f>7971750000</f>
        <v>7.97175E9</v>
      </c>
      <c r="W183" s="3" t="s">
        <v>68</v>
      </c>
      <c r="X183" s="27" t="str">
        <f>"－"</f>
        <v>－</v>
      </c>
      <c r="Y183" s="27"/>
      <c r="Z183" s="25" t="str">
        <f>"－"</f>
        <v>－</v>
      </c>
      <c r="AA183" s="25" t="n">
        <f>10700</f>
        <v>10700.0</v>
      </c>
      <c r="AB183" s="2" t="s">
        <v>54</v>
      </c>
      <c r="AC183" s="26" t="n">
        <f>10700</f>
        <v>10700.0</v>
      </c>
      <c r="AD183" s="3" t="s">
        <v>68</v>
      </c>
      <c r="AE183" s="27" t="n">
        <f>10000</f>
        <v>10000.0</v>
      </c>
    </row>
    <row r="184">
      <c r="A184" s="20" t="s">
        <v>657</v>
      </c>
      <c r="B184" s="21" t="s">
        <v>658</v>
      </c>
      <c r="C184" s="22"/>
      <c r="D184" s="23"/>
      <c r="E184" s="24" t="s">
        <v>440</v>
      </c>
      <c r="F184" s="28" t="n">
        <f>123</f>
        <v>123.0</v>
      </c>
      <c r="G184" s="25" t="n">
        <f>4310</f>
        <v>4310.0</v>
      </c>
      <c r="H184" s="25"/>
      <c r="I184" s="25" t="n">
        <f>4310</f>
        <v>4310.0</v>
      </c>
      <c r="J184" s="25" t="n">
        <f>35</f>
        <v>35.0</v>
      </c>
      <c r="K184" s="25" t="n">
        <f>35</f>
        <v>35.0</v>
      </c>
      <c r="L184" s="2" t="s">
        <v>204</v>
      </c>
      <c r="M184" s="26" t="n">
        <f>2340</f>
        <v>2340.0</v>
      </c>
      <c r="N184" s="3" t="s">
        <v>156</v>
      </c>
      <c r="O184" s="27" t="str">
        <f>"－"</f>
        <v>－</v>
      </c>
      <c r="P184" s="29" t="s">
        <v>677</v>
      </c>
      <c r="Q184" s="25"/>
      <c r="R184" s="29" t="s">
        <v>677</v>
      </c>
      <c r="S184" s="25" t="n">
        <f>13896581</f>
        <v>1.3896581E7</v>
      </c>
      <c r="T184" s="25" t="n">
        <f>13896581</f>
        <v>1.3896581E7</v>
      </c>
      <c r="U184" s="3" t="s">
        <v>204</v>
      </c>
      <c r="V184" s="27" t="n">
        <f>847665000</f>
        <v>8.47665E8</v>
      </c>
      <c r="W184" s="3" t="s">
        <v>156</v>
      </c>
      <c r="X184" s="27" t="str">
        <f>"－"</f>
        <v>－</v>
      </c>
      <c r="Y184" s="27"/>
      <c r="Z184" s="25" t="str">
        <f>"－"</f>
        <v>－</v>
      </c>
      <c r="AA184" s="25" t="n">
        <f>1270</f>
        <v>1270.0</v>
      </c>
      <c r="AB184" s="2" t="s">
        <v>156</v>
      </c>
      <c r="AC184" s="26" t="n">
        <f>10700</f>
        <v>10700.0</v>
      </c>
      <c r="AD184" s="3" t="s">
        <v>290</v>
      </c>
      <c r="AE184" s="27" t="n">
        <f>700</f>
        <v>700.0</v>
      </c>
    </row>
    <row r="185">
      <c r="A185" s="20" t="s">
        <v>657</v>
      </c>
      <c r="B185" s="21" t="s">
        <v>658</v>
      </c>
      <c r="C185" s="22"/>
      <c r="D185" s="23"/>
      <c r="E185" s="24" t="s">
        <v>443</v>
      </c>
      <c r="F185" s="28" t="n">
        <f>125</f>
        <v>125.0</v>
      </c>
      <c r="G185" s="25" t="n">
        <f>5840</f>
        <v>5840.0</v>
      </c>
      <c r="H185" s="25"/>
      <c r="I185" s="25" t="n">
        <f>5840</f>
        <v>5840.0</v>
      </c>
      <c r="J185" s="25" t="n">
        <f>47</f>
        <v>47.0</v>
      </c>
      <c r="K185" s="25" t="n">
        <f>47</f>
        <v>47.0</v>
      </c>
      <c r="L185" s="2" t="s">
        <v>197</v>
      </c>
      <c r="M185" s="26" t="n">
        <f>1465</f>
        <v>1465.0</v>
      </c>
      <c r="N185" s="3" t="s">
        <v>215</v>
      </c>
      <c r="O185" s="27" t="str">
        <f>"－"</f>
        <v>－</v>
      </c>
      <c r="P185" s="29" t="s">
        <v>678</v>
      </c>
      <c r="Q185" s="25"/>
      <c r="R185" s="29" t="s">
        <v>678</v>
      </c>
      <c r="S185" s="25" t="n">
        <f>18403822</f>
        <v>1.8403822E7</v>
      </c>
      <c r="T185" s="25" t="n">
        <f>18403822</f>
        <v>1.8403822E7</v>
      </c>
      <c r="U185" s="3" t="s">
        <v>197</v>
      </c>
      <c r="V185" s="27" t="n">
        <f>547997900</f>
        <v>5.479979E8</v>
      </c>
      <c r="W185" s="3" t="s">
        <v>215</v>
      </c>
      <c r="X185" s="27" t="str">
        <f>"－"</f>
        <v>－</v>
      </c>
      <c r="Y185" s="27"/>
      <c r="Z185" s="25" t="str">
        <f>"－"</f>
        <v>－</v>
      </c>
      <c r="AA185" s="25" t="n">
        <f>615</f>
        <v>615.0</v>
      </c>
      <c r="AB185" s="2" t="s">
        <v>67</v>
      </c>
      <c r="AC185" s="26" t="n">
        <f>2080</f>
        <v>2080.0</v>
      </c>
      <c r="AD185" s="3" t="s">
        <v>106</v>
      </c>
      <c r="AE185" s="27" t="n">
        <f>615</f>
        <v>615.0</v>
      </c>
    </row>
    <row r="186">
      <c r="A186" s="20" t="s">
        <v>657</v>
      </c>
      <c r="B186" s="21" t="s">
        <v>658</v>
      </c>
      <c r="C186" s="22"/>
      <c r="D186" s="23"/>
      <c r="E186" s="24" t="s">
        <v>447</v>
      </c>
      <c r="F186" s="28" t="n">
        <f>120</f>
        <v>120.0</v>
      </c>
      <c r="G186" s="25" t="n">
        <f>6732</f>
        <v>6732.0</v>
      </c>
      <c r="H186" s="25"/>
      <c r="I186" s="25" t="n">
        <f>6732</f>
        <v>6732.0</v>
      </c>
      <c r="J186" s="25" t="n">
        <f>56</f>
        <v>56.0</v>
      </c>
      <c r="K186" s="25" t="n">
        <f>56</f>
        <v>56.0</v>
      </c>
      <c r="L186" s="2" t="s">
        <v>679</v>
      </c>
      <c r="M186" s="26" t="n">
        <f>4272</f>
        <v>4272.0</v>
      </c>
      <c r="N186" s="3" t="s">
        <v>156</v>
      </c>
      <c r="O186" s="27" t="str">
        <f>"－"</f>
        <v>－</v>
      </c>
      <c r="P186" s="29" t="s">
        <v>680</v>
      </c>
      <c r="Q186" s="25"/>
      <c r="R186" s="29" t="s">
        <v>680</v>
      </c>
      <c r="S186" s="25" t="n">
        <f>32940863</f>
        <v>3.2940863E7</v>
      </c>
      <c r="T186" s="25" t="n">
        <f>32940863</f>
        <v>3.2940863E7</v>
      </c>
      <c r="U186" s="3" t="s">
        <v>679</v>
      </c>
      <c r="V186" s="27" t="n">
        <f>2556792000</f>
        <v>2.556792E9</v>
      </c>
      <c r="W186" s="3" t="s">
        <v>156</v>
      </c>
      <c r="X186" s="27" t="str">
        <f>"－"</f>
        <v>－</v>
      </c>
      <c r="Y186" s="27"/>
      <c r="Z186" s="25" t="str">
        <f>"－"</f>
        <v>－</v>
      </c>
      <c r="AA186" s="25" t="n">
        <f>615</f>
        <v>615.0</v>
      </c>
      <c r="AB186" s="2" t="s">
        <v>101</v>
      </c>
      <c r="AC186" s="26" t="n">
        <f>5502</f>
        <v>5502.0</v>
      </c>
      <c r="AD186" s="3" t="s">
        <v>156</v>
      </c>
      <c r="AE186" s="27" t="n">
        <f>615</f>
        <v>615.0</v>
      </c>
    </row>
    <row r="187">
      <c r="A187" s="20" t="s">
        <v>657</v>
      </c>
      <c r="B187" s="21" t="s">
        <v>658</v>
      </c>
      <c r="C187" s="22"/>
      <c r="D187" s="23"/>
      <c r="E187" s="24" t="s">
        <v>451</v>
      </c>
      <c r="F187" s="28" t="n">
        <f>125</f>
        <v>125.0</v>
      </c>
      <c r="G187" s="25" t="n">
        <f>1651</f>
        <v>1651.0</v>
      </c>
      <c r="H187" s="25"/>
      <c r="I187" s="25" t="n">
        <f>1651</f>
        <v>1651.0</v>
      </c>
      <c r="J187" s="25" t="n">
        <f>13</f>
        <v>13.0</v>
      </c>
      <c r="K187" s="25" t="n">
        <f>13</f>
        <v>13.0</v>
      </c>
      <c r="L187" s="2" t="s">
        <v>67</v>
      </c>
      <c r="M187" s="26" t="n">
        <f>777</f>
        <v>777.0</v>
      </c>
      <c r="N187" s="3" t="s">
        <v>68</v>
      </c>
      <c r="O187" s="27" t="str">
        <f>"－"</f>
        <v>－</v>
      </c>
      <c r="P187" s="29" t="s">
        <v>681</v>
      </c>
      <c r="Q187" s="25"/>
      <c r="R187" s="29" t="s">
        <v>681</v>
      </c>
      <c r="S187" s="25" t="n">
        <f>8600819</f>
        <v>8600819.0</v>
      </c>
      <c r="T187" s="25" t="n">
        <f>8600819</f>
        <v>8600819.0</v>
      </c>
      <c r="U187" s="3" t="s">
        <v>67</v>
      </c>
      <c r="V187" s="27" t="n">
        <f>518051800</f>
        <v>5.180518E8</v>
      </c>
      <c r="W187" s="3" t="s">
        <v>68</v>
      </c>
      <c r="X187" s="27" t="str">
        <f>"－"</f>
        <v>－</v>
      </c>
      <c r="Y187" s="27"/>
      <c r="Z187" s="25" t="str">
        <f>"－"</f>
        <v>－</v>
      </c>
      <c r="AA187" s="25" t="n">
        <f>259</f>
        <v>259.0</v>
      </c>
      <c r="AB187" s="2" t="s">
        <v>295</v>
      </c>
      <c r="AC187" s="26" t="n">
        <f>874</f>
        <v>874.0</v>
      </c>
      <c r="AD187" s="3" t="s">
        <v>175</v>
      </c>
      <c r="AE187" s="27" t="n">
        <f>259</f>
        <v>259.0</v>
      </c>
    </row>
    <row r="188">
      <c r="A188" s="20" t="s">
        <v>657</v>
      </c>
      <c r="B188" s="21" t="s">
        <v>658</v>
      </c>
      <c r="C188" s="22"/>
      <c r="D188" s="23"/>
      <c r="E188" s="24" t="s">
        <v>454</v>
      </c>
      <c r="F188" s="28" t="n">
        <f>120</f>
        <v>120.0</v>
      </c>
      <c r="G188" s="25" t="n">
        <f>1638</f>
        <v>1638.0</v>
      </c>
      <c r="H188" s="25"/>
      <c r="I188" s="25" t="n">
        <f>1630</f>
        <v>1630.0</v>
      </c>
      <c r="J188" s="25" t="n">
        <f>14</f>
        <v>14.0</v>
      </c>
      <c r="K188" s="25" t="n">
        <f>14</f>
        <v>14.0</v>
      </c>
      <c r="L188" s="2" t="s">
        <v>88</v>
      </c>
      <c r="M188" s="26" t="n">
        <f>914</f>
        <v>914.0</v>
      </c>
      <c r="N188" s="3" t="s">
        <v>328</v>
      </c>
      <c r="O188" s="27" t="str">
        <f>"－"</f>
        <v>－</v>
      </c>
      <c r="P188" s="29" t="s">
        <v>682</v>
      </c>
      <c r="Q188" s="25"/>
      <c r="R188" s="29" t="s">
        <v>683</v>
      </c>
      <c r="S188" s="25" t="n">
        <f>8692253</f>
        <v>8692253.0</v>
      </c>
      <c r="T188" s="25" t="n">
        <f>8649632</f>
        <v>8649632.0</v>
      </c>
      <c r="U188" s="3" t="s">
        <v>88</v>
      </c>
      <c r="V188" s="27" t="n">
        <f>585874000</f>
        <v>5.85874E8</v>
      </c>
      <c r="W188" s="3" t="s">
        <v>328</v>
      </c>
      <c r="X188" s="27" t="str">
        <f>"－"</f>
        <v>－</v>
      </c>
      <c r="Y188" s="27"/>
      <c r="Z188" s="25" t="str">
        <f>"－"</f>
        <v>－</v>
      </c>
      <c r="AA188" s="25" t="n">
        <f>460</f>
        <v>460.0</v>
      </c>
      <c r="AB188" s="2" t="s">
        <v>88</v>
      </c>
      <c r="AC188" s="26" t="n">
        <f>518</f>
        <v>518.0</v>
      </c>
      <c r="AD188" s="3" t="s">
        <v>328</v>
      </c>
      <c r="AE188" s="27" t="n">
        <f>259</f>
        <v>259.0</v>
      </c>
    </row>
    <row r="189">
      <c r="A189" s="20" t="s">
        <v>657</v>
      </c>
      <c r="B189" s="21" t="s">
        <v>658</v>
      </c>
      <c r="C189" s="22"/>
      <c r="D189" s="23"/>
      <c r="E189" s="24" t="s">
        <v>48</v>
      </c>
      <c r="F189" s="28" t="n">
        <f>124</f>
        <v>124.0</v>
      </c>
      <c r="G189" s="25" t="n">
        <f>2258</f>
        <v>2258.0</v>
      </c>
      <c r="H189" s="25"/>
      <c r="I189" s="25" t="n">
        <f>1405</f>
        <v>1405.0</v>
      </c>
      <c r="J189" s="25" t="n">
        <f>18</f>
        <v>18.0</v>
      </c>
      <c r="K189" s="25" t="n">
        <f>11</f>
        <v>11.0</v>
      </c>
      <c r="L189" s="2" t="s">
        <v>81</v>
      </c>
      <c r="M189" s="26" t="n">
        <f>623</f>
        <v>623.0</v>
      </c>
      <c r="N189" s="3" t="s">
        <v>68</v>
      </c>
      <c r="O189" s="27" t="str">
        <f>"－"</f>
        <v>－</v>
      </c>
      <c r="P189" s="29" t="s">
        <v>684</v>
      </c>
      <c r="Q189" s="25"/>
      <c r="R189" s="29" t="s">
        <v>685</v>
      </c>
      <c r="S189" s="25" t="n">
        <f>12496044</f>
        <v>1.2496044E7</v>
      </c>
      <c r="T189" s="25" t="n">
        <f>7882515</f>
        <v>7882515.0</v>
      </c>
      <c r="U189" s="3" t="s">
        <v>81</v>
      </c>
      <c r="V189" s="27" t="n">
        <f>457158100</f>
        <v>4.571581E8</v>
      </c>
      <c r="W189" s="3" t="s">
        <v>68</v>
      </c>
      <c r="X189" s="27" t="str">
        <f>"－"</f>
        <v>－</v>
      </c>
      <c r="Y189" s="27"/>
      <c r="Z189" s="25" t="str">
        <f>"－"</f>
        <v>－</v>
      </c>
      <c r="AA189" s="25" t="n">
        <f>339</f>
        <v>339.0</v>
      </c>
      <c r="AB189" s="2" t="s">
        <v>473</v>
      </c>
      <c r="AC189" s="26" t="n">
        <f>846</f>
        <v>846.0</v>
      </c>
      <c r="AD189" s="3" t="s">
        <v>335</v>
      </c>
      <c r="AE189" s="27" t="n">
        <f>275</f>
        <v>275.0</v>
      </c>
    </row>
    <row r="190">
      <c r="A190" s="20" t="s">
        <v>657</v>
      </c>
      <c r="B190" s="21" t="s">
        <v>658</v>
      </c>
      <c r="C190" s="22"/>
      <c r="D190" s="23"/>
      <c r="E190" s="24" t="s">
        <v>55</v>
      </c>
      <c r="F190" s="28" t="n">
        <f>121</f>
        <v>121.0</v>
      </c>
      <c r="G190" s="25" t="n">
        <f>1790</f>
        <v>1790.0</v>
      </c>
      <c r="H190" s="25"/>
      <c r="I190" s="25" t="n">
        <f>1443</f>
        <v>1443.0</v>
      </c>
      <c r="J190" s="25" t="n">
        <f>15</f>
        <v>15.0</v>
      </c>
      <c r="K190" s="25" t="n">
        <f>12</f>
        <v>12.0</v>
      </c>
      <c r="L190" s="2" t="s">
        <v>56</v>
      </c>
      <c r="M190" s="26" t="n">
        <f>657</f>
        <v>657.0</v>
      </c>
      <c r="N190" s="3" t="s">
        <v>120</v>
      </c>
      <c r="O190" s="27" t="str">
        <f>"－"</f>
        <v>－</v>
      </c>
      <c r="P190" s="29" t="s">
        <v>686</v>
      </c>
      <c r="Q190" s="25"/>
      <c r="R190" s="29" t="s">
        <v>687</v>
      </c>
      <c r="S190" s="25" t="n">
        <f>11859504</f>
        <v>1.1859504E7</v>
      </c>
      <c r="T190" s="25" t="n">
        <f>9632194</f>
        <v>9632194.0</v>
      </c>
      <c r="U190" s="3" t="s">
        <v>88</v>
      </c>
      <c r="V190" s="27" t="n">
        <f>547891200</f>
        <v>5.478912E8</v>
      </c>
      <c r="W190" s="3" t="s">
        <v>120</v>
      </c>
      <c r="X190" s="27" t="str">
        <f>"－"</f>
        <v>－</v>
      </c>
      <c r="Y190" s="27"/>
      <c r="Z190" s="25" t="str">
        <f>"－"</f>
        <v>－</v>
      </c>
      <c r="AA190" s="25" t="n">
        <f>465</f>
        <v>465.0</v>
      </c>
      <c r="AB190" s="2" t="s">
        <v>189</v>
      </c>
      <c r="AC190" s="26" t="n">
        <f>472</f>
        <v>472.0</v>
      </c>
      <c r="AD190" s="3" t="s">
        <v>688</v>
      </c>
      <c r="AE190" s="27" t="n">
        <f>328</f>
        <v>328.0</v>
      </c>
    </row>
    <row r="191">
      <c r="A191" s="20" t="s">
        <v>657</v>
      </c>
      <c r="B191" s="21" t="s">
        <v>658</v>
      </c>
      <c r="C191" s="22"/>
      <c r="D191" s="23"/>
      <c r="E191" s="24" t="s">
        <v>62</v>
      </c>
      <c r="F191" s="28" t="n">
        <f>123</f>
        <v>123.0</v>
      </c>
      <c r="G191" s="25" t="n">
        <f>2982</f>
        <v>2982.0</v>
      </c>
      <c r="H191" s="25"/>
      <c r="I191" s="25" t="n">
        <f>1471</f>
        <v>1471.0</v>
      </c>
      <c r="J191" s="25" t="n">
        <f>24</f>
        <v>24.0</v>
      </c>
      <c r="K191" s="25" t="n">
        <f>12</f>
        <v>12.0</v>
      </c>
      <c r="L191" s="2" t="s">
        <v>128</v>
      </c>
      <c r="M191" s="26" t="n">
        <f>604</f>
        <v>604.0</v>
      </c>
      <c r="N191" s="3" t="s">
        <v>68</v>
      </c>
      <c r="O191" s="27" t="str">
        <f>"－"</f>
        <v>－</v>
      </c>
      <c r="P191" s="29" t="s">
        <v>689</v>
      </c>
      <c r="Q191" s="25"/>
      <c r="R191" s="29" t="s">
        <v>690</v>
      </c>
      <c r="S191" s="25" t="n">
        <f>18396415</f>
        <v>1.8396415E7</v>
      </c>
      <c r="T191" s="25" t="n">
        <f>9187761</f>
        <v>9187761.0</v>
      </c>
      <c r="U191" s="3" t="s">
        <v>128</v>
      </c>
      <c r="V191" s="27" t="n">
        <f>463973900</f>
        <v>4.639739E8</v>
      </c>
      <c r="W191" s="3" t="s">
        <v>68</v>
      </c>
      <c r="X191" s="27" t="str">
        <f>"－"</f>
        <v>－</v>
      </c>
      <c r="Y191" s="27"/>
      <c r="Z191" s="25" t="str">
        <f>"－"</f>
        <v>－</v>
      </c>
      <c r="AA191" s="25" t="n">
        <f>658</f>
        <v>658.0</v>
      </c>
      <c r="AB191" s="2" t="s">
        <v>81</v>
      </c>
      <c r="AC191" s="26" t="n">
        <f>876</f>
        <v>876.0</v>
      </c>
      <c r="AD191" s="3" t="s">
        <v>280</v>
      </c>
      <c r="AE191" s="27" t="n">
        <f>181</f>
        <v>181.0</v>
      </c>
    </row>
    <row r="192">
      <c r="A192" s="20" t="s">
        <v>657</v>
      </c>
      <c r="B192" s="21" t="s">
        <v>658</v>
      </c>
      <c r="C192" s="22"/>
      <c r="D192" s="23"/>
      <c r="E192" s="24" t="s">
        <v>69</v>
      </c>
      <c r="F192" s="28" t="n">
        <f>122</f>
        <v>122.0</v>
      </c>
      <c r="G192" s="25" t="n">
        <f>2882</f>
        <v>2882.0</v>
      </c>
      <c r="H192" s="25"/>
      <c r="I192" s="25" t="n">
        <f>1849</f>
        <v>1849.0</v>
      </c>
      <c r="J192" s="25" t="n">
        <f>24</f>
        <v>24.0</v>
      </c>
      <c r="K192" s="25" t="n">
        <f>15</f>
        <v>15.0</v>
      </c>
      <c r="L192" s="2" t="s">
        <v>74</v>
      </c>
      <c r="M192" s="26" t="n">
        <f>683</f>
        <v>683.0</v>
      </c>
      <c r="N192" s="3" t="s">
        <v>147</v>
      </c>
      <c r="O192" s="27" t="str">
        <f>"－"</f>
        <v>－</v>
      </c>
      <c r="P192" s="29" t="s">
        <v>691</v>
      </c>
      <c r="Q192" s="25"/>
      <c r="R192" s="29" t="s">
        <v>692</v>
      </c>
      <c r="S192" s="25" t="n">
        <f>15032848</f>
        <v>1.5032848E7</v>
      </c>
      <c r="T192" s="25" t="n">
        <f>9573090</f>
        <v>9573090.0</v>
      </c>
      <c r="U192" s="3" t="s">
        <v>74</v>
      </c>
      <c r="V192" s="27" t="n">
        <f>433874000</f>
        <v>4.33874E8</v>
      </c>
      <c r="W192" s="3" t="s">
        <v>147</v>
      </c>
      <c r="X192" s="27" t="str">
        <f>"－"</f>
        <v>－</v>
      </c>
      <c r="Y192" s="27"/>
      <c r="Z192" s="25" t="str">
        <f>"－"</f>
        <v>－</v>
      </c>
      <c r="AA192" s="25" t="n">
        <f>422</f>
        <v>422.0</v>
      </c>
      <c r="AB192" s="2" t="s">
        <v>134</v>
      </c>
      <c r="AC192" s="26" t="n">
        <f>813</f>
        <v>813.0</v>
      </c>
      <c r="AD192" s="3" t="s">
        <v>98</v>
      </c>
      <c r="AE192" s="27" t="n">
        <f>405</f>
        <v>405.0</v>
      </c>
    </row>
    <row r="193">
      <c r="A193" s="20" t="s">
        <v>657</v>
      </c>
      <c r="B193" s="21" t="s">
        <v>658</v>
      </c>
      <c r="C193" s="22"/>
      <c r="D193" s="23"/>
      <c r="E193" s="24" t="s">
        <v>76</v>
      </c>
      <c r="F193" s="28" t="n">
        <f>123</f>
        <v>123.0</v>
      </c>
      <c r="G193" s="25" t="n">
        <f>2558</f>
        <v>2558.0</v>
      </c>
      <c r="H193" s="25"/>
      <c r="I193" s="25" t="n">
        <f>2187</f>
        <v>2187.0</v>
      </c>
      <c r="J193" s="25" t="n">
        <f>21</f>
        <v>21.0</v>
      </c>
      <c r="K193" s="25" t="n">
        <f>18</f>
        <v>18.0</v>
      </c>
      <c r="L193" s="2" t="s">
        <v>693</v>
      </c>
      <c r="M193" s="26" t="n">
        <f>1003</f>
        <v>1003.0</v>
      </c>
      <c r="N193" s="3" t="s">
        <v>254</v>
      </c>
      <c r="O193" s="27" t="str">
        <f>"－"</f>
        <v>－</v>
      </c>
      <c r="P193" s="29" t="s">
        <v>694</v>
      </c>
      <c r="Q193" s="25"/>
      <c r="R193" s="29" t="s">
        <v>695</v>
      </c>
      <c r="S193" s="25" t="n">
        <f>13743687</f>
        <v>1.3743687E7</v>
      </c>
      <c r="T193" s="25" t="n">
        <f>11776581</f>
        <v>1.1776581E7</v>
      </c>
      <c r="U193" s="3" t="s">
        <v>693</v>
      </c>
      <c r="V193" s="27" t="n">
        <f>657913000</f>
        <v>6.57913E8</v>
      </c>
      <c r="W193" s="3" t="s">
        <v>254</v>
      </c>
      <c r="X193" s="27" t="str">
        <f>"－"</f>
        <v>－</v>
      </c>
      <c r="Y193" s="27"/>
      <c r="Z193" s="25" t="str">
        <f>"－"</f>
        <v>－</v>
      </c>
      <c r="AA193" s="25" t="n">
        <f>280</f>
        <v>280.0</v>
      </c>
      <c r="AB193" s="2" t="s">
        <v>81</v>
      </c>
      <c r="AC193" s="26" t="n">
        <f>1295</f>
        <v>1295.0</v>
      </c>
      <c r="AD193" s="3" t="s">
        <v>473</v>
      </c>
      <c r="AE193" s="27" t="n">
        <f>165</f>
        <v>165.0</v>
      </c>
    </row>
    <row r="194">
      <c r="A194" s="20" t="s">
        <v>657</v>
      </c>
      <c r="B194" s="21" t="s">
        <v>658</v>
      </c>
      <c r="C194" s="22"/>
      <c r="D194" s="23"/>
      <c r="E194" s="24" t="s">
        <v>83</v>
      </c>
      <c r="F194" s="28" t="n">
        <f>123</f>
        <v>123.0</v>
      </c>
      <c r="G194" s="25" t="n">
        <f>1704</f>
        <v>1704.0</v>
      </c>
      <c r="H194" s="25"/>
      <c r="I194" s="25" t="n">
        <f>1148</f>
        <v>1148.0</v>
      </c>
      <c r="J194" s="25" t="n">
        <f>14</f>
        <v>14.0</v>
      </c>
      <c r="K194" s="25" t="n">
        <f>9</f>
        <v>9.0</v>
      </c>
      <c r="L194" s="2" t="s">
        <v>152</v>
      </c>
      <c r="M194" s="26" t="n">
        <f>448</f>
        <v>448.0</v>
      </c>
      <c r="N194" s="3" t="s">
        <v>422</v>
      </c>
      <c r="O194" s="27" t="str">
        <f>"－"</f>
        <v>－</v>
      </c>
      <c r="P194" s="29" t="s">
        <v>696</v>
      </c>
      <c r="Q194" s="25"/>
      <c r="R194" s="29" t="s">
        <v>697</v>
      </c>
      <c r="S194" s="25" t="n">
        <f>10098731</f>
        <v>1.0098731E7</v>
      </c>
      <c r="T194" s="25" t="n">
        <f>6815377</f>
        <v>6815377.0</v>
      </c>
      <c r="U194" s="3" t="s">
        <v>152</v>
      </c>
      <c r="V194" s="27" t="n">
        <f>330134000</f>
        <v>3.30134E8</v>
      </c>
      <c r="W194" s="3" t="s">
        <v>422</v>
      </c>
      <c r="X194" s="27" t="str">
        <f>"－"</f>
        <v>－</v>
      </c>
      <c r="Y194" s="27"/>
      <c r="Z194" s="25" t="str">
        <f>"－"</f>
        <v>－</v>
      </c>
      <c r="AA194" s="25" t="n">
        <f>292</f>
        <v>292.0</v>
      </c>
      <c r="AB194" s="2" t="s">
        <v>698</v>
      </c>
      <c r="AC194" s="26" t="n">
        <f>312</f>
        <v>312.0</v>
      </c>
      <c r="AD194" s="3" t="s">
        <v>60</v>
      </c>
      <c r="AE194" s="27" t="n">
        <f>200</f>
        <v>200.0</v>
      </c>
    </row>
    <row r="195">
      <c r="A195" s="20" t="s">
        <v>657</v>
      </c>
      <c r="B195" s="21" t="s">
        <v>658</v>
      </c>
      <c r="C195" s="22"/>
      <c r="D195" s="23"/>
      <c r="E195" s="24" t="s">
        <v>89</v>
      </c>
      <c r="F195" s="28" t="n">
        <f>124</f>
        <v>124.0</v>
      </c>
      <c r="G195" s="25" t="n">
        <f>1126</f>
        <v>1126.0</v>
      </c>
      <c r="H195" s="25"/>
      <c r="I195" s="25" t="n">
        <f>966</f>
        <v>966.0</v>
      </c>
      <c r="J195" s="25" t="n">
        <f>9</f>
        <v>9.0</v>
      </c>
      <c r="K195" s="25" t="n">
        <f>8</f>
        <v>8.0</v>
      </c>
      <c r="L195" s="2" t="s">
        <v>77</v>
      </c>
      <c r="M195" s="26" t="n">
        <f>335</f>
        <v>335.0</v>
      </c>
      <c r="N195" s="3" t="s">
        <v>254</v>
      </c>
      <c r="O195" s="27" t="str">
        <f>"－"</f>
        <v>－</v>
      </c>
      <c r="P195" s="29" t="s">
        <v>699</v>
      </c>
      <c r="Q195" s="25"/>
      <c r="R195" s="29" t="s">
        <v>700</v>
      </c>
      <c r="S195" s="25" t="n">
        <f>7046020</f>
        <v>7046020.0</v>
      </c>
      <c r="T195" s="25" t="n">
        <f>6023209</f>
        <v>6023209.0</v>
      </c>
      <c r="U195" s="3" t="s">
        <v>77</v>
      </c>
      <c r="V195" s="27" t="n">
        <f>270765500</f>
        <v>2.707655E8</v>
      </c>
      <c r="W195" s="3" t="s">
        <v>254</v>
      </c>
      <c r="X195" s="27" t="str">
        <f>"－"</f>
        <v>－</v>
      </c>
      <c r="Y195" s="27"/>
      <c r="Z195" s="25" t="str">
        <f>"－"</f>
        <v>－</v>
      </c>
      <c r="AA195" s="25" t="n">
        <f>233</f>
        <v>233.0</v>
      </c>
      <c r="AB195" s="2" t="s">
        <v>633</v>
      </c>
      <c r="AC195" s="26" t="n">
        <f>293</f>
        <v>293.0</v>
      </c>
      <c r="AD195" s="3" t="s">
        <v>632</v>
      </c>
      <c r="AE195" s="27" t="n">
        <f>88</f>
        <v>88.0</v>
      </c>
    </row>
    <row r="196">
      <c r="A196" s="20" t="s">
        <v>657</v>
      </c>
      <c r="B196" s="21" t="s">
        <v>658</v>
      </c>
      <c r="C196" s="22"/>
      <c r="D196" s="23"/>
      <c r="E196" s="24" t="s">
        <v>96</v>
      </c>
      <c r="F196" s="28" t="n">
        <f>121</f>
        <v>121.0</v>
      </c>
      <c r="G196" s="25" t="n">
        <f>1692</f>
        <v>1692.0</v>
      </c>
      <c r="H196" s="25"/>
      <c r="I196" s="25" t="n">
        <f>1256</f>
        <v>1256.0</v>
      </c>
      <c r="J196" s="25" t="n">
        <f>14</f>
        <v>14.0</v>
      </c>
      <c r="K196" s="25" t="n">
        <f>10</f>
        <v>10.0</v>
      </c>
      <c r="L196" s="2" t="s">
        <v>482</v>
      </c>
      <c r="M196" s="26" t="n">
        <f>348</f>
        <v>348.0</v>
      </c>
      <c r="N196" s="3" t="s">
        <v>265</v>
      </c>
      <c r="O196" s="27" t="str">
        <f>"－"</f>
        <v>－</v>
      </c>
      <c r="P196" s="29" t="s">
        <v>701</v>
      </c>
      <c r="Q196" s="25"/>
      <c r="R196" s="29" t="s">
        <v>702</v>
      </c>
      <c r="S196" s="25" t="n">
        <f>10854400</f>
        <v>1.08544E7</v>
      </c>
      <c r="T196" s="25" t="n">
        <f>8043570</f>
        <v>8043570.0</v>
      </c>
      <c r="U196" s="3" t="s">
        <v>482</v>
      </c>
      <c r="V196" s="27" t="n">
        <f>271701000</f>
        <v>2.71701E8</v>
      </c>
      <c r="W196" s="3" t="s">
        <v>265</v>
      </c>
      <c r="X196" s="27" t="str">
        <f>"－"</f>
        <v>－</v>
      </c>
      <c r="Y196" s="27"/>
      <c r="Z196" s="25" t="str">
        <f>"－"</f>
        <v>－</v>
      </c>
      <c r="AA196" s="25" t="n">
        <f>358</f>
        <v>358.0</v>
      </c>
      <c r="AB196" s="2" t="s">
        <v>427</v>
      </c>
      <c r="AC196" s="26" t="n">
        <f>520</f>
        <v>520.0</v>
      </c>
      <c r="AD196" s="3" t="s">
        <v>552</v>
      </c>
      <c r="AE196" s="27" t="n">
        <f>217</f>
        <v>217.0</v>
      </c>
    </row>
    <row r="197">
      <c r="A197" s="20" t="s">
        <v>657</v>
      </c>
      <c r="B197" s="21" t="s">
        <v>658</v>
      </c>
      <c r="C197" s="22"/>
      <c r="D197" s="23"/>
      <c r="E197" s="24" t="s">
        <v>102</v>
      </c>
      <c r="F197" s="28" t="n">
        <f>124</f>
        <v>124.0</v>
      </c>
      <c r="G197" s="25" t="n">
        <f>1610</f>
        <v>1610.0</v>
      </c>
      <c r="H197" s="25"/>
      <c r="I197" s="25" t="n">
        <f>1095</f>
        <v>1095.0</v>
      </c>
      <c r="J197" s="25" t="n">
        <f>13</f>
        <v>13.0</v>
      </c>
      <c r="K197" s="25" t="n">
        <f>9</f>
        <v>9.0</v>
      </c>
      <c r="L197" s="2" t="s">
        <v>67</v>
      </c>
      <c r="M197" s="26" t="n">
        <f>282</f>
        <v>282.0</v>
      </c>
      <c r="N197" s="3" t="s">
        <v>215</v>
      </c>
      <c r="O197" s="27" t="str">
        <f>"－"</f>
        <v>－</v>
      </c>
      <c r="P197" s="29" t="s">
        <v>703</v>
      </c>
      <c r="Q197" s="25"/>
      <c r="R197" s="29" t="s">
        <v>704</v>
      </c>
      <c r="S197" s="25" t="n">
        <f>9668256</f>
        <v>9668256.0</v>
      </c>
      <c r="T197" s="25" t="n">
        <f>6562873</f>
        <v>6562873.0</v>
      </c>
      <c r="U197" s="3" t="s">
        <v>67</v>
      </c>
      <c r="V197" s="27" t="n">
        <f>201066000</f>
        <v>2.01066E8</v>
      </c>
      <c r="W197" s="3" t="s">
        <v>215</v>
      </c>
      <c r="X197" s="27" t="str">
        <f>"－"</f>
        <v>－</v>
      </c>
      <c r="Y197" s="27"/>
      <c r="Z197" s="25" t="str">
        <f>"－"</f>
        <v>－</v>
      </c>
      <c r="AA197" s="25" t="n">
        <f>254</f>
        <v>254.0</v>
      </c>
      <c r="AB197" s="2" t="s">
        <v>633</v>
      </c>
      <c r="AC197" s="26" t="n">
        <f>359</f>
        <v>359.0</v>
      </c>
      <c r="AD197" s="3" t="s">
        <v>705</v>
      </c>
      <c r="AE197" s="27" t="n">
        <f>124</f>
        <v>124.0</v>
      </c>
    </row>
    <row r="198">
      <c r="A198" s="20" t="s">
        <v>657</v>
      </c>
      <c r="B198" s="21" t="s">
        <v>658</v>
      </c>
      <c r="C198" s="22"/>
      <c r="D198" s="23"/>
      <c r="E198" s="24" t="s">
        <v>107</v>
      </c>
      <c r="F198" s="28" t="n">
        <f>117</f>
        <v>117.0</v>
      </c>
      <c r="G198" s="25" t="n">
        <f>1370</f>
        <v>1370.0</v>
      </c>
      <c r="H198" s="25"/>
      <c r="I198" s="25" t="n">
        <f>1076</f>
        <v>1076.0</v>
      </c>
      <c r="J198" s="25" t="n">
        <f>12</f>
        <v>12.0</v>
      </c>
      <c r="K198" s="25" t="n">
        <f>9</f>
        <v>9.0</v>
      </c>
      <c r="L198" s="2" t="s">
        <v>101</v>
      </c>
      <c r="M198" s="26" t="n">
        <f>457</f>
        <v>457.0</v>
      </c>
      <c r="N198" s="3" t="s">
        <v>706</v>
      </c>
      <c r="O198" s="27" t="str">
        <f>"－"</f>
        <v>－</v>
      </c>
      <c r="P198" s="29" t="s">
        <v>707</v>
      </c>
      <c r="Q198" s="25"/>
      <c r="R198" s="29" t="s">
        <v>708</v>
      </c>
      <c r="S198" s="25" t="n">
        <f>8416744</f>
        <v>8416744.0</v>
      </c>
      <c r="T198" s="25" t="n">
        <f>6627222</f>
        <v>6627222.0</v>
      </c>
      <c r="U198" s="3" t="s">
        <v>101</v>
      </c>
      <c r="V198" s="27" t="n">
        <f>324577900</f>
        <v>3.245779E8</v>
      </c>
      <c r="W198" s="3" t="s">
        <v>706</v>
      </c>
      <c r="X198" s="27" t="str">
        <f>"－"</f>
        <v>－</v>
      </c>
      <c r="Y198" s="27"/>
      <c r="Z198" s="25" t="str">
        <f>"－"</f>
        <v>－</v>
      </c>
      <c r="AA198" s="25" t="n">
        <f>245</f>
        <v>245.0</v>
      </c>
      <c r="AB198" s="2" t="s">
        <v>111</v>
      </c>
      <c r="AC198" s="26" t="n">
        <f>583</f>
        <v>583.0</v>
      </c>
      <c r="AD198" s="3" t="s">
        <v>290</v>
      </c>
      <c r="AE198" s="27" t="n">
        <f>206</f>
        <v>206.0</v>
      </c>
    </row>
    <row r="199">
      <c r="A199" s="20" t="s">
        <v>657</v>
      </c>
      <c r="B199" s="21" t="s">
        <v>658</v>
      </c>
      <c r="C199" s="22"/>
      <c r="D199" s="23"/>
      <c r="E199" s="24" t="s">
        <v>113</v>
      </c>
      <c r="F199" s="28" t="n">
        <f>124</f>
        <v>124.0</v>
      </c>
      <c r="G199" s="25" t="n">
        <f>727</f>
        <v>727.0</v>
      </c>
      <c r="H199" s="25"/>
      <c r="I199" s="25" t="n">
        <f>601</f>
        <v>601.0</v>
      </c>
      <c r="J199" s="25" t="n">
        <f>6</f>
        <v>6.0</v>
      </c>
      <c r="K199" s="25" t="n">
        <f>5</f>
        <v>5.0</v>
      </c>
      <c r="L199" s="2" t="s">
        <v>49</v>
      </c>
      <c r="M199" s="26" t="n">
        <f>128</f>
        <v>128.0</v>
      </c>
      <c r="N199" s="3" t="s">
        <v>254</v>
      </c>
      <c r="O199" s="27" t="str">
        <f>"－"</f>
        <v>－</v>
      </c>
      <c r="P199" s="29" t="s">
        <v>709</v>
      </c>
      <c r="Q199" s="25"/>
      <c r="R199" s="29" t="s">
        <v>710</v>
      </c>
      <c r="S199" s="25" t="n">
        <f>4382053</f>
        <v>4382053.0</v>
      </c>
      <c r="T199" s="25" t="n">
        <f>3616540</f>
        <v>3616540.0</v>
      </c>
      <c r="U199" s="3" t="s">
        <v>49</v>
      </c>
      <c r="V199" s="27" t="n">
        <f>101171200</f>
        <v>1.011712E8</v>
      </c>
      <c r="W199" s="3" t="s">
        <v>254</v>
      </c>
      <c r="X199" s="27" t="str">
        <f>"－"</f>
        <v>－</v>
      </c>
      <c r="Y199" s="27"/>
      <c r="Z199" s="25" t="str">
        <f>"－"</f>
        <v>－</v>
      </c>
      <c r="AA199" s="25" t="n">
        <f>112</f>
        <v>112.0</v>
      </c>
      <c r="AB199" s="2" t="s">
        <v>215</v>
      </c>
      <c r="AC199" s="26" t="n">
        <f>247</f>
        <v>247.0</v>
      </c>
      <c r="AD199" s="3" t="s">
        <v>175</v>
      </c>
      <c r="AE199" s="27" t="n">
        <f>78</f>
        <v>78.0</v>
      </c>
    </row>
    <row r="200">
      <c r="A200" s="20" t="s">
        <v>657</v>
      </c>
      <c r="B200" s="21" t="s">
        <v>658</v>
      </c>
      <c r="C200" s="22"/>
      <c r="D200" s="23"/>
      <c r="E200" s="24" t="s">
        <v>119</v>
      </c>
      <c r="F200" s="28" t="n">
        <f>119</f>
        <v>119.0</v>
      </c>
      <c r="G200" s="25" t="n">
        <f>704</f>
        <v>704.0</v>
      </c>
      <c r="H200" s="25"/>
      <c r="I200" s="25" t="n">
        <f>629</f>
        <v>629.0</v>
      </c>
      <c r="J200" s="25" t="n">
        <f>6</f>
        <v>6.0</v>
      </c>
      <c r="K200" s="25" t="n">
        <f>5</f>
        <v>5.0</v>
      </c>
      <c r="L200" s="2" t="s">
        <v>88</v>
      </c>
      <c r="M200" s="26" t="n">
        <f>323</f>
        <v>323.0</v>
      </c>
      <c r="N200" s="3" t="s">
        <v>328</v>
      </c>
      <c r="O200" s="27" t="str">
        <f>"－"</f>
        <v>－</v>
      </c>
      <c r="P200" s="29" t="s">
        <v>711</v>
      </c>
      <c r="Q200" s="25"/>
      <c r="R200" s="29" t="s">
        <v>712</v>
      </c>
      <c r="S200" s="25" t="n">
        <f>4182257</f>
        <v>4182257.0</v>
      </c>
      <c r="T200" s="25" t="n">
        <f>3728299</f>
        <v>3728299.0</v>
      </c>
      <c r="U200" s="3" t="s">
        <v>88</v>
      </c>
      <c r="V200" s="27" t="n">
        <f>244142300</f>
        <v>2.441423E8</v>
      </c>
      <c r="W200" s="3" t="s">
        <v>328</v>
      </c>
      <c r="X200" s="27" t="str">
        <f>"－"</f>
        <v>－</v>
      </c>
      <c r="Y200" s="27"/>
      <c r="Z200" s="25" t="str">
        <f>"－"</f>
        <v>－</v>
      </c>
      <c r="AA200" s="25" t="n">
        <f>171</f>
        <v>171.0</v>
      </c>
      <c r="AB200" s="2" t="s">
        <v>88</v>
      </c>
      <c r="AC200" s="26" t="n">
        <f>323</f>
        <v>323.0</v>
      </c>
      <c r="AD200" s="3" t="s">
        <v>476</v>
      </c>
      <c r="AE200" s="27" t="n">
        <f>111</f>
        <v>111.0</v>
      </c>
    </row>
    <row r="201">
      <c r="A201" s="20" t="s">
        <v>657</v>
      </c>
      <c r="B201" s="21" t="s">
        <v>658</v>
      </c>
      <c r="C201" s="22"/>
      <c r="D201" s="23"/>
      <c r="E201" s="24" t="s">
        <v>124</v>
      </c>
      <c r="F201" s="28" t="n">
        <f>124</f>
        <v>124.0</v>
      </c>
      <c r="G201" s="25" t="n">
        <f>376</f>
        <v>376.0</v>
      </c>
      <c r="H201" s="25"/>
      <c r="I201" s="25" t="n">
        <f>350</f>
        <v>350.0</v>
      </c>
      <c r="J201" s="25" t="n">
        <f>3</f>
        <v>3.0</v>
      </c>
      <c r="K201" s="25" t="n">
        <f>3</f>
        <v>3.0</v>
      </c>
      <c r="L201" s="2" t="s">
        <v>128</v>
      </c>
      <c r="M201" s="26" t="n">
        <f>123</f>
        <v>123.0</v>
      </c>
      <c r="N201" s="3" t="s">
        <v>68</v>
      </c>
      <c r="O201" s="27" t="str">
        <f>"－"</f>
        <v>－</v>
      </c>
      <c r="P201" s="29" t="s">
        <v>713</v>
      </c>
      <c r="Q201" s="25"/>
      <c r="R201" s="29" t="s">
        <v>714</v>
      </c>
      <c r="S201" s="25" t="n">
        <f>2319072</f>
        <v>2319072.0</v>
      </c>
      <c r="T201" s="25" t="n">
        <f>2159225</f>
        <v>2159225.0</v>
      </c>
      <c r="U201" s="3" t="s">
        <v>128</v>
      </c>
      <c r="V201" s="27" t="n">
        <f>99438600</f>
        <v>9.94386E7</v>
      </c>
      <c r="W201" s="3" t="s">
        <v>68</v>
      </c>
      <c r="X201" s="27" t="str">
        <f>"－"</f>
        <v>－</v>
      </c>
      <c r="Y201" s="27"/>
      <c r="Z201" s="25" t="n">
        <f>1</f>
        <v>1.0</v>
      </c>
      <c r="AA201" s="25" t="n">
        <f>61</f>
        <v>61.0</v>
      </c>
      <c r="AB201" s="2" t="s">
        <v>68</v>
      </c>
      <c r="AC201" s="26" t="n">
        <f>171</f>
        <v>171.0</v>
      </c>
      <c r="AD201" s="3" t="s">
        <v>280</v>
      </c>
      <c r="AE201" s="27" t="n">
        <f>50</f>
        <v>50.0</v>
      </c>
    </row>
    <row r="202">
      <c r="A202" s="20" t="s">
        <v>657</v>
      </c>
      <c r="B202" s="21" t="s">
        <v>658</v>
      </c>
      <c r="C202" s="22"/>
      <c r="D202" s="23"/>
      <c r="E202" s="24" t="s">
        <v>130</v>
      </c>
      <c r="F202" s="28" t="n">
        <f>121</f>
        <v>121.0</v>
      </c>
      <c r="G202" s="25" t="n">
        <f>262</f>
        <v>262.0</v>
      </c>
      <c r="H202" s="25"/>
      <c r="I202" s="25" t="n">
        <f>252</f>
        <v>252.0</v>
      </c>
      <c r="J202" s="25" t="n">
        <f>2</f>
        <v>2.0</v>
      </c>
      <c r="K202" s="25" t="n">
        <f>2</f>
        <v>2.0</v>
      </c>
      <c r="L202" s="2" t="s">
        <v>427</v>
      </c>
      <c r="M202" s="26" t="n">
        <f>128</f>
        <v>128.0</v>
      </c>
      <c r="N202" s="3" t="s">
        <v>156</v>
      </c>
      <c r="O202" s="27" t="str">
        <f>"－"</f>
        <v>－</v>
      </c>
      <c r="P202" s="29" t="s">
        <v>715</v>
      </c>
      <c r="Q202" s="25"/>
      <c r="R202" s="29" t="s">
        <v>716</v>
      </c>
      <c r="S202" s="25" t="n">
        <f>1973569</f>
        <v>1973569.0</v>
      </c>
      <c r="T202" s="25" t="n">
        <f>1896519</f>
        <v>1896519.0</v>
      </c>
      <c r="U202" s="3" t="s">
        <v>427</v>
      </c>
      <c r="V202" s="27" t="n">
        <f>119260000</f>
        <v>1.1926E8</v>
      </c>
      <c r="W202" s="3" t="s">
        <v>156</v>
      </c>
      <c r="X202" s="27" t="str">
        <f>"－"</f>
        <v>－</v>
      </c>
      <c r="Y202" s="27"/>
      <c r="Z202" s="25" t="n">
        <f>2</f>
        <v>2.0</v>
      </c>
      <c r="AA202" s="25" t="n">
        <f>64</f>
        <v>64.0</v>
      </c>
      <c r="AB202" s="2" t="s">
        <v>427</v>
      </c>
      <c r="AC202" s="26" t="n">
        <f>67</f>
        <v>67.0</v>
      </c>
      <c r="AD202" s="3" t="s">
        <v>156</v>
      </c>
      <c r="AE202" s="27" t="n">
        <f>61</f>
        <v>61.0</v>
      </c>
    </row>
    <row r="203">
      <c r="A203" s="20" t="s">
        <v>657</v>
      </c>
      <c r="B203" s="21" t="s">
        <v>658</v>
      </c>
      <c r="C203" s="22"/>
      <c r="D203" s="23"/>
      <c r="E203" s="24" t="s">
        <v>136</v>
      </c>
      <c r="F203" s="28" t="n">
        <f>124</f>
        <v>124.0</v>
      </c>
      <c r="G203" s="25" t="n">
        <f>252</f>
        <v>252.0</v>
      </c>
      <c r="H203" s="25"/>
      <c r="I203" s="25" t="n">
        <f>242</f>
        <v>242.0</v>
      </c>
      <c r="J203" s="25" t="n">
        <f>2</f>
        <v>2.0</v>
      </c>
      <c r="K203" s="25" t="n">
        <f>2</f>
        <v>2.0</v>
      </c>
      <c r="L203" s="2" t="s">
        <v>137</v>
      </c>
      <c r="M203" s="26" t="n">
        <f>92</f>
        <v>92.0</v>
      </c>
      <c r="N203" s="3" t="s">
        <v>68</v>
      </c>
      <c r="O203" s="27" t="str">
        <f>"－"</f>
        <v>－</v>
      </c>
      <c r="P203" s="29" t="s">
        <v>717</v>
      </c>
      <c r="Q203" s="25"/>
      <c r="R203" s="29" t="s">
        <v>718</v>
      </c>
      <c r="S203" s="25" t="n">
        <f>1940857</f>
        <v>1940857.0</v>
      </c>
      <c r="T203" s="25" t="n">
        <f>1863034</f>
        <v>1863034.0</v>
      </c>
      <c r="U203" s="3" t="s">
        <v>137</v>
      </c>
      <c r="V203" s="27" t="n">
        <f>87998000</f>
        <v>8.7998E7</v>
      </c>
      <c r="W203" s="3" t="s">
        <v>68</v>
      </c>
      <c r="X203" s="27" t="str">
        <f>"－"</f>
        <v>－</v>
      </c>
      <c r="Y203" s="27"/>
      <c r="Z203" s="25" t="str">
        <f>"－"</f>
        <v>－</v>
      </c>
      <c r="AA203" s="25" t="n">
        <f>46</f>
        <v>46.0</v>
      </c>
      <c r="AB203" s="2" t="s">
        <v>719</v>
      </c>
      <c r="AC203" s="26" t="n">
        <f>76</f>
        <v>76.0</v>
      </c>
      <c r="AD203" s="3" t="s">
        <v>720</v>
      </c>
      <c r="AE203" s="27" t="n">
        <f>36</f>
        <v>36.0</v>
      </c>
    </row>
    <row r="204">
      <c r="A204" s="20" t="s">
        <v>657</v>
      </c>
      <c r="B204" s="21" t="s">
        <v>658</v>
      </c>
      <c r="C204" s="22"/>
      <c r="D204" s="23"/>
      <c r="E204" s="24" t="s">
        <v>142</v>
      </c>
      <c r="F204" s="28" t="n">
        <f>120</f>
        <v>120.0</v>
      </c>
      <c r="G204" s="25" t="n">
        <f>389</f>
        <v>389.0</v>
      </c>
      <c r="H204" s="25"/>
      <c r="I204" s="25" t="n">
        <f>363</f>
        <v>363.0</v>
      </c>
      <c r="J204" s="25" t="n">
        <f>3</f>
        <v>3.0</v>
      </c>
      <c r="K204" s="25" t="n">
        <f>3</f>
        <v>3.0</v>
      </c>
      <c r="L204" s="2" t="s">
        <v>146</v>
      </c>
      <c r="M204" s="26" t="n">
        <f>210</f>
        <v>210.0</v>
      </c>
      <c r="N204" s="3" t="s">
        <v>156</v>
      </c>
      <c r="O204" s="27" t="str">
        <f>"－"</f>
        <v>－</v>
      </c>
      <c r="P204" s="29" t="s">
        <v>721</v>
      </c>
      <c r="Q204" s="25"/>
      <c r="R204" s="29" t="s">
        <v>722</v>
      </c>
      <c r="S204" s="25" t="n">
        <f>3053394</f>
        <v>3053394.0</v>
      </c>
      <c r="T204" s="25" t="n">
        <f>2854002</f>
        <v>2854002.0</v>
      </c>
      <c r="U204" s="3" t="s">
        <v>146</v>
      </c>
      <c r="V204" s="27" t="n">
        <f>201768000</f>
        <v>2.01768E8</v>
      </c>
      <c r="W204" s="3" t="s">
        <v>156</v>
      </c>
      <c r="X204" s="27" t="str">
        <f>"－"</f>
        <v>－</v>
      </c>
      <c r="Y204" s="27"/>
      <c r="Z204" s="25" t="n">
        <f>3</f>
        <v>3.0</v>
      </c>
      <c r="AA204" s="25" t="n">
        <f>126</f>
        <v>126.0</v>
      </c>
      <c r="AB204" s="2" t="s">
        <v>146</v>
      </c>
      <c r="AC204" s="26" t="n">
        <f>166</f>
        <v>166.0</v>
      </c>
      <c r="AD204" s="3" t="s">
        <v>156</v>
      </c>
      <c r="AE204" s="27" t="n">
        <f>46</f>
        <v>46.0</v>
      </c>
    </row>
    <row r="205">
      <c r="A205" s="20" t="s">
        <v>657</v>
      </c>
      <c r="B205" s="21" t="s">
        <v>658</v>
      </c>
      <c r="C205" s="22"/>
      <c r="D205" s="23"/>
      <c r="E205" s="24" t="s">
        <v>148</v>
      </c>
      <c r="F205" s="28" t="n">
        <f>124</f>
        <v>124.0</v>
      </c>
      <c r="G205" s="25" t="n">
        <f>382</f>
        <v>382.0</v>
      </c>
      <c r="H205" s="25"/>
      <c r="I205" s="25" t="n">
        <f>336</f>
        <v>336.0</v>
      </c>
      <c r="J205" s="25" t="n">
        <f>3</f>
        <v>3.0</v>
      </c>
      <c r="K205" s="25" t="n">
        <f>3</f>
        <v>3.0</v>
      </c>
      <c r="L205" s="2" t="s">
        <v>77</v>
      </c>
      <c r="M205" s="26" t="n">
        <f>154</f>
        <v>154.0</v>
      </c>
      <c r="N205" s="3" t="s">
        <v>68</v>
      </c>
      <c r="O205" s="27" t="str">
        <f>"－"</f>
        <v>－</v>
      </c>
      <c r="P205" s="29" t="s">
        <v>723</v>
      </c>
      <c r="Q205" s="25"/>
      <c r="R205" s="29" t="s">
        <v>724</v>
      </c>
      <c r="S205" s="25" t="n">
        <f>2875015</f>
        <v>2875015.0</v>
      </c>
      <c r="T205" s="25" t="n">
        <f>2532321</f>
        <v>2532321.0</v>
      </c>
      <c r="U205" s="3" t="s">
        <v>77</v>
      </c>
      <c r="V205" s="27" t="n">
        <f>146146000</f>
        <v>1.46146E8</v>
      </c>
      <c r="W205" s="3" t="s">
        <v>68</v>
      </c>
      <c r="X205" s="27" t="str">
        <f>"－"</f>
        <v>－</v>
      </c>
      <c r="Y205" s="27"/>
      <c r="Z205" s="25" t="n">
        <f>10</f>
        <v>10.0</v>
      </c>
      <c r="AA205" s="25" t="n">
        <f>77</f>
        <v>77.0</v>
      </c>
      <c r="AB205" s="2" t="s">
        <v>68</v>
      </c>
      <c r="AC205" s="26" t="n">
        <f>126</f>
        <v>126.0</v>
      </c>
      <c r="AD205" s="3" t="s">
        <v>473</v>
      </c>
      <c r="AE205" s="27" t="n">
        <f>43</f>
        <v>43.0</v>
      </c>
    </row>
    <row r="206">
      <c r="A206" s="20" t="s">
        <v>657</v>
      </c>
      <c r="B206" s="21" t="s">
        <v>658</v>
      </c>
      <c r="C206" s="22"/>
      <c r="D206" s="23"/>
      <c r="E206" s="24" t="s">
        <v>151</v>
      </c>
      <c r="F206" s="28" t="n">
        <f>122</f>
        <v>122.0</v>
      </c>
      <c r="G206" s="25" t="n">
        <f>464</f>
        <v>464.0</v>
      </c>
      <c r="H206" s="25"/>
      <c r="I206" s="25" t="n">
        <f>407</f>
        <v>407.0</v>
      </c>
      <c r="J206" s="25" t="n">
        <f>4</f>
        <v>4.0</v>
      </c>
      <c r="K206" s="25" t="n">
        <f>3</f>
        <v>3.0</v>
      </c>
      <c r="L206" s="2" t="s">
        <v>152</v>
      </c>
      <c r="M206" s="26" t="n">
        <f>221</f>
        <v>221.0</v>
      </c>
      <c r="N206" s="3" t="s">
        <v>156</v>
      </c>
      <c r="O206" s="27" t="str">
        <f>"－"</f>
        <v>－</v>
      </c>
      <c r="P206" s="29" t="s">
        <v>725</v>
      </c>
      <c r="Q206" s="25"/>
      <c r="R206" s="29" t="s">
        <v>726</v>
      </c>
      <c r="S206" s="25" t="n">
        <f>4026642</f>
        <v>4026642.0</v>
      </c>
      <c r="T206" s="25" t="n">
        <f>3530024</f>
        <v>3530024.0</v>
      </c>
      <c r="U206" s="3" t="s">
        <v>152</v>
      </c>
      <c r="V206" s="27" t="n">
        <f>245693000</f>
        <v>2.45693E8</v>
      </c>
      <c r="W206" s="3" t="s">
        <v>156</v>
      </c>
      <c r="X206" s="27" t="str">
        <f>"－"</f>
        <v>－</v>
      </c>
      <c r="Y206" s="27"/>
      <c r="Z206" s="25" t="str">
        <f>"－"</f>
        <v>－</v>
      </c>
      <c r="AA206" s="25" t="n">
        <f>118</f>
        <v>118.0</v>
      </c>
      <c r="AB206" s="2" t="s">
        <v>152</v>
      </c>
      <c r="AC206" s="26" t="n">
        <f>249</f>
        <v>249.0</v>
      </c>
      <c r="AD206" s="3" t="s">
        <v>156</v>
      </c>
      <c r="AE206" s="27" t="n">
        <f>77</f>
        <v>77.0</v>
      </c>
    </row>
    <row r="207">
      <c r="A207" s="20" t="s">
        <v>657</v>
      </c>
      <c r="B207" s="21" t="s">
        <v>658</v>
      </c>
      <c r="C207" s="22"/>
      <c r="D207" s="23"/>
      <c r="E207" s="24" t="s">
        <v>157</v>
      </c>
      <c r="F207" s="28" t="n">
        <f>124</f>
        <v>124.0</v>
      </c>
      <c r="G207" s="25" t="n">
        <f>432</f>
        <v>432.0</v>
      </c>
      <c r="H207" s="25"/>
      <c r="I207" s="25" t="n">
        <f>416</f>
        <v>416.0</v>
      </c>
      <c r="J207" s="25" t="n">
        <f>3</f>
        <v>3.0</v>
      </c>
      <c r="K207" s="25" t="n">
        <f>3</f>
        <v>3.0</v>
      </c>
      <c r="L207" s="2" t="s">
        <v>93</v>
      </c>
      <c r="M207" s="26" t="n">
        <f>204</f>
        <v>204.0</v>
      </c>
      <c r="N207" s="3" t="s">
        <v>633</v>
      </c>
      <c r="O207" s="27" t="str">
        <f>"－"</f>
        <v>－</v>
      </c>
      <c r="P207" s="29" t="s">
        <v>727</v>
      </c>
      <c r="Q207" s="25"/>
      <c r="R207" s="29" t="s">
        <v>728</v>
      </c>
      <c r="S207" s="25" t="n">
        <f>4075919</f>
        <v>4075919.0</v>
      </c>
      <c r="T207" s="25" t="n">
        <f>3926782</f>
        <v>3926782.0</v>
      </c>
      <c r="U207" s="3" t="s">
        <v>93</v>
      </c>
      <c r="V207" s="27" t="n">
        <f>241168800</f>
        <v>2.411688E8</v>
      </c>
      <c r="W207" s="3" t="s">
        <v>633</v>
      </c>
      <c r="X207" s="27" t="str">
        <f>"－"</f>
        <v>－</v>
      </c>
      <c r="Y207" s="27"/>
      <c r="Z207" s="25" t="str">
        <f>"－"</f>
        <v>－</v>
      </c>
      <c r="AA207" s="25" t="n">
        <f>102</f>
        <v>102.0</v>
      </c>
      <c r="AB207" s="2" t="s">
        <v>254</v>
      </c>
      <c r="AC207" s="26" t="n">
        <f>120</f>
        <v>120.0</v>
      </c>
      <c r="AD207" s="3" t="s">
        <v>90</v>
      </c>
      <c r="AE207" s="27" t="n">
        <f>58</f>
        <v>58.0</v>
      </c>
    </row>
    <row r="208">
      <c r="A208" s="20" t="s">
        <v>657</v>
      </c>
      <c r="B208" s="21" t="s">
        <v>658</v>
      </c>
      <c r="C208" s="22"/>
      <c r="D208" s="23"/>
      <c r="E208" s="24" t="s">
        <v>160</v>
      </c>
      <c r="F208" s="28" t="n">
        <f>58</f>
        <v>58.0</v>
      </c>
      <c r="G208" s="25" t="n">
        <f>282</f>
        <v>282.0</v>
      </c>
      <c r="H208" s="25"/>
      <c r="I208" s="25" t="n">
        <f>256</f>
        <v>256.0</v>
      </c>
      <c r="J208" s="25" t="n">
        <f>5</f>
        <v>5.0</v>
      </c>
      <c r="K208" s="25" t="n">
        <f>4</f>
        <v>4.0</v>
      </c>
      <c r="L208" s="2" t="s">
        <v>111</v>
      </c>
      <c r="M208" s="26" t="n">
        <f>200</f>
        <v>200.0</v>
      </c>
      <c r="N208" s="3" t="s">
        <v>156</v>
      </c>
      <c r="O208" s="27" t="str">
        <f>"－"</f>
        <v>－</v>
      </c>
      <c r="P208" s="29" t="s">
        <v>729</v>
      </c>
      <c r="Q208" s="25"/>
      <c r="R208" s="29" t="s">
        <v>730</v>
      </c>
      <c r="S208" s="25" t="n">
        <f>6924823</f>
        <v>6924823.0</v>
      </c>
      <c r="T208" s="25" t="n">
        <f>6309892</f>
        <v>6309892.0</v>
      </c>
      <c r="U208" s="3" t="s">
        <v>111</v>
      </c>
      <c r="V208" s="27" t="n">
        <f>284650000</f>
        <v>2.8465E8</v>
      </c>
      <c r="W208" s="3" t="s">
        <v>156</v>
      </c>
      <c r="X208" s="27" t="str">
        <f>"－"</f>
        <v>－</v>
      </c>
      <c r="Y208" s="27"/>
      <c r="Z208" s="25" t="str">
        <f>"－"</f>
        <v>－</v>
      </c>
      <c r="AA208" s="25" t="n">
        <f>156</f>
        <v>156.0</v>
      </c>
      <c r="AB208" s="2" t="s">
        <v>177</v>
      </c>
      <c r="AC208" s="26" t="n">
        <f>156</f>
        <v>156.0</v>
      </c>
      <c r="AD208" s="3" t="s">
        <v>134</v>
      </c>
      <c r="AE208" s="27" t="n">
        <f>100</f>
        <v>100.0</v>
      </c>
    </row>
    <row r="209">
      <c r="A209" s="20" t="s">
        <v>731</v>
      </c>
      <c r="B209" s="21" t="s">
        <v>732</v>
      </c>
      <c r="C209" s="22"/>
      <c r="D209" s="23"/>
      <c r="E209" s="24" t="s">
        <v>336</v>
      </c>
      <c r="F209" s="28" t="n">
        <f>55</f>
        <v>55.0</v>
      </c>
      <c r="G209" s="25" t="n">
        <f>869</f>
        <v>869.0</v>
      </c>
      <c r="H209" s="25"/>
      <c r="I209" s="25" t="str">
        <f>"－"</f>
        <v>－</v>
      </c>
      <c r="J209" s="25" t="n">
        <f>16</f>
        <v>16.0</v>
      </c>
      <c r="K209" s="25" t="str">
        <f>"－"</f>
        <v>－</v>
      </c>
      <c r="L209" s="2" t="s">
        <v>482</v>
      </c>
      <c r="M209" s="26" t="n">
        <f>201</f>
        <v>201.0</v>
      </c>
      <c r="N209" s="3" t="s">
        <v>733</v>
      </c>
      <c r="O209" s="27" t="n">
        <f>1</f>
        <v>1.0</v>
      </c>
      <c r="P209" s="29" t="s">
        <v>734</v>
      </c>
      <c r="Q209" s="25"/>
      <c r="R209" s="29" t="s">
        <v>262</v>
      </c>
      <c r="S209" s="25" t="n">
        <f>68579582</f>
        <v>6.8579582E7</v>
      </c>
      <c r="T209" s="25" t="str">
        <f>"－"</f>
        <v>－</v>
      </c>
      <c r="U209" s="3" t="s">
        <v>482</v>
      </c>
      <c r="V209" s="27" t="n">
        <f>846645000</f>
        <v>8.46645E8</v>
      </c>
      <c r="W209" s="3" t="s">
        <v>233</v>
      </c>
      <c r="X209" s="27" t="n">
        <f>4210000</f>
        <v>4210000.0</v>
      </c>
      <c r="Y209" s="27"/>
      <c r="Z209" s="25" t="str">
        <f>"－"</f>
        <v>－</v>
      </c>
      <c r="AA209" s="25" t="n">
        <f>15</f>
        <v>15.0</v>
      </c>
      <c r="AB209" s="2" t="s">
        <v>189</v>
      </c>
      <c r="AC209" s="26" t="n">
        <f>248</f>
        <v>248.0</v>
      </c>
      <c r="AD209" s="3" t="s">
        <v>343</v>
      </c>
      <c r="AE209" s="27" t="n">
        <f>7</f>
        <v>7.0</v>
      </c>
    </row>
    <row r="210">
      <c r="A210" s="20" t="s">
        <v>731</v>
      </c>
      <c r="B210" s="21" t="s">
        <v>732</v>
      </c>
      <c r="C210" s="22"/>
      <c r="D210" s="23"/>
      <c r="E210" s="24" t="s">
        <v>338</v>
      </c>
      <c r="F210" s="28" t="n">
        <f>125</f>
        <v>125.0</v>
      </c>
      <c r="G210" s="25" t="n">
        <f>258</f>
        <v>258.0</v>
      </c>
      <c r="H210" s="25"/>
      <c r="I210" s="25" t="str">
        <f>"－"</f>
        <v>－</v>
      </c>
      <c r="J210" s="25" t="n">
        <f>2</f>
        <v>2.0</v>
      </c>
      <c r="K210" s="25" t="str">
        <f>"－"</f>
        <v>－</v>
      </c>
      <c r="L210" s="2" t="s">
        <v>64</v>
      </c>
      <c r="M210" s="26" t="n">
        <f>15</f>
        <v>15.0</v>
      </c>
      <c r="N210" s="3" t="s">
        <v>735</v>
      </c>
      <c r="O210" s="27" t="str">
        <f>"－"</f>
        <v>－</v>
      </c>
      <c r="P210" s="29" t="s">
        <v>736</v>
      </c>
      <c r="Q210" s="25"/>
      <c r="R210" s="29" t="s">
        <v>262</v>
      </c>
      <c r="S210" s="25" t="n">
        <f>7318048</f>
        <v>7318048.0</v>
      </c>
      <c r="T210" s="25" t="str">
        <f>"－"</f>
        <v>－</v>
      </c>
      <c r="U210" s="3" t="s">
        <v>64</v>
      </c>
      <c r="V210" s="27" t="n">
        <f>51000000</f>
        <v>5.1E7</v>
      </c>
      <c r="W210" s="3" t="s">
        <v>735</v>
      </c>
      <c r="X210" s="27" t="str">
        <f>"－"</f>
        <v>－</v>
      </c>
      <c r="Y210" s="27"/>
      <c r="Z210" s="25" t="str">
        <f>"－"</f>
        <v>－</v>
      </c>
      <c r="AA210" s="25" t="str">
        <f>"－"</f>
        <v>－</v>
      </c>
      <c r="AB210" s="2" t="s">
        <v>95</v>
      </c>
      <c r="AC210" s="26" t="n">
        <f>85</f>
        <v>85.0</v>
      </c>
      <c r="AD210" s="3" t="s">
        <v>129</v>
      </c>
      <c r="AE210" s="27" t="str">
        <f>"－"</f>
        <v>－</v>
      </c>
    </row>
    <row r="211">
      <c r="A211" s="20" t="s">
        <v>731</v>
      </c>
      <c r="B211" s="21" t="s">
        <v>732</v>
      </c>
      <c r="C211" s="22"/>
      <c r="D211" s="23"/>
      <c r="E211" s="24" t="s">
        <v>342</v>
      </c>
      <c r="F211" s="28" t="n">
        <f>121</f>
        <v>121.0</v>
      </c>
      <c r="G211" s="25" t="n">
        <f>10443</f>
        <v>10443.0</v>
      </c>
      <c r="H211" s="25"/>
      <c r="I211" s="25" t="str">
        <f>"－"</f>
        <v>－</v>
      </c>
      <c r="J211" s="25" t="n">
        <f>86</f>
        <v>86.0</v>
      </c>
      <c r="K211" s="25" t="str">
        <f>"－"</f>
        <v>－</v>
      </c>
      <c r="L211" s="2" t="s">
        <v>307</v>
      </c>
      <c r="M211" s="26" t="n">
        <f>4756</f>
        <v>4756.0</v>
      </c>
      <c r="N211" s="3" t="s">
        <v>737</v>
      </c>
      <c r="O211" s="27" t="str">
        <f>"－"</f>
        <v>－</v>
      </c>
      <c r="P211" s="29" t="s">
        <v>738</v>
      </c>
      <c r="Q211" s="25"/>
      <c r="R211" s="29" t="s">
        <v>262</v>
      </c>
      <c r="S211" s="25" t="n">
        <f>370301298</f>
        <v>3.70301298E8</v>
      </c>
      <c r="T211" s="25" t="str">
        <f>"－"</f>
        <v>－</v>
      </c>
      <c r="U211" s="3" t="s">
        <v>307</v>
      </c>
      <c r="V211" s="27" t="n">
        <f>20374018000</f>
        <v>2.0374018E10</v>
      </c>
      <c r="W211" s="3" t="s">
        <v>737</v>
      </c>
      <c r="X211" s="27" t="str">
        <f>"－"</f>
        <v>－</v>
      </c>
      <c r="Y211" s="27"/>
      <c r="Z211" s="25" t="str">
        <f>"－"</f>
        <v>－</v>
      </c>
      <c r="AA211" s="25" t="n">
        <f>4613</f>
        <v>4613.0</v>
      </c>
      <c r="AB211" s="2" t="s">
        <v>739</v>
      </c>
      <c r="AC211" s="26" t="n">
        <f>4613</f>
        <v>4613.0</v>
      </c>
      <c r="AD211" s="3" t="s">
        <v>156</v>
      </c>
      <c r="AE211" s="27" t="n">
        <f>1</f>
        <v>1.0</v>
      </c>
    </row>
    <row r="212">
      <c r="A212" s="20" t="s">
        <v>731</v>
      </c>
      <c r="B212" s="21" t="s">
        <v>732</v>
      </c>
      <c r="C212" s="22"/>
      <c r="D212" s="23"/>
      <c r="E212" s="24" t="s">
        <v>347</v>
      </c>
      <c r="F212" s="28" t="n">
        <f>124</f>
        <v>124.0</v>
      </c>
      <c r="G212" s="25" t="n">
        <f>15276</f>
        <v>15276.0</v>
      </c>
      <c r="H212" s="25"/>
      <c r="I212" s="25" t="str">
        <f>"－"</f>
        <v>－</v>
      </c>
      <c r="J212" s="25" t="n">
        <f>123</f>
        <v>123.0</v>
      </c>
      <c r="K212" s="25" t="str">
        <f>"－"</f>
        <v>－</v>
      </c>
      <c r="L212" s="2" t="s">
        <v>388</v>
      </c>
      <c r="M212" s="26" t="n">
        <f>8787</f>
        <v>8787.0</v>
      </c>
      <c r="N212" s="3" t="s">
        <v>332</v>
      </c>
      <c r="O212" s="27" t="str">
        <f>"－"</f>
        <v>－</v>
      </c>
      <c r="P212" s="29" t="s">
        <v>740</v>
      </c>
      <c r="Q212" s="25"/>
      <c r="R212" s="29" t="s">
        <v>262</v>
      </c>
      <c r="S212" s="25" t="n">
        <f>584473702</f>
        <v>5.84473702E8</v>
      </c>
      <c r="T212" s="25" t="str">
        <f>"－"</f>
        <v>－</v>
      </c>
      <c r="U212" s="3" t="s">
        <v>388</v>
      </c>
      <c r="V212" s="27" t="n">
        <f>43356176000</f>
        <v>4.3356176E10</v>
      </c>
      <c r="W212" s="3" t="s">
        <v>332</v>
      </c>
      <c r="X212" s="27" t="str">
        <f>"－"</f>
        <v>－</v>
      </c>
      <c r="Y212" s="27"/>
      <c r="Z212" s="25" t="str">
        <f>"－"</f>
        <v>－</v>
      </c>
      <c r="AA212" s="25" t="n">
        <f>9488</f>
        <v>9488.0</v>
      </c>
      <c r="AB212" s="2" t="s">
        <v>64</v>
      </c>
      <c r="AC212" s="26" t="n">
        <f>9488</f>
        <v>9488.0</v>
      </c>
      <c r="AD212" s="3" t="s">
        <v>280</v>
      </c>
      <c r="AE212" s="27" t="n">
        <f>4136</f>
        <v>4136.0</v>
      </c>
    </row>
    <row r="213">
      <c r="A213" s="20" t="s">
        <v>731</v>
      </c>
      <c r="B213" s="21" t="s">
        <v>732</v>
      </c>
      <c r="C213" s="22"/>
      <c r="D213" s="23"/>
      <c r="E213" s="24" t="s">
        <v>351</v>
      </c>
      <c r="F213" s="28" t="n">
        <f>123</f>
        <v>123.0</v>
      </c>
      <c r="G213" s="25" t="n">
        <f>21305</f>
        <v>21305.0</v>
      </c>
      <c r="H213" s="25"/>
      <c r="I213" s="25" t="str">
        <f>"－"</f>
        <v>－</v>
      </c>
      <c r="J213" s="25" t="n">
        <f>173</f>
        <v>173.0</v>
      </c>
      <c r="K213" s="25" t="str">
        <f>"－"</f>
        <v>－</v>
      </c>
      <c r="L213" s="2" t="s">
        <v>741</v>
      </c>
      <c r="M213" s="26" t="n">
        <f>5578</f>
        <v>5578.0</v>
      </c>
      <c r="N213" s="3" t="s">
        <v>156</v>
      </c>
      <c r="O213" s="27" t="str">
        <f>"－"</f>
        <v>－</v>
      </c>
      <c r="P213" s="29" t="s">
        <v>742</v>
      </c>
      <c r="Q213" s="25"/>
      <c r="R213" s="29" t="s">
        <v>262</v>
      </c>
      <c r="S213" s="25" t="n">
        <f>692940504</f>
        <v>6.92940504E8</v>
      </c>
      <c r="T213" s="25" t="str">
        <f>"－"</f>
        <v>－</v>
      </c>
      <c r="U213" s="3" t="s">
        <v>193</v>
      </c>
      <c r="V213" s="27" t="n">
        <f>23512656000</f>
        <v>2.3512656E10</v>
      </c>
      <c r="W213" s="3" t="s">
        <v>156</v>
      </c>
      <c r="X213" s="27" t="str">
        <f>"－"</f>
        <v>－</v>
      </c>
      <c r="Y213" s="27"/>
      <c r="Z213" s="25" t="str">
        <f>"－"</f>
        <v>－</v>
      </c>
      <c r="AA213" s="25" t="n">
        <f>1404</f>
        <v>1404.0</v>
      </c>
      <c r="AB213" s="2" t="s">
        <v>743</v>
      </c>
      <c r="AC213" s="26" t="n">
        <f>14979</f>
        <v>14979.0</v>
      </c>
      <c r="AD213" s="3" t="s">
        <v>189</v>
      </c>
      <c r="AE213" s="27" t="n">
        <f>1401</f>
        <v>1401.0</v>
      </c>
    </row>
    <row r="214">
      <c r="A214" s="20" t="s">
        <v>731</v>
      </c>
      <c r="B214" s="21" t="s">
        <v>732</v>
      </c>
      <c r="C214" s="22"/>
      <c r="D214" s="23"/>
      <c r="E214" s="24" t="s">
        <v>354</v>
      </c>
      <c r="F214" s="28" t="n">
        <f>125</f>
        <v>125.0</v>
      </c>
      <c r="G214" s="25" t="n">
        <f>29240</f>
        <v>29240.0</v>
      </c>
      <c r="H214" s="25"/>
      <c r="I214" s="25" t="str">
        <f>"－"</f>
        <v>－</v>
      </c>
      <c r="J214" s="25" t="n">
        <f>234</f>
        <v>234.0</v>
      </c>
      <c r="K214" s="25" t="str">
        <f>"－"</f>
        <v>－</v>
      </c>
      <c r="L214" s="2" t="s">
        <v>744</v>
      </c>
      <c r="M214" s="26" t="n">
        <f>9943</f>
        <v>9943.0</v>
      </c>
      <c r="N214" s="3" t="s">
        <v>254</v>
      </c>
      <c r="O214" s="27" t="str">
        <f>"－"</f>
        <v>－</v>
      </c>
      <c r="P214" s="29" t="s">
        <v>745</v>
      </c>
      <c r="Q214" s="25"/>
      <c r="R214" s="29" t="s">
        <v>262</v>
      </c>
      <c r="S214" s="25" t="n">
        <f>860170488</f>
        <v>8.60170488E8</v>
      </c>
      <c r="T214" s="25" t="str">
        <f>"－"</f>
        <v>－</v>
      </c>
      <c r="U214" s="3" t="s">
        <v>744</v>
      </c>
      <c r="V214" s="27" t="n">
        <f>35397080000</f>
        <v>3.539708E10</v>
      </c>
      <c r="W214" s="3" t="s">
        <v>254</v>
      </c>
      <c r="X214" s="27" t="str">
        <f>"－"</f>
        <v>－</v>
      </c>
      <c r="Y214" s="27"/>
      <c r="Z214" s="25" t="str">
        <f>"－"</f>
        <v>－</v>
      </c>
      <c r="AA214" s="25" t="n">
        <f>1601</f>
        <v>1601.0</v>
      </c>
      <c r="AB214" s="2" t="s">
        <v>309</v>
      </c>
      <c r="AC214" s="26" t="n">
        <f>11348</f>
        <v>11348.0</v>
      </c>
      <c r="AD214" s="3" t="s">
        <v>633</v>
      </c>
      <c r="AE214" s="27" t="n">
        <f>1404</f>
        <v>1404.0</v>
      </c>
    </row>
    <row r="215">
      <c r="A215" s="20" t="s">
        <v>731</v>
      </c>
      <c r="B215" s="21" t="s">
        <v>732</v>
      </c>
      <c r="C215" s="22"/>
      <c r="D215" s="23"/>
      <c r="E215" s="24" t="s">
        <v>357</v>
      </c>
      <c r="F215" s="28" t="n">
        <f>121</f>
        <v>121.0</v>
      </c>
      <c r="G215" s="25" t="n">
        <f>6780</f>
        <v>6780.0</v>
      </c>
      <c r="H215" s="25"/>
      <c r="I215" s="25" t="str">
        <f>"－"</f>
        <v>－</v>
      </c>
      <c r="J215" s="25" t="n">
        <f>56</f>
        <v>56.0</v>
      </c>
      <c r="K215" s="25" t="str">
        <f>"－"</f>
        <v>－</v>
      </c>
      <c r="L215" s="2" t="s">
        <v>746</v>
      </c>
      <c r="M215" s="26" t="n">
        <f>4100</f>
        <v>4100.0</v>
      </c>
      <c r="N215" s="3" t="s">
        <v>156</v>
      </c>
      <c r="O215" s="27" t="str">
        <f>"－"</f>
        <v>－</v>
      </c>
      <c r="P215" s="29" t="s">
        <v>747</v>
      </c>
      <c r="Q215" s="25"/>
      <c r="R215" s="29" t="s">
        <v>262</v>
      </c>
      <c r="S215" s="25" t="n">
        <f>186379463</f>
        <v>1.86379463E8</v>
      </c>
      <c r="T215" s="25" t="str">
        <f>"－"</f>
        <v>－</v>
      </c>
      <c r="U215" s="3" t="s">
        <v>746</v>
      </c>
      <c r="V215" s="27" t="n">
        <f>14058000000</f>
        <v>1.4058E10</v>
      </c>
      <c r="W215" s="3" t="s">
        <v>156</v>
      </c>
      <c r="X215" s="27" t="str">
        <f>"－"</f>
        <v>－</v>
      </c>
      <c r="Y215" s="27"/>
      <c r="Z215" s="25" t="str">
        <f>"－"</f>
        <v>－</v>
      </c>
      <c r="AA215" s="25" t="n">
        <f>1920</f>
        <v>1920.0</v>
      </c>
      <c r="AB215" s="2" t="s">
        <v>746</v>
      </c>
      <c r="AC215" s="26" t="n">
        <f>2588</f>
        <v>2588.0</v>
      </c>
      <c r="AD215" s="3" t="s">
        <v>189</v>
      </c>
      <c r="AE215" s="27" t="n">
        <f>1400</f>
        <v>1400.0</v>
      </c>
    </row>
    <row r="216">
      <c r="A216" s="20" t="s">
        <v>731</v>
      </c>
      <c r="B216" s="21" t="s">
        <v>732</v>
      </c>
      <c r="C216" s="22"/>
      <c r="D216" s="23"/>
      <c r="E216" s="24" t="s">
        <v>361</v>
      </c>
      <c r="F216" s="28" t="n">
        <f>125</f>
        <v>125.0</v>
      </c>
      <c r="G216" s="25" t="n">
        <f>6518</f>
        <v>6518.0</v>
      </c>
      <c r="H216" s="25"/>
      <c r="I216" s="25" t="n">
        <f>1680</f>
        <v>1680.0</v>
      </c>
      <c r="J216" s="25" t="n">
        <f>52</f>
        <v>52.0</v>
      </c>
      <c r="K216" s="25" t="n">
        <f>13</f>
        <v>13.0</v>
      </c>
      <c r="L216" s="2" t="s">
        <v>95</v>
      </c>
      <c r="M216" s="26" t="n">
        <f>2800</f>
        <v>2800.0</v>
      </c>
      <c r="N216" s="3" t="s">
        <v>633</v>
      </c>
      <c r="O216" s="27" t="str">
        <f>"－"</f>
        <v>－</v>
      </c>
      <c r="P216" s="29" t="s">
        <v>748</v>
      </c>
      <c r="Q216" s="25"/>
      <c r="R216" s="29" t="s">
        <v>749</v>
      </c>
      <c r="S216" s="25" t="n">
        <f>134618760</f>
        <v>1.3461876E8</v>
      </c>
      <c r="T216" s="25" t="n">
        <f>27283200</f>
        <v>2.72832E7</v>
      </c>
      <c r="U216" s="3" t="s">
        <v>95</v>
      </c>
      <c r="V216" s="27" t="n">
        <f>7819000000</f>
        <v>7.819E9</v>
      </c>
      <c r="W216" s="3" t="s">
        <v>633</v>
      </c>
      <c r="X216" s="27" t="str">
        <f>"－"</f>
        <v>－</v>
      </c>
      <c r="Y216" s="27"/>
      <c r="Z216" s="25" t="str">
        <f>"－"</f>
        <v>－</v>
      </c>
      <c r="AA216" s="25" t="n">
        <f>2240</f>
        <v>2240.0</v>
      </c>
      <c r="AB216" s="2" t="s">
        <v>750</v>
      </c>
      <c r="AC216" s="26" t="n">
        <f>2478</f>
        <v>2478.0</v>
      </c>
      <c r="AD216" s="3" t="s">
        <v>545</v>
      </c>
      <c r="AE216" s="27" t="n">
        <f>1435</f>
        <v>1435.0</v>
      </c>
    </row>
    <row r="217">
      <c r="A217" s="20" t="s">
        <v>731</v>
      </c>
      <c r="B217" s="21" t="s">
        <v>732</v>
      </c>
      <c r="C217" s="22"/>
      <c r="D217" s="23"/>
      <c r="E217" s="24" t="s">
        <v>365</v>
      </c>
      <c r="F217" s="28" t="n">
        <f>120</f>
        <v>120.0</v>
      </c>
      <c r="G217" s="25" t="n">
        <f>36113</f>
        <v>36113.0</v>
      </c>
      <c r="H217" s="25"/>
      <c r="I217" s="25" t="n">
        <f>34274</f>
        <v>34274.0</v>
      </c>
      <c r="J217" s="25" t="n">
        <f>301</f>
        <v>301.0</v>
      </c>
      <c r="K217" s="25" t="n">
        <f>286</f>
        <v>286.0</v>
      </c>
      <c r="L217" s="2" t="s">
        <v>751</v>
      </c>
      <c r="M217" s="26" t="n">
        <f>2802</f>
        <v>2802.0</v>
      </c>
      <c r="N217" s="3" t="s">
        <v>156</v>
      </c>
      <c r="O217" s="27" t="str">
        <f>"－"</f>
        <v>－</v>
      </c>
      <c r="P217" s="29" t="s">
        <v>752</v>
      </c>
      <c r="Q217" s="25"/>
      <c r="R217" s="29" t="s">
        <v>753</v>
      </c>
      <c r="S217" s="25" t="n">
        <f>632742350</f>
        <v>6.3274235E8</v>
      </c>
      <c r="T217" s="25" t="n">
        <f>600549342</f>
        <v>6.00549342E8</v>
      </c>
      <c r="U217" s="3" t="s">
        <v>751</v>
      </c>
      <c r="V217" s="27" t="n">
        <f>5797216000</f>
        <v>5.797216E9</v>
      </c>
      <c r="W217" s="3" t="s">
        <v>156</v>
      </c>
      <c r="X217" s="27" t="str">
        <f>"－"</f>
        <v>－</v>
      </c>
      <c r="Y217" s="27"/>
      <c r="Z217" s="25" t="str">
        <f>"－"</f>
        <v>－</v>
      </c>
      <c r="AA217" s="25" t="n">
        <f>11313</f>
        <v>11313.0</v>
      </c>
      <c r="AB217" s="2" t="s">
        <v>754</v>
      </c>
      <c r="AC217" s="26" t="n">
        <f>22591</f>
        <v>22591.0</v>
      </c>
      <c r="AD217" s="3" t="s">
        <v>156</v>
      </c>
      <c r="AE217" s="27" t="n">
        <f>2240</f>
        <v>2240.0</v>
      </c>
    </row>
    <row r="218">
      <c r="A218" s="20" t="s">
        <v>731</v>
      </c>
      <c r="B218" s="21" t="s">
        <v>732</v>
      </c>
      <c r="C218" s="22"/>
      <c r="D218" s="23"/>
      <c r="E218" s="24" t="s">
        <v>370</v>
      </c>
      <c r="F218" s="28" t="n">
        <f>126</f>
        <v>126.0</v>
      </c>
      <c r="G218" s="25" t="n">
        <f>105638</f>
        <v>105638.0</v>
      </c>
      <c r="H218" s="25"/>
      <c r="I218" s="25" t="n">
        <f>105573</f>
        <v>105573.0</v>
      </c>
      <c r="J218" s="25" t="n">
        <f>838</f>
        <v>838.0</v>
      </c>
      <c r="K218" s="25" t="n">
        <f>838</f>
        <v>838.0</v>
      </c>
      <c r="L218" s="2" t="s">
        <v>49</v>
      </c>
      <c r="M218" s="26" t="n">
        <f>21229</f>
        <v>21229.0</v>
      </c>
      <c r="N218" s="3" t="s">
        <v>68</v>
      </c>
      <c r="O218" s="27" t="str">
        <f>"－"</f>
        <v>－</v>
      </c>
      <c r="P218" s="29" t="s">
        <v>755</v>
      </c>
      <c r="Q218" s="25"/>
      <c r="R218" s="29" t="s">
        <v>756</v>
      </c>
      <c r="S218" s="25" t="n">
        <f>1443351897</f>
        <v>1.443351897E9</v>
      </c>
      <c r="T218" s="25" t="n">
        <f>1442345405</f>
        <v>1.442345405E9</v>
      </c>
      <c r="U218" s="3" t="s">
        <v>49</v>
      </c>
      <c r="V218" s="27" t="n">
        <f>33546929000</f>
        <v>3.3546929E10</v>
      </c>
      <c r="W218" s="3" t="s">
        <v>68</v>
      </c>
      <c r="X218" s="27" t="str">
        <f>"－"</f>
        <v>－</v>
      </c>
      <c r="Y218" s="27"/>
      <c r="Z218" s="25" t="str">
        <f>"－"</f>
        <v>－</v>
      </c>
      <c r="AA218" s="25" t="n">
        <f>24423</f>
        <v>24423.0</v>
      </c>
      <c r="AB218" s="2" t="s">
        <v>95</v>
      </c>
      <c r="AC218" s="26" t="n">
        <f>32521</f>
        <v>32521.0</v>
      </c>
      <c r="AD218" s="3" t="s">
        <v>68</v>
      </c>
      <c r="AE218" s="27" t="n">
        <f>11313</f>
        <v>11313.0</v>
      </c>
    </row>
    <row r="219">
      <c r="A219" s="20" t="s">
        <v>731</v>
      </c>
      <c r="B219" s="21" t="s">
        <v>732</v>
      </c>
      <c r="C219" s="22"/>
      <c r="D219" s="23"/>
      <c r="E219" s="24" t="s">
        <v>374</v>
      </c>
      <c r="F219" s="28" t="n">
        <f>121</f>
        <v>121.0</v>
      </c>
      <c r="G219" s="25" t="n">
        <f>122008</f>
        <v>122008.0</v>
      </c>
      <c r="H219" s="25"/>
      <c r="I219" s="25" t="n">
        <f>121970</f>
        <v>121970.0</v>
      </c>
      <c r="J219" s="25" t="n">
        <f>1008</f>
        <v>1008.0</v>
      </c>
      <c r="K219" s="25" t="n">
        <f>1008</f>
        <v>1008.0</v>
      </c>
      <c r="L219" s="2" t="s">
        <v>84</v>
      </c>
      <c r="M219" s="26" t="n">
        <f>49787</f>
        <v>49787.0</v>
      </c>
      <c r="N219" s="3" t="s">
        <v>369</v>
      </c>
      <c r="O219" s="27" t="str">
        <f>"－"</f>
        <v>－</v>
      </c>
      <c r="P219" s="29" t="s">
        <v>757</v>
      </c>
      <c r="Q219" s="25"/>
      <c r="R219" s="29" t="s">
        <v>758</v>
      </c>
      <c r="S219" s="25" t="n">
        <f>1441838017</f>
        <v>1.441838017E9</v>
      </c>
      <c r="T219" s="25" t="n">
        <f>1441358331</f>
        <v>1.441358331E9</v>
      </c>
      <c r="U219" s="3" t="s">
        <v>84</v>
      </c>
      <c r="V219" s="27" t="n">
        <f>70145122000</f>
        <v>7.0145122E10</v>
      </c>
      <c r="W219" s="3" t="s">
        <v>369</v>
      </c>
      <c r="X219" s="27" t="str">
        <f>"－"</f>
        <v>－</v>
      </c>
      <c r="Y219" s="27"/>
      <c r="Z219" s="25" t="str">
        <f>"－"</f>
        <v>－</v>
      </c>
      <c r="AA219" s="25" t="n">
        <f>17692</f>
        <v>17692.0</v>
      </c>
      <c r="AB219" s="2" t="s">
        <v>84</v>
      </c>
      <c r="AC219" s="26" t="n">
        <f>27009</f>
        <v>27009.0</v>
      </c>
      <c r="AD219" s="3" t="s">
        <v>251</v>
      </c>
      <c r="AE219" s="27" t="n">
        <f>17692</f>
        <v>17692.0</v>
      </c>
    </row>
    <row r="220">
      <c r="A220" s="20" t="s">
        <v>731</v>
      </c>
      <c r="B220" s="21" t="s">
        <v>732</v>
      </c>
      <c r="C220" s="22"/>
      <c r="D220" s="23"/>
      <c r="E220" s="24" t="s">
        <v>379</v>
      </c>
      <c r="F220" s="28" t="n">
        <f>124</f>
        <v>124.0</v>
      </c>
      <c r="G220" s="25" t="n">
        <f>18323</f>
        <v>18323.0</v>
      </c>
      <c r="H220" s="25"/>
      <c r="I220" s="25" t="n">
        <f>18292</f>
        <v>18292.0</v>
      </c>
      <c r="J220" s="25" t="n">
        <f>148</f>
        <v>148.0</v>
      </c>
      <c r="K220" s="25" t="n">
        <f>148</f>
        <v>148.0</v>
      </c>
      <c r="L220" s="2" t="s">
        <v>298</v>
      </c>
      <c r="M220" s="26" t="n">
        <f>4196</f>
        <v>4196.0</v>
      </c>
      <c r="N220" s="3" t="s">
        <v>68</v>
      </c>
      <c r="O220" s="27" t="str">
        <f>"－"</f>
        <v>－</v>
      </c>
      <c r="P220" s="29" t="s">
        <v>759</v>
      </c>
      <c r="Q220" s="25"/>
      <c r="R220" s="29" t="s">
        <v>760</v>
      </c>
      <c r="S220" s="25" t="n">
        <f>242018444</f>
        <v>2.42018444E8</v>
      </c>
      <c r="T220" s="25" t="n">
        <f>241582621</f>
        <v>2.41582621E8</v>
      </c>
      <c r="U220" s="3" t="s">
        <v>298</v>
      </c>
      <c r="V220" s="27" t="n">
        <f>6797520000</f>
        <v>6.79752E9</v>
      </c>
      <c r="W220" s="3" t="s">
        <v>68</v>
      </c>
      <c r="X220" s="27" t="str">
        <f>"－"</f>
        <v>－</v>
      </c>
      <c r="Y220" s="27"/>
      <c r="Z220" s="25" t="str">
        <f>"－"</f>
        <v>－</v>
      </c>
      <c r="AA220" s="25" t="n">
        <f>201</f>
        <v>201.0</v>
      </c>
      <c r="AB220" s="2" t="s">
        <v>68</v>
      </c>
      <c r="AC220" s="26" t="n">
        <f>17692</f>
        <v>17692.0</v>
      </c>
      <c r="AD220" s="3" t="s">
        <v>761</v>
      </c>
      <c r="AE220" s="27" t="n">
        <f>201</f>
        <v>201.0</v>
      </c>
    </row>
    <row r="221">
      <c r="A221" s="20" t="s">
        <v>731</v>
      </c>
      <c r="B221" s="21" t="s">
        <v>732</v>
      </c>
      <c r="C221" s="22"/>
      <c r="D221" s="23"/>
      <c r="E221" s="24" t="s">
        <v>382</v>
      </c>
      <c r="F221" s="28" t="n">
        <f>122</f>
        <v>122.0</v>
      </c>
      <c r="G221" s="25" t="n">
        <f>601</f>
        <v>601.0</v>
      </c>
      <c r="H221" s="25"/>
      <c r="I221" s="25" t="n">
        <f>600</f>
        <v>600.0</v>
      </c>
      <c r="J221" s="25" t="n">
        <f>5</f>
        <v>5.0</v>
      </c>
      <c r="K221" s="25" t="n">
        <f>5</f>
        <v>5.0</v>
      </c>
      <c r="L221" s="2" t="s">
        <v>56</v>
      </c>
      <c r="M221" s="26" t="n">
        <f>401</f>
        <v>401.0</v>
      </c>
      <c r="N221" s="3" t="s">
        <v>147</v>
      </c>
      <c r="O221" s="27" t="str">
        <f>"－"</f>
        <v>－</v>
      </c>
      <c r="P221" s="29" t="s">
        <v>762</v>
      </c>
      <c r="Q221" s="25"/>
      <c r="R221" s="29" t="s">
        <v>763</v>
      </c>
      <c r="S221" s="25" t="n">
        <f>12437279</f>
        <v>1.2437279E7</v>
      </c>
      <c r="T221" s="25" t="n">
        <f>12416393</f>
        <v>1.2416393E7</v>
      </c>
      <c r="U221" s="3" t="s">
        <v>56</v>
      </c>
      <c r="V221" s="27" t="n">
        <f>1019348000</f>
        <v>1.019348E9</v>
      </c>
      <c r="W221" s="3" t="s">
        <v>147</v>
      </c>
      <c r="X221" s="27" t="str">
        <f>"－"</f>
        <v>－</v>
      </c>
      <c r="Y221" s="27"/>
      <c r="Z221" s="25" t="str">
        <f>"－"</f>
        <v>－</v>
      </c>
      <c r="AA221" s="25" t="n">
        <f>1</f>
        <v>1.0</v>
      </c>
      <c r="AB221" s="2" t="s">
        <v>56</v>
      </c>
      <c r="AC221" s="26" t="n">
        <f>202</f>
        <v>202.0</v>
      </c>
      <c r="AD221" s="3" t="s">
        <v>566</v>
      </c>
      <c r="AE221" s="27" t="n">
        <f>1</f>
        <v>1.0</v>
      </c>
    </row>
    <row r="222">
      <c r="A222" s="20" t="s">
        <v>731</v>
      </c>
      <c r="B222" s="21" t="s">
        <v>732</v>
      </c>
      <c r="C222" s="22"/>
      <c r="D222" s="23"/>
      <c r="E222" s="24" t="s">
        <v>385</v>
      </c>
      <c r="F222" s="28" t="n">
        <f>124</f>
        <v>124.0</v>
      </c>
      <c r="G222" s="25" t="str">
        <f>"－"</f>
        <v>－</v>
      </c>
      <c r="H222" s="25"/>
      <c r="I222" s="25" t="str">
        <f>"－"</f>
        <v>－</v>
      </c>
      <c r="J222" s="25" t="str">
        <f>"－"</f>
        <v>－</v>
      </c>
      <c r="K222" s="25" t="str">
        <f>"－"</f>
        <v>－</v>
      </c>
      <c r="L222" s="2" t="s">
        <v>68</v>
      </c>
      <c r="M222" s="26" t="str">
        <f>"－"</f>
        <v>－</v>
      </c>
      <c r="N222" s="3" t="s">
        <v>68</v>
      </c>
      <c r="O222" s="27" t="str">
        <f>"－"</f>
        <v>－</v>
      </c>
      <c r="P222" s="29" t="s">
        <v>262</v>
      </c>
      <c r="Q222" s="25"/>
      <c r="R222" s="29" t="s">
        <v>262</v>
      </c>
      <c r="S222" s="25" t="str">
        <f>"－"</f>
        <v>－</v>
      </c>
      <c r="T222" s="25" t="str">
        <f>"－"</f>
        <v>－</v>
      </c>
      <c r="U222" s="3" t="s">
        <v>68</v>
      </c>
      <c r="V222" s="27" t="str">
        <f>"－"</f>
        <v>－</v>
      </c>
      <c r="W222" s="3" t="s">
        <v>68</v>
      </c>
      <c r="X222" s="27" t="str">
        <f>"－"</f>
        <v>－</v>
      </c>
      <c r="Y222" s="27"/>
      <c r="Z222" s="25" t="str">
        <f>"－"</f>
        <v>－</v>
      </c>
      <c r="AA222" s="25" t="str">
        <f>"－"</f>
        <v>－</v>
      </c>
      <c r="AB222" s="2" t="s">
        <v>68</v>
      </c>
      <c r="AC222" s="26" t="n">
        <f>1</f>
        <v>1.0</v>
      </c>
      <c r="AD222" s="3" t="s">
        <v>82</v>
      </c>
      <c r="AE222" s="27" t="str">
        <f>"－"</f>
        <v>－</v>
      </c>
    </row>
    <row r="223">
      <c r="A223" s="20" t="s">
        <v>731</v>
      </c>
      <c r="B223" s="21" t="s">
        <v>732</v>
      </c>
      <c r="C223" s="22"/>
      <c r="D223" s="23"/>
      <c r="E223" s="24" t="s">
        <v>389</v>
      </c>
      <c r="F223" s="28" t="n">
        <f>121</f>
        <v>121.0</v>
      </c>
      <c r="G223" s="25" t="str">
        <f>"－"</f>
        <v>－</v>
      </c>
      <c r="H223" s="25"/>
      <c r="I223" s="25" t="str">
        <f>"－"</f>
        <v>－</v>
      </c>
      <c r="J223" s="25" t="str">
        <f>"－"</f>
        <v>－</v>
      </c>
      <c r="K223" s="25" t="str">
        <f>"－"</f>
        <v>－</v>
      </c>
      <c r="L223" s="2" t="s">
        <v>156</v>
      </c>
      <c r="M223" s="26" t="str">
        <f>"－"</f>
        <v>－</v>
      </c>
      <c r="N223" s="3" t="s">
        <v>156</v>
      </c>
      <c r="O223" s="27" t="str">
        <f>"－"</f>
        <v>－</v>
      </c>
      <c r="P223" s="29" t="s">
        <v>262</v>
      </c>
      <c r="Q223" s="25"/>
      <c r="R223" s="29" t="s">
        <v>262</v>
      </c>
      <c r="S223" s="25" t="str">
        <f>"－"</f>
        <v>－</v>
      </c>
      <c r="T223" s="25" t="str">
        <f>"－"</f>
        <v>－</v>
      </c>
      <c r="U223" s="3" t="s">
        <v>156</v>
      </c>
      <c r="V223" s="27" t="str">
        <f>"－"</f>
        <v>－</v>
      </c>
      <c r="W223" s="3" t="s">
        <v>156</v>
      </c>
      <c r="X223" s="27" t="str">
        <f>"－"</f>
        <v>－</v>
      </c>
      <c r="Y223" s="27"/>
      <c r="Z223" s="25" t="str">
        <f>"－"</f>
        <v>－</v>
      </c>
      <c r="AA223" s="25" t="str">
        <f>"－"</f>
        <v>－</v>
      </c>
      <c r="AB223" s="2" t="s">
        <v>156</v>
      </c>
      <c r="AC223" s="26" t="str">
        <f>"－"</f>
        <v>－</v>
      </c>
      <c r="AD223" s="3" t="s">
        <v>156</v>
      </c>
      <c r="AE223" s="27" t="str">
        <f>"－"</f>
        <v>－</v>
      </c>
    </row>
    <row r="224">
      <c r="A224" s="20" t="s">
        <v>731</v>
      </c>
      <c r="B224" s="21" t="s">
        <v>732</v>
      </c>
      <c r="C224" s="22"/>
      <c r="D224" s="23"/>
      <c r="E224" s="24" t="s">
        <v>392</v>
      </c>
      <c r="F224" s="28" t="n">
        <f>124</f>
        <v>124.0</v>
      </c>
      <c r="G224" s="25" t="str">
        <f>"－"</f>
        <v>－</v>
      </c>
      <c r="H224" s="25"/>
      <c r="I224" s="25" t="str">
        <f>"－"</f>
        <v>－</v>
      </c>
      <c r="J224" s="25" t="str">
        <f>"－"</f>
        <v>－</v>
      </c>
      <c r="K224" s="25" t="str">
        <f>"－"</f>
        <v>－</v>
      </c>
      <c r="L224" s="2" t="s">
        <v>68</v>
      </c>
      <c r="M224" s="26" t="str">
        <f>"－"</f>
        <v>－</v>
      </c>
      <c r="N224" s="3" t="s">
        <v>68</v>
      </c>
      <c r="O224" s="27" t="str">
        <f>"－"</f>
        <v>－</v>
      </c>
      <c r="P224" s="29" t="s">
        <v>262</v>
      </c>
      <c r="Q224" s="25"/>
      <c r="R224" s="29" t="s">
        <v>262</v>
      </c>
      <c r="S224" s="25" t="str">
        <f>"－"</f>
        <v>－</v>
      </c>
      <c r="T224" s="25" t="str">
        <f>"－"</f>
        <v>－</v>
      </c>
      <c r="U224" s="3" t="s">
        <v>68</v>
      </c>
      <c r="V224" s="27" t="str">
        <f>"－"</f>
        <v>－</v>
      </c>
      <c r="W224" s="3" t="s">
        <v>68</v>
      </c>
      <c r="X224" s="27" t="str">
        <f>"－"</f>
        <v>－</v>
      </c>
      <c r="Y224" s="27"/>
      <c r="Z224" s="25" t="str">
        <f>"－"</f>
        <v>－</v>
      </c>
      <c r="AA224" s="25" t="str">
        <f>"－"</f>
        <v>－</v>
      </c>
      <c r="AB224" s="2" t="s">
        <v>68</v>
      </c>
      <c r="AC224" s="26" t="str">
        <f>"－"</f>
        <v>－</v>
      </c>
      <c r="AD224" s="3" t="s">
        <v>68</v>
      </c>
      <c r="AE224" s="27" t="str">
        <f>"－"</f>
        <v>－</v>
      </c>
    </row>
    <row r="225">
      <c r="A225" s="20" t="s">
        <v>731</v>
      </c>
      <c r="B225" s="21" t="s">
        <v>732</v>
      </c>
      <c r="C225" s="22"/>
      <c r="D225" s="23"/>
      <c r="E225" s="24" t="s">
        <v>396</v>
      </c>
      <c r="F225" s="28" t="n">
        <f>123</f>
        <v>123.0</v>
      </c>
      <c r="G225" s="25" t="str">
        <f>"－"</f>
        <v>－</v>
      </c>
      <c r="H225" s="25"/>
      <c r="I225" s="25" t="str">
        <f>"－"</f>
        <v>－</v>
      </c>
      <c r="J225" s="25" t="str">
        <f>"－"</f>
        <v>－</v>
      </c>
      <c r="K225" s="25" t="str">
        <f>"－"</f>
        <v>－</v>
      </c>
      <c r="L225" s="2" t="s">
        <v>156</v>
      </c>
      <c r="M225" s="26" t="str">
        <f>"－"</f>
        <v>－</v>
      </c>
      <c r="N225" s="3" t="s">
        <v>156</v>
      </c>
      <c r="O225" s="27" t="str">
        <f>"－"</f>
        <v>－</v>
      </c>
      <c r="P225" s="29" t="s">
        <v>262</v>
      </c>
      <c r="Q225" s="25"/>
      <c r="R225" s="29" t="s">
        <v>262</v>
      </c>
      <c r="S225" s="25" t="str">
        <f>"－"</f>
        <v>－</v>
      </c>
      <c r="T225" s="25" t="str">
        <f>"－"</f>
        <v>－</v>
      </c>
      <c r="U225" s="3" t="s">
        <v>156</v>
      </c>
      <c r="V225" s="27" t="str">
        <f>"－"</f>
        <v>－</v>
      </c>
      <c r="W225" s="3" t="s">
        <v>156</v>
      </c>
      <c r="X225" s="27" t="str">
        <f>"－"</f>
        <v>－</v>
      </c>
      <c r="Y225" s="27"/>
      <c r="Z225" s="25" t="str">
        <f>"－"</f>
        <v>－</v>
      </c>
      <c r="AA225" s="25" t="str">
        <f>"－"</f>
        <v>－</v>
      </c>
      <c r="AB225" s="2" t="s">
        <v>156</v>
      </c>
      <c r="AC225" s="26" t="str">
        <f>"－"</f>
        <v>－</v>
      </c>
      <c r="AD225" s="3" t="s">
        <v>156</v>
      </c>
      <c r="AE225" s="27" t="str">
        <f>"－"</f>
        <v>－</v>
      </c>
    </row>
    <row r="226">
      <c r="A226" s="20" t="s">
        <v>731</v>
      </c>
      <c r="B226" s="21" t="s">
        <v>732</v>
      </c>
      <c r="C226" s="22"/>
      <c r="D226" s="23"/>
      <c r="E226" s="24" t="s">
        <v>401</v>
      </c>
      <c r="F226" s="28" t="n">
        <f>125</f>
        <v>125.0</v>
      </c>
      <c r="G226" s="25" t="str">
        <f>"－"</f>
        <v>－</v>
      </c>
      <c r="H226" s="25"/>
      <c r="I226" s="25" t="str">
        <f>"－"</f>
        <v>－</v>
      </c>
      <c r="J226" s="25" t="str">
        <f>"－"</f>
        <v>－</v>
      </c>
      <c r="K226" s="25" t="str">
        <f>"－"</f>
        <v>－</v>
      </c>
      <c r="L226" s="2" t="s">
        <v>633</v>
      </c>
      <c r="M226" s="26" t="str">
        <f>"－"</f>
        <v>－</v>
      </c>
      <c r="N226" s="3" t="s">
        <v>633</v>
      </c>
      <c r="O226" s="27" t="str">
        <f>"－"</f>
        <v>－</v>
      </c>
      <c r="P226" s="29" t="s">
        <v>262</v>
      </c>
      <c r="Q226" s="25"/>
      <c r="R226" s="29" t="s">
        <v>262</v>
      </c>
      <c r="S226" s="25" t="str">
        <f>"－"</f>
        <v>－</v>
      </c>
      <c r="T226" s="25" t="str">
        <f>"－"</f>
        <v>－</v>
      </c>
      <c r="U226" s="3" t="s">
        <v>633</v>
      </c>
      <c r="V226" s="27" t="str">
        <f>"－"</f>
        <v>－</v>
      </c>
      <c r="W226" s="3" t="s">
        <v>633</v>
      </c>
      <c r="X226" s="27" t="str">
        <f>"－"</f>
        <v>－</v>
      </c>
      <c r="Y226" s="27"/>
      <c r="Z226" s="25" t="str">
        <f>"－"</f>
        <v>－</v>
      </c>
      <c r="AA226" s="25" t="str">
        <f>"－"</f>
        <v>－</v>
      </c>
      <c r="AB226" s="2" t="s">
        <v>633</v>
      </c>
      <c r="AC226" s="26" t="str">
        <f>"－"</f>
        <v>－</v>
      </c>
      <c r="AD226" s="3" t="s">
        <v>633</v>
      </c>
      <c r="AE226" s="27" t="str">
        <f>"－"</f>
        <v>－</v>
      </c>
    </row>
    <row r="227">
      <c r="A227" s="20" t="s">
        <v>731</v>
      </c>
      <c r="B227" s="21" t="s">
        <v>732</v>
      </c>
      <c r="C227" s="22"/>
      <c r="D227" s="23"/>
      <c r="E227" s="24" t="s">
        <v>404</v>
      </c>
      <c r="F227" s="28" t="n">
        <f>121</f>
        <v>121.0</v>
      </c>
      <c r="G227" s="25" t="str">
        <f>"－"</f>
        <v>－</v>
      </c>
      <c r="H227" s="25"/>
      <c r="I227" s="25" t="str">
        <f>"－"</f>
        <v>－</v>
      </c>
      <c r="J227" s="25" t="str">
        <f>"－"</f>
        <v>－</v>
      </c>
      <c r="K227" s="25" t="str">
        <f>"－"</f>
        <v>－</v>
      </c>
      <c r="L227" s="2" t="s">
        <v>156</v>
      </c>
      <c r="M227" s="26" t="str">
        <f>"－"</f>
        <v>－</v>
      </c>
      <c r="N227" s="3" t="s">
        <v>156</v>
      </c>
      <c r="O227" s="27" t="str">
        <f>"－"</f>
        <v>－</v>
      </c>
      <c r="P227" s="29" t="s">
        <v>262</v>
      </c>
      <c r="Q227" s="25"/>
      <c r="R227" s="29" t="s">
        <v>262</v>
      </c>
      <c r="S227" s="25" t="str">
        <f>"－"</f>
        <v>－</v>
      </c>
      <c r="T227" s="25" t="str">
        <f>"－"</f>
        <v>－</v>
      </c>
      <c r="U227" s="3" t="s">
        <v>156</v>
      </c>
      <c r="V227" s="27" t="str">
        <f>"－"</f>
        <v>－</v>
      </c>
      <c r="W227" s="3" t="s">
        <v>156</v>
      </c>
      <c r="X227" s="27" t="str">
        <f>"－"</f>
        <v>－</v>
      </c>
      <c r="Y227" s="27"/>
      <c r="Z227" s="25" t="str">
        <f>"－"</f>
        <v>－</v>
      </c>
      <c r="AA227" s="25" t="str">
        <f>"－"</f>
        <v>－</v>
      </c>
      <c r="AB227" s="2" t="s">
        <v>156</v>
      </c>
      <c r="AC227" s="26" t="str">
        <f>"－"</f>
        <v>－</v>
      </c>
      <c r="AD227" s="3" t="s">
        <v>156</v>
      </c>
      <c r="AE227" s="27" t="str">
        <f>"－"</f>
        <v>－</v>
      </c>
    </row>
    <row r="228">
      <c r="A228" s="20" t="s">
        <v>731</v>
      </c>
      <c r="B228" s="21" t="s">
        <v>732</v>
      </c>
      <c r="C228" s="22"/>
      <c r="D228" s="23"/>
      <c r="E228" s="24" t="s">
        <v>407</v>
      </c>
      <c r="F228" s="28" t="n">
        <f>124</f>
        <v>124.0</v>
      </c>
      <c r="G228" s="25" t="str">
        <f>"－"</f>
        <v>－</v>
      </c>
      <c r="H228" s="25"/>
      <c r="I228" s="25" t="str">
        <f>"－"</f>
        <v>－</v>
      </c>
      <c r="J228" s="25" t="str">
        <f>"－"</f>
        <v>－</v>
      </c>
      <c r="K228" s="25" t="str">
        <f>"－"</f>
        <v>－</v>
      </c>
      <c r="L228" s="2" t="s">
        <v>215</v>
      </c>
      <c r="M228" s="26" t="str">
        <f>"－"</f>
        <v>－</v>
      </c>
      <c r="N228" s="3" t="s">
        <v>215</v>
      </c>
      <c r="O228" s="27" t="str">
        <f>"－"</f>
        <v>－</v>
      </c>
      <c r="P228" s="29" t="s">
        <v>262</v>
      </c>
      <c r="Q228" s="25"/>
      <c r="R228" s="29" t="s">
        <v>262</v>
      </c>
      <c r="S228" s="25" t="str">
        <f>"－"</f>
        <v>－</v>
      </c>
      <c r="T228" s="25" t="str">
        <f>"－"</f>
        <v>－</v>
      </c>
      <c r="U228" s="3" t="s">
        <v>215</v>
      </c>
      <c r="V228" s="27" t="str">
        <f>"－"</f>
        <v>－</v>
      </c>
      <c r="W228" s="3" t="s">
        <v>215</v>
      </c>
      <c r="X228" s="27" t="str">
        <f>"－"</f>
        <v>－</v>
      </c>
      <c r="Y228" s="27"/>
      <c r="Z228" s="25" t="str">
        <f>"－"</f>
        <v>－</v>
      </c>
      <c r="AA228" s="25" t="str">
        <f>"－"</f>
        <v>－</v>
      </c>
      <c r="AB228" s="2" t="s">
        <v>215</v>
      </c>
      <c r="AC228" s="26" t="str">
        <f>"－"</f>
        <v>－</v>
      </c>
      <c r="AD228" s="3" t="s">
        <v>215</v>
      </c>
      <c r="AE228" s="27" t="str">
        <f>"－"</f>
        <v>－</v>
      </c>
    </row>
    <row r="229">
      <c r="A229" s="20" t="s">
        <v>731</v>
      </c>
      <c r="B229" s="21" t="s">
        <v>732</v>
      </c>
      <c r="C229" s="22"/>
      <c r="D229" s="23"/>
      <c r="E229" s="24" t="s">
        <v>410</v>
      </c>
      <c r="F229" s="28" t="n">
        <f>121</f>
        <v>121.0</v>
      </c>
      <c r="G229" s="25" t="str">
        <f>"－"</f>
        <v>－</v>
      </c>
      <c r="H229" s="25"/>
      <c r="I229" s="25" t="str">
        <f>"－"</f>
        <v>－</v>
      </c>
      <c r="J229" s="25" t="str">
        <f>"－"</f>
        <v>－</v>
      </c>
      <c r="K229" s="25" t="str">
        <f>"－"</f>
        <v>－</v>
      </c>
      <c r="L229" s="2" t="s">
        <v>156</v>
      </c>
      <c r="M229" s="26" t="str">
        <f>"－"</f>
        <v>－</v>
      </c>
      <c r="N229" s="3" t="s">
        <v>156</v>
      </c>
      <c r="O229" s="27" t="str">
        <f>"－"</f>
        <v>－</v>
      </c>
      <c r="P229" s="29" t="s">
        <v>262</v>
      </c>
      <c r="Q229" s="25"/>
      <c r="R229" s="29" t="s">
        <v>262</v>
      </c>
      <c r="S229" s="25" t="str">
        <f>"－"</f>
        <v>－</v>
      </c>
      <c r="T229" s="25" t="str">
        <f>"－"</f>
        <v>－</v>
      </c>
      <c r="U229" s="3" t="s">
        <v>156</v>
      </c>
      <c r="V229" s="27" t="str">
        <f>"－"</f>
        <v>－</v>
      </c>
      <c r="W229" s="3" t="s">
        <v>156</v>
      </c>
      <c r="X229" s="27" t="str">
        <f>"－"</f>
        <v>－</v>
      </c>
      <c r="Y229" s="27"/>
      <c r="Z229" s="25" t="str">
        <f>"－"</f>
        <v>－</v>
      </c>
      <c r="AA229" s="25" t="str">
        <f>"－"</f>
        <v>－</v>
      </c>
      <c r="AB229" s="2" t="s">
        <v>156</v>
      </c>
      <c r="AC229" s="26" t="str">
        <f>"－"</f>
        <v>－</v>
      </c>
      <c r="AD229" s="3" t="s">
        <v>156</v>
      </c>
      <c r="AE229" s="27" t="str">
        <f>"－"</f>
        <v>－</v>
      </c>
    </row>
    <row r="230">
      <c r="A230" s="20" t="s">
        <v>731</v>
      </c>
      <c r="B230" s="21" t="s">
        <v>732</v>
      </c>
      <c r="C230" s="22"/>
      <c r="D230" s="23"/>
      <c r="E230" s="24" t="s">
        <v>415</v>
      </c>
      <c r="F230" s="28" t="n">
        <f>124</f>
        <v>124.0</v>
      </c>
      <c r="G230" s="25" t="n">
        <f>1218</f>
        <v>1218.0</v>
      </c>
      <c r="H230" s="25"/>
      <c r="I230" s="25" t="n">
        <f>1218</f>
        <v>1218.0</v>
      </c>
      <c r="J230" s="25" t="n">
        <f>10</f>
        <v>10.0</v>
      </c>
      <c r="K230" s="25" t="n">
        <f>10</f>
        <v>10.0</v>
      </c>
      <c r="L230" s="2" t="s">
        <v>175</v>
      </c>
      <c r="M230" s="26" t="n">
        <f>609</f>
        <v>609.0</v>
      </c>
      <c r="N230" s="3" t="s">
        <v>68</v>
      </c>
      <c r="O230" s="27" t="str">
        <f>"－"</f>
        <v>－</v>
      </c>
      <c r="P230" s="29" t="s">
        <v>764</v>
      </c>
      <c r="Q230" s="25"/>
      <c r="R230" s="29" t="s">
        <v>764</v>
      </c>
      <c r="S230" s="25" t="n">
        <f>21726532</f>
        <v>2.1726532E7</v>
      </c>
      <c r="T230" s="25" t="n">
        <f>21726532</f>
        <v>2.1726532E7</v>
      </c>
      <c r="U230" s="3" t="s">
        <v>175</v>
      </c>
      <c r="V230" s="27" t="n">
        <f>1385520000</f>
        <v>1.38552E9</v>
      </c>
      <c r="W230" s="3" t="s">
        <v>68</v>
      </c>
      <c r="X230" s="27" t="str">
        <f>"－"</f>
        <v>－</v>
      </c>
      <c r="Y230" s="27"/>
      <c r="Z230" s="25" t="str">
        <f>"－"</f>
        <v>－</v>
      </c>
      <c r="AA230" s="25" t="str">
        <f>"－"</f>
        <v>－</v>
      </c>
      <c r="AB230" s="2" t="s">
        <v>68</v>
      </c>
      <c r="AC230" s="26" t="str">
        <f>"－"</f>
        <v>－</v>
      </c>
      <c r="AD230" s="3" t="s">
        <v>68</v>
      </c>
      <c r="AE230" s="27" t="str">
        <f>"－"</f>
        <v>－</v>
      </c>
    </row>
    <row r="231">
      <c r="A231" s="20" t="s">
        <v>731</v>
      </c>
      <c r="B231" s="21" t="s">
        <v>732</v>
      </c>
      <c r="C231" s="22"/>
      <c r="D231" s="23"/>
      <c r="E231" s="24" t="s">
        <v>418</v>
      </c>
      <c r="F231" s="28" t="n">
        <f>120</f>
        <v>120.0</v>
      </c>
      <c r="G231" s="25" t="str">
        <f>"－"</f>
        <v>－</v>
      </c>
      <c r="H231" s="25"/>
      <c r="I231" s="25" t="str">
        <f>"－"</f>
        <v>－</v>
      </c>
      <c r="J231" s="25" t="str">
        <f>"－"</f>
        <v>－</v>
      </c>
      <c r="K231" s="25" t="str">
        <f>"－"</f>
        <v>－</v>
      </c>
      <c r="L231" s="2" t="s">
        <v>147</v>
      </c>
      <c r="M231" s="26" t="str">
        <f>"－"</f>
        <v>－</v>
      </c>
      <c r="N231" s="3" t="s">
        <v>147</v>
      </c>
      <c r="O231" s="27" t="str">
        <f>"－"</f>
        <v>－</v>
      </c>
      <c r="P231" s="29" t="s">
        <v>262</v>
      </c>
      <c r="Q231" s="25"/>
      <c r="R231" s="29" t="s">
        <v>262</v>
      </c>
      <c r="S231" s="25" t="str">
        <f>"－"</f>
        <v>－</v>
      </c>
      <c r="T231" s="25" t="str">
        <f>"－"</f>
        <v>－</v>
      </c>
      <c r="U231" s="3" t="s">
        <v>147</v>
      </c>
      <c r="V231" s="27" t="str">
        <f>"－"</f>
        <v>－</v>
      </c>
      <c r="W231" s="3" t="s">
        <v>147</v>
      </c>
      <c r="X231" s="27" t="str">
        <f>"－"</f>
        <v>－</v>
      </c>
      <c r="Y231" s="27"/>
      <c r="Z231" s="25" t="str">
        <f>"－"</f>
        <v>－</v>
      </c>
      <c r="AA231" s="25" t="str">
        <f>"－"</f>
        <v>－</v>
      </c>
      <c r="AB231" s="2" t="s">
        <v>147</v>
      </c>
      <c r="AC231" s="26" t="str">
        <f>"－"</f>
        <v>－</v>
      </c>
      <c r="AD231" s="3" t="s">
        <v>147</v>
      </c>
      <c r="AE231" s="27" t="str">
        <f>"－"</f>
        <v>－</v>
      </c>
    </row>
    <row r="232">
      <c r="A232" s="20" t="s">
        <v>731</v>
      </c>
      <c r="B232" s="21" t="s">
        <v>732</v>
      </c>
      <c r="C232" s="22"/>
      <c r="D232" s="23"/>
      <c r="E232" s="24" t="s">
        <v>423</v>
      </c>
      <c r="F232" s="28" t="n">
        <f>123</f>
        <v>123.0</v>
      </c>
      <c r="G232" s="25" t="str">
        <f>"－"</f>
        <v>－</v>
      </c>
      <c r="H232" s="25"/>
      <c r="I232" s="25" t="str">
        <f>"－"</f>
        <v>－</v>
      </c>
      <c r="J232" s="25" t="str">
        <f>"－"</f>
        <v>－</v>
      </c>
      <c r="K232" s="25" t="str">
        <f>"－"</f>
        <v>－</v>
      </c>
      <c r="L232" s="2" t="s">
        <v>68</v>
      </c>
      <c r="M232" s="26" t="str">
        <f>"－"</f>
        <v>－</v>
      </c>
      <c r="N232" s="3" t="s">
        <v>68</v>
      </c>
      <c r="O232" s="27" t="str">
        <f>"－"</f>
        <v>－</v>
      </c>
      <c r="P232" s="29" t="s">
        <v>262</v>
      </c>
      <c r="Q232" s="25"/>
      <c r="R232" s="29" t="s">
        <v>262</v>
      </c>
      <c r="S232" s="25" t="str">
        <f>"－"</f>
        <v>－</v>
      </c>
      <c r="T232" s="25" t="str">
        <f>"－"</f>
        <v>－</v>
      </c>
      <c r="U232" s="3" t="s">
        <v>68</v>
      </c>
      <c r="V232" s="27" t="str">
        <f>"－"</f>
        <v>－</v>
      </c>
      <c r="W232" s="3" t="s">
        <v>68</v>
      </c>
      <c r="X232" s="27" t="str">
        <f>"－"</f>
        <v>－</v>
      </c>
      <c r="Y232" s="27"/>
      <c r="Z232" s="25" t="str">
        <f>"－"</f>
        <v>－</v>
      </c>
      <c r="AA232" s="25" t="str">
        <f>"－"</f>
        <v>－</v>
      </c>
      <c r="AB232" s="2" t="s">
        <v>68</v>
      </c>
      <c r="AC232" s="26" t="str">
        <f>"－"</f>
        <v>－</v>
      </c>
      <c r="AD232" s="3" t="s">
        <v>68</v>
      </c>
      <c r="AE232" s="27" t="str">
        <f>"－"</f>
        <v>－</v>
      </c>
    </row>
    <row r="233">
      <c r="A233" s="20" t="s">
        <v>731</v>
      </c>
      <c r="B233" s="21" t="s">
        <v>732</v>
      </c>
      <c r="C233" s="22"/>
      <c r="D233" s="23"/>
      <c r="E233" s="24" t="s">
        <v>426</v>
      </c>
      <c r="F233" s="28" t="n">
        <f>121</f>
        <v>121.0</v>
      </c>
      <c r="G233" s="25" t="n">
        <f>5808</f>
        <v>5808.0</v>
      </c>
      <c r="H233" s="25"/>
      <c r="I233" s="25" t="n">
        <f>5808</f>
        <v>5808.0</v>
      </c>
      <c r="J233" s="25" t="n">
        <f>48</f>
        <v>48.0</v>
      </c>
      <c r="K233" s="25" t="n">
        <f>48</f>
        <v>48.0</v>
      </c>
      <c r="L233" s="2" t="s">
        <v>765</v>
      </c>
      <c r="M233" s="26" t="n">
        <f>2904</f>
        <v>2904.0</v>
      </c>
      <c r="N233" s="3" t="s">
        <v>156</v>
      </c>
      <c r="O233" s="27" t="str">
        <f>"－"</f>
        <v>－</v>
      </c>
      <c r="P233" s="29" t="s">
        <v>766</v>
      </c>
      <c r="Q233" s="25"/>
      <c r="R233" s="29" t="s">
        <v>766</v>
      </c>
      <c r="S233" s="25" t="n">
        <f>68913603</f>
        <v>6.8913603E7</v>
      </c>
      <c r="T233" s="25" t="n">
        <f>68913603</f>
        <v>6.8913603E7</v>
      </c>
      <c r="U233" s="3" t="s">
        <v>479</v>
      </c>
      <c r="V233" s="27" t="n">
        <f>4289499000</f>
        <v>4.289499E9</v>
      </c>
      <c r="W233" s="3" t="s">
        <v>156</v>
      </c>
      <c r="X233" s="27" t="str">
        <f>"－"</f>
        <v>－</v>
      </c>
      <c r="Y233" s="27"/>
      <c r="Z233" s="25" t="n">
        <f>5808</f>
        <v>5808.0</v>
      </c>
      <c r="AA233" s="25" t="str">
        <f>"－"</f>
        <v>－</v>
      </c>
      <c r="AB233" s="2" t="s">
        <v>765</v>
      </c>
      <c r="AC233" s="26" t="n">
        <f>2904</f>
        <v>2904.0</v>
      </c>
      <c r="AD233" s="3" t="s">
        <v>156</v>
      </c>
      <c r="AE233" s="27" t="str">
        <f>"－"</f>
        <v>－</v>
      </c>
    </row>
    <row r="234">
      <c r="A234" s="20" t="s">
        <v>731</v>
      </c>
      <c r="B234" s="21" t="s">
        <v>732</v>
      </c>
      <c r="C234" s="22"/>
      <c r="D234" s="23"/>
      <c r="E234" s="24" t="s">
        <v>430</v>
      </c>
      <c r="F234" s="28" t="n">
        <f>124</f>
        <v>124.0</v>
      </c>
      <c r="G234" s="25" t="str">
        <f>"－"</f>
        <v>－</v>
      </c>
      <c r="H234" s="25"/>
      <c r="I234" s="25" t="str">
        <f>"－"</f>
        <v>－</v>
      </c>
      <c r="J234" s="25" t="str">
        <f>"－"</f>
        <v>－</v>
      </c>
      <c r="K234" s="25" t="str">
        <f>"－"</f>
        <v>－</v>
      </c>
      <c r="L234" s="2" t="s">
        <v>68</v>
      </c>
      <c r="M234" s="26" t="str">
        <f>"－"</f>
        <v>－</v>
      </c>
      <c r="N234" s="3" t="s">
        <v>68</v>
      </c>
      <c r="O234" s="27" t="str">
        <f>"－"</f>
        <v>－</v>
      </c>
      <c r="P234" s="29" t="s">
        <v>262</v>
      </c>
      <c r="Q234" s="25"/>
      <c r="R234" s="29" t="s">
        <v>262</v>
      </c>
      <c r="S234" s="25" t="str">
        <f>"－"</f>
        <v>－</v>
      </c>
      <c r="T234" s="25" t="str">
        <f>"－"</f>
        <v>－</v>
      </c>
      <c r="U234" s="3" t="s">
        <v>68</v>
      </c>
      <c r="V234" s="27" t="str">
        <f>"－"</f>
        <v>－</v>
      </c>
      <c r="W234" s="3" t="s">
        <v>68</v>
      </c>
      <c r="X234" s="27" t="str">
        <f>"－"</f>
        <v>－</v>
      </c>
      <c r="Y234" s="27"/>
      <c r="Z234" s="25" t="str">
        <f>"－"</f>
        <v>－</v>
      </c>
      <c r="AA234" s="25" t="str">
        <f>"－"</f>
        <v>－</v>
      </c>
      <c r="AB234" s="2" t="s">
        <v>68</v>
      </c>
      <c r="AC234" s="26" t="str">
        <f>"－"</f>
        <v>－</v>
      </c>
      <c r="AD234" s="3" t="s">
        <v>68</v>
      </c>
      <c r="AE234" s="27" t="str">
        <f>"－"</f>
        <v>－</v>
      </c>
    </row>
    <row r="235">
      <c r="A235" s="20" t="s">
        <v>731</v>
      </c>
      <c r="B235" s="21" t="s">
        <v>732</v>
      </c>
      <c r="C235" s="22"/>
      <c r="D235" s="23"/>
      <c r="E235" s="24" t="s">
        <v>433</v>
      </c>
      <c r="F235" s="28" t="n">
        <f>121</f>
        <v>121.0</v>
      </c>
      <c r="G235" s="25" t="str">
        <f>"－"</f>
        <v>－</v>
      </c>
      <c r="H235" s="25"/>
      <c r="I235" s="25" t="str">
        <f>"－"</f>
        <v>－</v>
      </c>
      <c r="J235" s="25" t="str">
        <f>"－"</f>
        <v>－</v>
      </c>
      <c r="K235" s="25" t="str">
        <f>"－"</f>
        <v>－</v>
      </c>
      <c r="L235" s="2" t="s">
        <v>156</v>
      </c>
      <c r="M235" s="26" t="str">
        <f>"－"</f>
        <v>－</v>
      </c>
      <c r="N235" s="3" t="s">
        <v>156</v>
      </c>
      <c r="O235" s="27" t="str">
        <f>"－"</f>
        <v>－</v>
      </c>
      <c r="P235" s="29" t="s">
        <v>262</v>
      </c>
      <c r="Q235" s="25"/>
      <c r="R235" s="29" t="s">
        <v>262</v>
      </c>
      <c r="S235" s="25" t="str">
        <f>"－"</f>
        <v>－</v>
      </c>
      <c r="T235" s="25" t="str">
        <f>"－"</f>
        <v>－</v>
      </c>
      <c r="U235" s="3" t="s">
        <v>156</v>
      </c>
      <c r="V235" s="27" t="str">
        <f>"－"</f>
        <v>－</v>
      </c>
      <c r="W235" s="3" t="s">
        <v>156</v>
      </c>
      <c r="X235" s="27" t="str">
        <f>"－"</f>
        <v>－</v>
      </c>
      <c r="Y235" s="27"/>
      <c r="Z235" s="25" t="str">
        <f>"－"</f>
        <v>－</v>
      </c>
      <c r="AA235" s="25" t="str">
        <f>"－"</f>
        <v>－</v>
      </c>
      <c r="AB235" s="2" t="s">
        <v>156</v>
      </c>
      <c r="AC235" s="26" t="str">
        <f>"－"</f>
        <v>－</v>
      </c>
      <c r="AD235" s="3" t="s">
        <v>156</v>
      </c>
      <c r="AE235" s="27" t="str">
        <f>"－"</f>
        <v>－</v>
      </c>
    </row>
    <row r="236">
      <c r="A236" s="20" t="s">
        <v>731</v>
      </c>
      <c r="B236" s="21" t="s">
        <v>732</v>
      </c>
      <c r="C236" s="22"/>
      <c r="D236" s="23"/>
      <c r="E236" s="24" t="s">
        <v>437</v>
      </c>
      <c r="F236" s="28" t="n">
        <f>124</f>
        <v>124.0</v>
      </c>
      <c r="G236" s="25" t="str">
        <f>"－"</f>
        <v>－</v>
      </c>
      <c r="H236" s="25"/>
      <c r="I236" s="25" t="str">
        <f>"－"</f>
        <v>－</v>
      </c>
      <c r="J236" s="25" t="str">
        <f>"－"</f>
        <v>－</v>
      </c>
      <c r="K236" s="25" t="str">
        <f>"－"</f>
        <v>－</v>
      </c>
      <c r="L236" s="2" t="s">
        <v>68</v>
      </c>
      <c r="M236" s="26" t="str">
        <f>"－"</f>
        <v>－</v>
      </c>
      <c r="N236" s="3" t="s">
        <v>68</v>
      </c>
      <c r="O236" s="27" t="str">
        <f>"－"</f>
        <v>－</v>
      </c>
      <c r="P236" s="29" t="s">
        <v>262</v>
      </c>
      <c r="Q236" s="25"/>
      <c r="R236" s="29" t="s">
        <v>262</v>
      </c>
      <c r="S236" s="25" t="str">
        <f>"－"</f>
        <v>－</v>
      </c>
      <c r="T236" s="25" t="str">
        <f>"－"</f>
        <v>－</v>
      </c>
      <c r="U236" s="3" t="s">
        <v>68</v>
      </c>
      <c r="V236" s="27" t="str">
        <f>"－"</f>
        <v>－</v>
      </c>
      <c r="W236" s="3" t="s">
        <v>68</v>
      </c>
      <c r="X236" s="27" t="str">
        <f>"－"</f>
        <v>－</v>
      </c>
      <c r="Y236" s="27"/>
      <c r="Z236" s="25" t="str">
        <f>"－"</f>
        <v>－</v>
      </c>
      <c r="AA236" s="25" t="str">
        <f>"－"</f>
        <v>－</v>
      </c>
      <c r="AB236" s="2" t="s">
        <v>68</v>
      </c>
      <c r="AC236" s="26" t="str">
        <f>"－"</f>
        <v>－</v>
      </c>
      <c r="AD236" s="3" t="s">
        <v>68</v>
      </c>
      <c r="AE236" s="27" t="str">
        <f>"－"</f>
        <v>－</v>
      </c>
    </row>
    <row r="237">
      <c r="A237" s="20" t="s">
        <v>731</v>
      </c>
      <c r="B237" s="21" t="s">
        <v>732</v>
      </c>
      <c r="C237" s="22"/>
      <c r="D237" s="23"/>
      <c r="E237" s="24" t="s">
        <v>440</v>
      </c>
      <c r="F237" s="28" t="n">
        <f>123</f>
        <v>123.0</v>
      </c>
      <c r="G237" s="25" t="n">
        <f>3500</f>
        <v>3500.0</v>
      </c>
      <c r="H237" s="25"/>
      <c r="I237" s="25" t="n">
        <f>3500</f>
        <v>3500.0</v>
      </c>
      <c r="J237" s="25" t="n">
        <f>28</f>
        <v>28.0</v>
      </c>
      <c r="K237" s="25" t="n">
        <f>28</f>
        <v>28.0</v>
      </c>
      <c r="L237" s="2" t="s">
        <v>767</v>
      </c>
      <c r="M237" s="26" t="n">
        <f>1750</f>
        <v>1750.0</v>
      </c>
      <c r="N237" s="3" t="s">
        <v>156</v>
      </c>
      <c r="O237" s="27" t="str">
        <f>"－"</f>
        <v>－</v>
      </c>
      <c r="P237" s="29" t="s">
        <v>768</v>
      </c>
      <c r="Q237" s="25"/>
      <c r="R237" s="29" t="s">
        <v>768</v>
      </c>
      <c r="S237" s="25" t="n">
        <f>32420528</f>
        <v>3.2420528E7</v>
      </c>
      <c r="T237" s="25" t="n">
        <f>32420528</f>
        <v>3.2420528E7</v>
      </c>
      <c r="U237" s="3" t="s">
        <v>767</v>
      </c>
      <c r="V237" s="27" t="n">
        <f>2026500000</f>
        <v>2.0265E9</v>
      </c>
      <c r="W237" s="3" t="s">
        <v>156</v>
      </c>
      <c r="X237" s="27" t="str">
        <f>"－"</f>
        <v>－</v>
      </c>
      <c r="Y237" s="27"/>
      <c r="Z237" s="25" t="n">
        <f>3500</f>
        <v>3500.0</v>
      </c>
      <c r="AA237" s="25" t="str">
        <f>"－"</f>
        <v>－</v>
      </c>
      <c r="AB237" s="2" t="s">
        <v>767</v>
      </c>
      <c r="AC237" s="26" t="n">
        <f>1750</f>
        <v>1750.0</v>
      </c>
      <c r="AD237" s="3" t="s">
        <v>156</v>
      </c>
      <c r="AE237" s="27" t="str">
        <f>"－"</f>
        <v>－</v>
      </c>
    </row>
    <row r="238">
      <c r="A238" s="20" t="s">
        <v>731</v>
      </c>
      <c r="B238" s="21" t="s">
        <v>732</v>
      </c>
      <c r="C238" s="22"/>
      <c r="D238" s="23"/>
      <c r="E238" s="24" t="s">
        <v>443</v>
      </c>
      <c r="F238" s="28" t="n">
        <f>125</f>
        <v>125.0</v>
      </c>
      <c r="G238" s="25" t="str">
        <f>"－"</f>
        <v>－</v>
      </c>
      <c r="H238" s="25"/>
      <c r="I238" s="25" t="str">
        <f>"－"</f>
        <v>－</v>
      </c>
      <c r="J238" s="25" t="str">
        <f>"－"</f>
        <v>－</v>
      </c>
      <c r="K238" s="25" t="str">
        <f>"－"</f>
        <v>－</v>
      </c>
      <c r="L238" s="2" t="s">
        <v>215</v>
      </c>
      <c r="M238" s="26" t="str">
        <f>"－"</f>
        <v>－</v>
      </c>
      <c r="N238" s="3" t="s">
        <v>215</v>
      </c>
      <c r="O238" s="27" t="str">
        <f>"－"</f>
        <v>－</v>
      </c>
      <c r="P238" s="29" t="s">
        <v>262</v>
      </c>
      <c r="Q238" s="25"/>
      <c r="R238" s="29" t="s">
        <v>262</v>
      </c>
      <c r="S238" s="25" t="str">
        <f>"－"</f>
        <v>－</v>
      </c>
      <c r="T238" s="25" t="str">
        <f>"－"</f>
        <v>－</v>
      </c>
      <c r="U238" s="3" t="s">
        <v>215</v>
      </c>
      <c r="V238" s="27" t="str">
        <f>"－"</f>
        <v>－</v>
      </c>
      <c r="W238" s="3" t="s">
        <v>215</v>
      </c>
      <c r="X238" s="27" t="str">
        <f>"－"</f>
        <v>－</v>
      </c>
      <c r="Y238" s="27"/>
      <c r="Z238" s="25" t="str">
        <f>"－"</f>
        <v>－</v>
      </c>
      <c r="AA238" s="25" t="str">
        <f>"－"</f>
        <v>－</v>
      </c>
      <c r="AB238" s="2" t="s">
        <v>215</v>
      </c>
      <c r="AC238" s="26" t="str">
        <f>"－"</f>
        <v>－</v>
      </c>
      <c r="AD238" s="3" t="s">
        <v>215</v>
      </c>
      <c r="AE238" s="27" t="str">
        <f>"－"</f>
        <v>－</v>
      </c>
    </row>
    <row r="239">
      <c r="A239" s="20" t="s">
        <v>731</v>
      </c>
      <c r="B239" s="21" t="s">
        <v>732</v>
      </c>
      <c r="C239" s="22"/>
      <c r="D239" s="23"/>
      <c r="E239" s="24" t="s">
        <v>447</v>
      </c>
      <c r="F239" s="28" t="n">
        <f>120</f>
        <v>120.0</v>
      </c>
      <c r="G239" s="25" t="n">
        <f>6893</f>
        <v>6893.0</v>
      </c>
      <c r="H239" s="25"/>
      <c r="I239" s="25" t="n">
        <f>6893</f>
        <v>6893.0</v>
      </c>
      <c r="J239" s="25" t="n">
        <f>57</f>
        <v>57.0</v>
      </c>
      <c r="K239" s="25" t="n">
        <f>57</f>
        <v>57.0</v>
      </c>
      <c r="L239" s="2" t="s">
        <v>307</v>
      </c>
      <c r="M239" s="26" t="n">
        <f>4102</f>
        <v>4102.0</v>
      </c>
      <c r="N239" s="3" t="s">
        <v>156</v>
      </c>
      <c r="O239" s="27" t="str">
        <f>"－"</f>
        <v>－</v>
      </c>
      <c r="P239" s="29" t="s">
        <v>769</v>
      </c>
      <c r="Q239" s="25"/>
      <c r="R239" s="29" t="s">
        <v>769</v>
      </c>
      <c r="S239" s="25" t="n">
        <f>96986825</f>
        <v>9.6986825E7</v>
      </c>
      <c r="T239" s="25" t="n">
        <f>96986825</f>
        <v>9.6986825E7</v>
      </c>
      <c r="U239" s="3" t="s">
        <v>307</v>
      </c>
      <c r="V239" s="27" t="n">
        <f>6572020000</f>
        <v>6.57202E9</v>
      </c>
      <c r="W239" s="3" t="s">
        <v>156</v>
      </c>
      <c r="X239" s="27" t="str">
        <f>"－"</f>
        <v>－</v>
      </c>
      <c r="Y239" s="27"/>
      <c r="Z239" s="25" t="n">
        <f>410</f>
        <v>410.0</v>
      </c>
      <c r="AA239" s="25" t="n">
        <f>2051</f>
        <v>2051.0</v>
      </c>
      <c r="AB239" s="2" t="s">
        <v>307</v>
      </c>
      <c r="AC239" s="26" t="n">
        <f>2201</f>
        <v>2201.0</v>
      </c>
      <c r="AD239" s="3" t="s">
        <v>156</v>
      </c>
      <c r="AE239" s="27" t="str">
        <f>"－"</f>
        <v>－</v>
      </c>
    </row>
    <row r="240">
      <c r="A240" s="20" t="s">
        <v>731</v>
      </c>
      <c r="B240" s="21" t="s">
        <v>732</v>
      </c>
      <c r="C240" s="22"/>
      <c r="D240" s="23"/>
      <c r="E240" s="24" t="s">
        <v>451</v>
      </c>
      <c r="F240" s="28" t="n">
        <f>125</f>
        <v>125.0</v>
      </c>
      <c r="G240" s="25" t="n">
        <f>9505</f>
        <v>9505.0</v>
      </c>
      <c r="H240" s="25"/>
      <c r="I240" s="25" t="n">
        <f>9505</f>
        <v>9505.0</v>
      </c>
      <c r="J240" s="25" t="n">
        <f>76</f>
        <v>76.0</v>
      </c>
      <c r="K240" s="25" t="n">
        <f>76</f>
        <v>76.0</v>
      </c>
      <c r="L240" s="2" t="s">
        <v>49</v>
      </c>
      <c r="M240" s="26" t="n">
        <f>4406</f>
        <v>4406.0</v>
      </c>
      <c r="N240" s="3" t="s">
        <v>68</v>
      </c>
      <c r="O240" s="27" t="str">
        <f>"－"</f>
        <v>－</v>
      </c>
      <c r="P240" s="29" t="s">
        <v>770</v>
      </c>
      <c r="Q240" s="25"/>
      <c r="R240" s="29" t="s">
        <v>770</v>
      </c>
      <c r="S240" s="25" t="n">
        <f>136462040</f>
        <v>1.3646204E8</v>
      </c>
      <c r="T240" s="25" t="n">
        <f>136462040</f>
        <v>1.3646204E8</v>
      </c>
      <c r="U240" s="3" t="s">
        <v>49</v>
      </c>
      <c r="V240" s="27" t="n">
        <f>8159972000</f>
        <v>8.159972E9</v>
      </c>
      <c r="W240" s="3" t="s">
        <v>68</v>
      </c>
      <c r="X240" s="27" t="str">
        <f>"－"</f>
        <v>－</v>
      </c>
      <c r="Y240" s="27"/>
      <c r="Z240" s="25" t="n">
        <f>5039</f>
        <v>5039.0</v>
      </c>
      <c r="AA240" s="25" t="n">
        <f>2644</f>
        <v>2644.0</v>
      </c>
      <c r="AB240" s="2" t="s">
        <v>67</v>
      </c>
      <c r="AC240" s="26" t="n">
        <f>5003</f>
        <v>5003.0</v>
      </c>
      <c r="AD240" s="3" t="s">
        <v>68</v>
      </c>
      <c r="AE240" s="27" t="n">
        <f>2051</f>
        <v>2051.0</v>
      </c>
    </row>
    <row r="241">
      <c r="A241" s="20" t="s">
        <v>731</v>
      </c>
      <c r="B241" s="21" t="s">
        <v>732</v>
      </c>
      <c r="C241" s="22"/>
      <c r="D241" s="23"/>
      <c r="E241" s="24" t="s">
        <v>454</v>
      </c>
      <c r="F241" s="28" t="n">
        <f>120</f>
        <v>120.0</v>
      </c>
      <c r="G241" s="25" t="n">
        <f>11073</f>
        <v>11073.0</v>
      </c>
      <c r="H241" s="25"/>
      <c r="I241" s="25" t="n">
        <f>10936</f>
        <v>10936.0</v>
      </c>
      <c r="J241" s="25" t="n">
        <f>92</f>
        <v>92.0</v>
      </c>
      <c r="K241" s="25" t="n">
        <f>91</f>
        <v>91.0</v>
      </c>
      <c r="L241" s="2" t="s">
        <v>101</v>
      </c>
      <c r="M241" s="26" t="n">
        <f>5290</f>
        <v>5290.0</v>
      </c>
      <c r="N241" s="3" t="s">
        <v>328</v>
      </c>
      <c r="O241" s="27" t="str">
        <f>"－"</f>
        <v>－</v>
      </c>
      <c r="P241" s="29" t="s">
        <v>771</v>
      </c>
      <c r="Q241" s="25"/>
      <c r="R241" s="29" t="s">
        <v>772</v>
      </c>
      <c r="S241" s="25" t="n">
        <f>158620333</f>
        <v>1.58620333E8</v>
      </c>
      <c r="T241" s="25" t="n">
        <f>156654017</f>
        <v>1.56654017E8</v>
      </c>
      <c r="U241" s="3" t="s">
        <v>101</v>
      </c>
      <c r="V241" s="27" t="n">
        <f>9132127000</f>
        <v>9.132127E9</v>
      </c>
      <c r="W241" s="3" t="s">
        <v>328</v>
      </c>
      <c r="X241" s="27" t="str">
        <f>"－"</f>
        <v>－</v>
      </c>
      <c r="Y241" s="27"/>
      <c r="Z241" s="25" t="n">
        <f>1235</f>
        <v>1235.0</v>
      </c>
      <c r="AA241" s="25" t="n">
        <f>2906</f>
        <v>2906.0</v>
      </c>
      <c r="AB241" s="2" t="s">
        <v>101</v>
      </c>
      <c r="AC241" s="26" t="n">
        <f>2934</f>
        <v>2934.0</v>
      </c>
      <c r="AD241" s="3" t="s">
        <v>773</v>
      </c>
      <c r="AE241" s="27" t="n">
        <f>2636</f>
        <v>2636.0</v>
      </c>
    </row>
    <row r="242">
      <c r="A242" s="20" t="s">
        <v>731</v>
      </c>
      <c r="B242" s="21" t="s">
        <v>732</v>
      </c>
      <c r="C242" s="22"/>
      <c r="D242" s="23"/>
      <c r="E242" s="24" t="s">
        <v>48</v>
      </c>
      <c r="F242" s="28" t="n">
        <f>124</f>
        <v>124.0</v>
      </c>
      <c r="G242" s="25" t="n">
        <f>17627</f>
        <v>17627.0</v>
      </c>
      <c r="H242" s="25"/>
      <c r="I242" s="25" t="n">
        <f>17357</f>
        <v>17357.0</v>
      </c>
      <c r="J242" s="25" t="n">
        <f>142</f>
        <v>142.0</v>
      </c>
      <c r="K242" s="25" t="n">
        <f>140</f>
        <v>140.0</v>
      </c>
      <c r="L242" s="2" t="s">
        <v>81</v>
      </c>
      <c r="M242" s="26" t="n">
        <f>4978</f>
        <v>4978.0</v>
      </c>
      <c r="N242" s="3" t="s">
        <v>68</v>
      </c>
      <c r="O242" s="27" t="str">
        <f>"－"</f>
        <v>－</v>
      </c>
      <c r="P242" s="29" t="s">
        <v>774</v>
      </c>
      <c r="Q242" s="25"/>
      <c r="R242" s="29" t="s">
        <v>775</v>
      </c>
      <c r="S242" s="25" t="n">
        <f>266929145</f>
        <v>2.66929145E8</v>
      </c>
      <c r="T242" s="25" t="n">
        <f>263021677</f>
        <v>2.63021677E8</v>
      </c>
      <c r="U242" s="3" t="s">
        <v>81</v>
      </c>
      <c r="V242" s="27" t="n">
        <f>9712045000</f>
        <v>9.712045E9</v>
      </c>
      <c r="W242" s="3" t="s">
        <v>68</v>
      </c>
      <c r="X242" s="27" t="str">
        <f>"－"</f>
        <v>－</v>
      </c>
      <c r="Y242" s="27"/>
      <c r="Z242" s="25" t="n">
        <f>12430</f>
        <v>12430.0</v>
      </c>
      <c r="AA242" s="25" t="n">
        <f>4991</f>
        <v>4991.0</v>
      </c>
      <c r="AB242" s="2" t="s">
        <v>53</v>
      </c>
      <c r="AC242" s="26" t="n">
        <f>12411</f>
        <v>12411.0</v>
      </c>
      <c r="AD242" s="3" t="s">
        <v>515</v>
      </c>
      <c r="AE242" s="27" t="n">
        <f>2785</f>
        <v>2785.0</v>
      </c>
    </row>
    <row r="243">
      <c r="A243" s="20" t="s">
        <v>731</v>
      </c>
      <c r="B243" s="21" t="s">
        <v>732</v>
      </c>
      <c r="C243" s="22"/>
      <c r="D243" s="23"/>
      <c r="E243" s="24" t="s">
        <v>55</v>
      </c>
      <c r="F243" s="28" t="n">
        <f>121</f>
        <v>121.0</v>
      </c>
      <c r="G243" s="25" t="n">
        <f>14379</f>
        <v>14379.0</v>
      </c>
      <c r="H243" s="25"/>
      <c r="I243" s="25" t="n">
        <f>13482</f>
        <v>13482.0</v>
      </c>
      <c r="J243" s="25" t="n">
        <f>119</f>
        <v>119.0</v>
      </c>
      <c r="K243" s="25" t="n">
        <f>111</f>
        <v>111.0</v>
      </c>
      <c r="L243" s="2" t="s">
        <v>88</v>
      </c>
      <c r="M243" s="26" t="n">
        <f>5004</f>
        <v>5004.0</v>
      </c>
      <c r="N243" s="3" t="s">
        <v>147</v>
      </c>
      <c r="O243" s="27" t="str">
        <f>"－"</f>
        <v>－</v>
      </c>
      <c r="P243" s="29" t="s">
        <v>776</v>
      </c>
      <c r="Q243" s="25"/>
      <c r="R243" s="29" t="s">
        <v>777</v>
      </c>
      <c r="S243" s="25" t="n">
        <f>255276223</f>
        <v>2.55276223E8</v>
      </c>
      <c r="T243" s="25" t="n">
        <f>238991017</f>
        <v>2.38991017E8</v>
      </c>
      <c r="U243" s="3" t="s">
        <v>88</v>
      </c>
      <c r="V243" s="27" t="n">
        <f>11961833000</f>
        <v>1.1961833E10</v>
      </c>
      <c r="W243" s="3" t="s">
        <v>147</v>
      </c>
      <c r="X243" s="27" t="str">
        <f>"－"</f>
        <v>－</v>
      </c>
      <c r="Y243" s="27"/>
      <c r="Z243" s="25" t="n">
        <f>7750</f>
        <v>7750.0</v>
      </c>
      <c r="AA243" s="25" t="n">
        <f>2530</f>
        <v>2530.0</v>
      </c>
      <c r="AB243" s="2" t="s">
        <v>56</v>
      </c>
      <c r="AC243" s="26" t="n">
        <f>8178</f>
        <v>8178.0</v>
      </c>
      <c r="AD243" s="3" t="s">
        <v>172</v>
      </c>
      <c r="AE243" s="27" t="n">
        <f>2530</f>
        <v>2530.0</v>
      </c>
    </row>
    <row r="244">
      <c r="A244" s="20" t="s">
        <v>731</v>
      </c>
      <c r="B244" s="21" t="s">
        <v>732</v>
      </c>
      <c r="C244" s="22"/>
      <c r="D244" s="23"/>
      <c r="E244" s="24" t="s">
        <v>62</v>
      </c>
      <c r="F244" s="28" t="n">
        <f>123</f>
        <v>123.0</v>
      </c>
      <c r="G244" s="25" t="n">
        <f>8225</f>
        <v>8225.0</v>
      </c>
      <c r="H244" s="25"/>
      <c r="I244" s="25" t="n">
        <f>7842</f>
        <v>7842.0</v>
      </c>
      <c r="J244" s="25" t="n">
        <f>67</f>
        <v>67.0</v>
      </c>
      <c r="K244" s="25" t="n">
        <f>64</f>
        <v>64.0</v>
      </c>
      <c r="L244" s="2" t="s">
        <v>388</v>
      </c>
      <c r="M244" s="26" t="n">
        <f>4854</f>
        <v>4854.0</v>
      </c>
      <c r="N244" s="3" t="s">
        <v>68</v>
      </c>
      <c r="O244" s="27" t="str">
        <f>"－"</f>
        <v>－</v>
      </c>
      <c r="P244" s="29" t="s">
        <v>778</v>
      </c>
      <c r="Q244" s="25"/>
      <c r="R244" s="29" t="s">
        <v>779</v>
      </c>
      <c r="S244" s="25" t="n">
        <f>136034398</f>
        <v>1.36034398E8</v>
      </c>
      <c r="T244" s="25" t="n">
        <f>129563878</f>
        <v>1.29563878E8</v>
      </c>
      <c r="U244" s="3" t="s">
        <v>388</v>
      </c>
      <c r="V244" s="27" t="n">
        <f>9795372000</f>
        <v>9.795372E9</v>
      </c>
      <c r="W244" s="3" t="s">
        <v>68</v>
      </c>
      <c r="X244" s="27" t="str">
        <f>"－"</f>
        <v>－</v>
      </c>
      <c r="Y244" s="27"/>
      <c r="Z244" s="25" t="n">
        <f>7281</f>
        <v>7281.0</v>
      </c>
      <c r="AA244" s="25" t="n">
        <f>142</f>
        <v>142.0</v>
      </c>
      <c r="AB244" s="2" t="s">
        <v>388</v>
      </c>
      <c r="AC244" s="26" t="n">
        <f>4854</f>
        <v>4854.0</v>
      </c>
      <c r="AD244" s="3" t="s">
        <v>216</v>
      </c>
      <c r="AE244" s="27" t="n">
        <f>8</f>
        <v>8.0</v>
      </c>
    </row>
    <row r="245">
      <c r="A245" s="20" t="s">
        <v>731</v>
      </c>
      <c r="B245" s="21" t="s">
        <v>732</v>
      </c>
      <c r="C245" s="22"/>
      <c r="D245" s="23"/>
      <c r="E245" s="24" t="s">
        <v>69</v>
      </c>
      <c r="F245" s="28" t="n">
        <f>122</f>
        <v>122.0</v>
      </c>
      <c r="G245" s="25" t="n">
        <f>334</f>
        <v>334.0</v>
      </c>
      <c r="H245" s="25"/>
      <c r="I245" s="25" t="n">
        <f>68</f>
        <v>68.0</v>
      </c>
      <c r="J245" s="25" t="n">
        <f>3</f>
        <v>3.0</v>
      </c>
      <c r="K245" s="25" t="n">
        <f>1</f>
        <v>1.0</v>
      </c>
      <c r="L245" s="2" t="s">
        <v>369</v>
      </c>
      <c r="M245" s="26" t="n">
        <f>53</f>
        <v>53.0</v>
      </c>
      <c r="N245" s="3" t="s">
        <v>147</v>
      </c>
      <c r="O245" s="27" t="str">
        <f>"－"</f>
        <v>－</v>
      </c>
      <c r="P245" s="29" t="s">
        <v>780</v>
      </c>
      <c r="Q245" s="25"/>
      <c r="R245" s="29" t="s">
        <v>781</v>
      </c>
      <c r="S245" s="25" t="n">
        <f>4445877</f>
        <v>4445877.0</v>
      </c>
      <c r="T245" s="25" t="n">
        <f>823836</f>
        <v>823836.0</v>
      </c>
      <c r="U245" s="3" t="s">
        <v>369</v>
      </c>
      <c r="V245" s="27" t="n">
        <f>104175000</f>
        <v>1.04175E8</v>
      </c>
      <c r="W245" s="3" t="s">
        <v>147</v>
      </c>
      <c r="X245" s="27" t="str">
        <f>"－"</f>
        <v>－</v>
      </c>
      <c r="Y245" s="27"/>
      <c r="Z245" s="25" t="str">
        <f>"－"</f>
        <v>－</v>
      </c>
      <c r="AA245" s="25" t="n">
        <f>22</f>
        <v>22.0</v>
      </c>
      <c r="AB245" s="2" t="s">
        <v>134</v>
      </c>
      <c r="AC245" s="26" t="n">
        <f>208</f>
        <v>208.0</v>
      </c>
      <c r="AD245" s="3" t="s">
        <v>98</v>
      </c>
      <c r="AE245" s="27" t="n">
        <f>21</f>
        <v>21.0</v>
      </c>
    </row>
    <row r="246">
      <c r="A246" s="20" t="s">
        <v>731</v>
      </c>
      <c r="B246" s="21" t="s">
        <v>732</v>
      </c>
      <c r="C246" s="22"/>
      <c r="D246" s="23"/>
      <c r="E246" s="24" t="s">
        <v>76</v>
      </c>
      <c r="F246" s="28" t="n">
        <f>123</f>
        <v>123.0</v>
      </c>
      <c r="G246" s="25" t="n">
        <f>32667</f>
        <v>32667.0</v>
      </c>
      <c r="H246" s="25"/>
      <c r="I246" s="25" t="n">
        <f>32207</f>
        <v>32207.0</v>
      </c>
      <c r="J246" s="25" t="n">
        <f>266</f>
        <v>266.0</v>
      </c>
      <c r="K246" s="25" t="n">
        <f>262</f>
        <v>262.0</v>
      </c>
      <c r="L246" s="2" t="s">
        <v>93</v>
      </c>
      <c r="M246" s="26" t="n">
        <f>20519</f>
        <v>20519.0</v>
      </c>
      <c r="N246" s="3" t="s">
        <v>68</v>
      </c>
      <c r="O246" s="27" t="str">
        <f>"－"</f>
        <v>－</v>
      </c>
      <c r="P246" s="29" t="s">
        <v>782</v>
      </c>
      <c r="Q246" s="25"/>
      <c r="R246" s="29" t="s">
        <v>783</v>
      </c>
      <c r="S246" s="25" t="n">
        <f>465822524</f>
        <v>4.65822524E8</v>
      </c>
      <c r="T246" s="25" t="n">
        <f>460262118</f>
        <v>4.60262118E8</v>
      </c>
      <c r="U246" s="3" t="s">
        <v>93</v>
      </c>
      <c r="V246" s="27" t="n">
        <f>38807202200</f>
        <v>3.88072022E10</v>
      </c>
      <c r="W246" s="3" t="s">
        <v>68</v>
      </c>
      <c r="X246" s="27" t="str">
        <f>"－"</f>
        <v>－</v>
      </c>
      <c r="Y246" s="27"/>
      <c r="Z246" s="25" t="n">
        <f>31594</f>
        <v>31594.0</v>
      </c>
      <c r="AA246" s="25" t="n">
        <f>10291</f>
        <v>10291.0</v>
      </c>
      <c r="AB246" s="2" t="s">
        <v>77</v>
      </c>
      <c r="AC246" s="26" t="n">
        <f>20960</f>
        <v>20960.0</v>
      </c>
      <c r="AD246" s="3" t="s">
        <v>68</v>
      </c>
      <c r="AE246" s="27" t="n">
        <f>22</f>
        <v>22.0</v>
      </c>
    </row>
    <row r="247">
      <c r="A247" s="20" t="s">
        <v>731</v>
      </c>
      <c r="B247" s="21" t="s">
        <v>732</v>
      </c>
      <c r="C247" s="22"/>
      <c r="D247" s="23"/>
      <c r="E247" s="24" t="s">
        <v>83</v>
      </c>
      <c r="F247" s="28" t="n">
        <f>123</f>
        <v>123.0</v>
      </c>
      <c r="G247" s="25" t="n">
        <f>76385</f>
        <v>76385.0</v>
      </c>
      <c r="H247" s="25"/>
      <c r="I247" s="25" t="n">
        <f>76281</f>
        <v>76281.0</v>
      </c>
      <c r="J247" s="25" t="n">
        <f>621</f>
        <v>621.0</v>
      </c>
      <c r="K247" s="25" t="n">
        <f>620</f>
        <v>620.0</v>
      </c>
      <c r="L247" s="2" t="s">
        <v>84</v>
      </c>
      <c r="M247" s="26" t="n">
        <f>26846</f>
        <v>26846.0</v>
      </c>
      <c r="N247" s="3" t="s">
        <v>156</v>
      </c>
      <c r="O247" s="27" t="str">
        <f>"－"</f>
        <v>－</v>
      </c>
      <c r="P247" s="29" t="s">
        <v>784</v>
      </c>
      <c r="Q247" s="25"/>
      <c r="R247" s="29" t="s">
        <v>785</v>
      </c>
      <c r="S247" s="25" t="n">
        <f>1161982946</f>
        <v>1.161982946E9</v>
      </c>
      <c r="T247" s="25" t="n">
        <f>1160420832</f>
        <v>1.160420832E9</v>
      </c>
      <c r="U247" s="3" t="s">
        <v>84</v>
      </c>
      <c r="V247" s="27" t="n">
        <f>51808243600</f>
        <v>5.18082436E10</v>
      </c>
      <c r="W247" s="3" t="s">
        <v>156</v>
      </c>
      <c r="X247" s="27" t="str">
        <f>"－"</f>
        <v>－</v>
      </c>
      <c r="Y247" s="27"/>
      <c r="Z247" s="25" t="n">
        <f>59156</f>
        <v>59156.0</v>
      </c>
      <c r="AA247" s="25" t="n">
        <f>13159</f>
        <v>13159.0</v>
      </c>
      <c r="AB247" s="2" t="s">
        <v>70</v>
      </c>
      <c r="AC247" s="26" t="n">
        <f>29982</f>
        <v>29982.0</v>
      </c>
      <c r="AD247" s="3" t="s">
        <v>328</v>
      </c>
      <c r="AE247" s="27" t="n">
        <f>10241</f>
        <v>10241.0</v>
      </c>
    </row>
    <row r="248">
      <c r="A248" s="20" t="s">
        <v>731</v>
      </c>
      <c r="B248" s="21" t="s">
        <v>732</v>
      </c>
      <c r="C248" s="22"/>
      <c r="D248" s="23"/>
      <c r="E248" s="24" t="s">
        <v>89</v>
      </c>
      <c r="F248" s="28" t="n">
        <f>124</f>
        <v>124.0</v>
      </c>
      <c r="G248" s="25" t="n">
        <f>96316</f>
        <v>96316.0</v>
      </c>
      <c r="H248" s="25"/>
      <c r="I248" s="25" t="n">
        <f>95622</f>
        <v>95622.0</v>
      </c>
      <c r="J248" s="25" t="n">
        <f>777</f>
        <v>777.0</v>
      </c>
      <c r="K248" s="25" t="n">
        <f>771</f>
        <v>771.0</v>
      </c>
      <c r="L248" s="2" t="s">
        <v>94</v>
      </c>
      <c r="M248" s="26" t="n">
        <f>27162</f>
        <v>27162.0</v>
      </c>
      <c r="N248" s="3" t="s">
        <v>254</v>
      </c>
      <c r="O248" s="27" t="str">
        <f>"－"</f>
        <v>－</v>
      </c>
      <c r="P248" s="29" t="s">
        <v>786</v>
      </c>
      <c r="Q248" s="25"/>
      <c r="R248" s="29" t="s">
        <v>787</v>
      </c>
      <c r="S248" s="25" t="n">
        <f>1454634939</f>
        <v>1.454634939E9</v>
      </c>
      <c r="T248" s="25" t="n">
        <f>1443751576</f>
        <v>1.443751576E9</v>
      </c>
      <c r="U248" s="3" t="s">
        <v>94</v>
      </c>
      <c r="V248" s="27" t="n">
        <f>53191276000</f>
        <v>5.3191276E10</v>
      </c>
      <c r="W248" s="3" t="s">
        <v>254</v>
      </c>
      <c r="X248" s="27" t="str">
        <f>"－"</f>
        <v>－</v>
      </c>
      <c r="Y248" s="27"/>
      <c r="Z248" s="25" t="n">
        <f>74766</f>
        <v>74766.0</v>
      </c>
      <c r="AA248" s="25" t="n">
        <f>21484</f>
        <v>21484.0</v>
      </c>
      <c r="AB248" s="2" t="s">
        <v>271</v>
      </c>
      <c r="AC248" s="26" t="n">
        <f>21484</f>
        <v>21484.0</v>
      </c>
      <c r="AD248" s="3" t="s">
        <v>198</v>
      </c>
      <c r="AE248" s="27" t="n">
        <f>15480</f>
        <v>15480.0</v>
      </c>
    </row>
    <row r="249">
      <c r="A249" s="20" t="s">
        <v>731</v>
      </c>
      <c r="B249" s="21" t="s">
        <v>732</v>
      </c>
      <c r="C249" s="22"/>
      <c r="D249" s="23"/>
      <c r="E249" s="24" t="s">
        <v>96</v>
      </c>
      <c r="F249" s="28" t="n">
        <f>121</f>
        <v>121.0</v>
      </c>
      <c r="G249" s="25" t="n">
        <f>260960</f>
        <v>260960.0</v>
      </c>
      <c r="H249" s="25"/>
      <c r="I249" s="25" t="n">
        <f>259251</f>
        <v>259251.0</v>
      </c>
      <c r="J249" s="25" t="n">
        <f>2157</f>
        <v>2157.0</v>
      </c>
      <c r="K249" s="25" t="n">
        <f>2143</f>
        <v>2143.0</v>
      </c>
      <c r="L249" s="2" t="s">
        <v>97</v>
      </c>
      <c r="M249" s="26" t="n">
        <f>67820</f>
        <v>67820.0</v>
      </c>
      <c r="N249" s="3" t="s">
        <v>156</v>
      </c>
      <c r="O249" s="27" t="str">
        <f>"－"</f>
        <v>－</v>
      </c>
      <c r="P249" s="29" t="s">
        <v>788</v>
      </c>
      <c r="Q249" s="25"/>
      <c r="R249" s="29" t="s">
        <v>789</v>
      </c>
      <c r="S249" s="25" t="n">
        <f>4044724508</f>
        <v>4.044724508E9</v>
      </c>
      <c r="T249" s="25" t="n">
        <f>4017683342</f>
        <v>4.017683342E9</v>
      </c>
      <c r="U249" s="3" t="s">
        <v>97</v>
      </c>
      <c r="V249" s="27" t="n">
        <f>125319621625</f>
        <v>1.25319621625E11</v>
      </c>
      <c r="W249" s="3" t="s">
        <v>156</v>
      </c>
      <c r="X249" s="27" t="str">
        <f>"－"</f>
        <v>－</v>
      </c>
      <c r="Y249" s="27"/>
      <c r="Z249" s="25" t="n">
        <f>136862</f>
        <v>136862.0</v>
      </c>
      <c r="AA249" s="25" t="n">
        <f>20646</f>
        <v>20646.0</v>
      </c>
      <c r="AB249" s="2" t="s">
        <v>84</v>
      </c>
      <c r="AC249" s="26" t="n">
        <f>58048</f>
        <v>58048.0</v>
      </c>
      <c r="AD249" s="3" t="s">
        <v>101</v>
      </c>
      <c r="AE249" s="27" t="n">
        <f>20596</f>
        <v>20596.0</v>
      </c>
    </row>
    <row r="250">
      <c r="A250" s="20" t="s">
        <v>731</v>
      </c>
      <c r="B250" s="21" t="s">
        <v>732</v>
      </c>
      <c r="C250" s="22"/>
      <c r="D250" s="23"/>
      <c r="E250" s="24" t="s">
        <v>102</v>
      </c>
      <c r="F250" s="28" t="n">
        <f>124</f>
        <v>124.0</v>
      </c>
      <c r="G250" s="25" t="n">
        <f>140436</f>
        <v>140436.0</v>
      </c>
      <c r="H250" s="25"/>
      <c r="I250" s="25" t="n">
        <f>138879</f>
        <v>138879.0</v>
      </c>
      <c r="J250" s="25" t="n">
        <f>1133</f>
        <v>1133.0</v>
      </c>
      <c r="K250" s="25" t="n">
        <f>1120</f>
        <v>1120.0</v>
      </c>
      <c r="L250" s="2" t="s">
        <v>117</v>
      </c>
      <c r="M250" s="26" t="n">
        <f>34702</f>
        <v>34702.0</v>
      </c>
      <c r="N250" s="3" t="s">
        <v>633</v>
      </c>
      <c r="O250" s="27" t="str">
        <f>"－"</f>
        <v>－</v>
      </c>
      <c r="P250" s="29" t="s">
        <v>790</v>
      </c>
      <c r="Q250" s="25"/>
      <c r="R250" s="29" t="s">
        <v>791</v>
      </c>
      <c r="S250" s="25" t="n">
        <f>1903370457</f>
        <v>1.903370457E9</v>
      </c>
      <c r="T250" s="25" t="n">
        <f>1881499699</f>
        <v>1.881499699E9</v>
      </c>
      <c r="U250" s="3" t="s">
        <v>117</v>
      </c>
      <c r="V250" s="27" t="n">
        <f>55103824000</f>
        <v>5.5103824E10</v>
      </c>
      <c r="W250" s="3" t="s">
        <v>633</v>
      </c>
      <c r="X250" s="27" t="str">
        <f>"－"</f>
        <v>－</v>
      </c>
      <c r="Y250" s="27"/>
      <c r="Z250" s="25" t="n">
        <f>39508</f>
        <v>39508.0</v>
      </c>
      <c r="AA250" s="25" t="n">
        <f>29711</f>
        <v>29711.0</v>
      </c>
      <c r="AB250" s="2" t="s">
        <v>117</v>
      </c>
      <c r="AC250" s="26" t="n">
        <f>41006</f>
        <v>41006.0</v>
      </c>
      <c r="AD250" s="3" t="s">
        <v>339</v>
      </c>
      <c r="AE250" s="27" t="n">
        <f>14063</f>
        <v>14063.0</v>
      </c>
    </row>
    <row r="251">
      <c r="A251" s="20" t="s">
        <v>731</v>
      </c>
      <c r="B251" s="21" t="s">
        <v>732</v>
      </c>
      <c r="C251" s="22"/>
      <c r="D251" s="23"/>
      <c r="E251" s="24" t="s">
        <v>107</v>
      </c>
      <c r="F251" s="28" t="n">
        <f>117</f>
        <v>117.0</v>
      </c>
      <c r="G251" s="25" t="n">
        <f>185525</f>
        <v>185525.0</v>
      </c>
      <c r="H251" s="25"/>
      <c r="I251" s="25" t="n">
        <f>185458</f>
        <v>185458.0</v>
      </c>
      <c r="J251" s="25" t="n">
        <f>1586</f>
        <v>1586.0</v>
      </c>
      <c r="K251" s="25" t="n">
        <f>1585</f>
        <v>1585.0</v>
      </c>
      <c r="L251" s="2" t="s">
        <v>97</v>
      </c>
      <c r="M251" s="26" t="n">
        <f>31740</f>
        <v>31740.0</v>
      </c>
      <c r="N251" s="3" t="s">
        <v>369</v>
      </c>
      <c r="O251" s="27" t="str">
        <f>"－"</f>
        <v>－</v>
      </c>
      <c r="P251" s="29" t="s">
        <v>792</v>
      </c>
      <c r="Q251" s="25"/>
      <c r="R251" s="29" t="s">
        <v>793</v>
      </c>
      <c r="S251" s="25" t="n">
        <f>2319028426</f>
        <v>2.319028426E9</v>
      </c>
      <c r="T251" s="25" t="n">
        <f>2318165289</f>
        <v>2.318165289E9</v>
      </c>
      <c r="U251" s="3" t="s">
        <v>97</v>
      </c>
      <c r="V251" s="27" t="n">
        <f>48660880000</f>
        <v>4.866088E10</v>
      </c>
      <c r="W251" s="3" t="s">
        <v>369</v>
      </c>
      <c r="X251" s="27" t="str">
        <f>"－"</f>
        <v>－</v>
      </c>
      <c r="Y251" s="27"/>
      <c r="Z251" s="25" t="n">
        <f>16916</f>
        <v>16916.0</v>
      </c>
      <c r="AA251" s="25" t="n">
        <f>37870</f>
        <v>37870.0</v>
      </c>
      <c r="AB251" s="2" t="s">
        <v>84</v>
      </c>
      <c r="AC251" s="26" t="n">
        <f>71728</f>
        <v>71728.0</v>
      </c>
      <c r="AD251" s="3" t="s">
        <v>741</v>
      </c>
      <c r="AE251" s="27" t="n">
        <f>29608</f>
        <v>29608.0</v>
      </c>
    </row>
    <row r="252">
      <c r="A252" s="20" t="s">
        <v>731</v>
      </c>
      <c r="B252" s="21" t="s">
        <v>732</v>
      </c>
      <c r="C252" s="22"/>
      <c r="D252" s="23"/>
      <c r="E252" s="24" t="s">
        <v>113</v>
      </c>
      <c r="F252" s="28" t="n">
        <f>124</f>
        <v>124.0</v>
      </c>
      <c r="G252" s="25" t="n">
        <f>244075</f>
        <v>244075.0</v>
      </c>
      <c r="H252" s="25"/>
      <c r="I252" s="25" t="n">
        <f>244040</f>
        <v>244040.0</v>
      </c>
      <c r="J252" s="25" t="n">
        <f>1968</f>
        <v>1968.0</v>
      </c>
      <c r="K252" s="25" t="n">
        <f>1968</f>
        <v>1968.0</v>
      </c>
      <c r="L252" s="2" t="s">
        <v>295</v>
      </c>
      <c r="M252" s="26" t="n">
        <f>76698</f>
        <v>76698.0</v>
      </c>
      <c r="N252" s="3" t="s">
        <v>68</v>
      </c>
      <c r="O252" s="27" t="str">
        <f>"－"</f>
        <v>－</v>
      </c>
      <c r="P252" s="29" t="s">
        <v>794</v>
      </c>
      <c r="Q252" s="25"/>
      <c r="R252" s="29" t="s">
        <v>795</v>
      </c>
      <c r="S252" s="25" t="n">
        <f>2771510951</f>
        <v>2.771510951E9</v>
      </c>
      <c r="T252" s="25" t="n">
        <f>2771115306</f>
        <v>2.771115306E9</v>
      </c>
      <c r="U252" s="3" t="s">
        <v>295</v>
      </c>
      <c r="V252" s="27" t="n">
        <f>103352635000</f>
        <v>1.03352635E11</v>
      </c>
      <c r="W252" s="3" t="s">
        <v>68</v>
      </c>
      <c r="X252" s="27" t="str">
        <f>"－"</f>
        <v>－</v>
      </c>
      <c r="Y252" s="27"/>
      <c r="Z252" s="25" t="n">
        <f>17400</f>
        <v>17400.0</v>
      </c>
      <c r="AA252" s="25" t="n">
        <f>40217</f>
        <v>40217.0</v>
      </c>
      <c r="AB252" s="2" t="s">
        <v>295</v>
      </c>
      <c r="AC252" s="26" t="n">
        <f>82234</f>
        <v>82234.0</v>
      </c>
      <c r="AD252" s="3" t="s">
        <v>68</v>
      </c>
      <c r="AE252" s="27" t="n">
        <f>37870</f>
        <v>37870.0</v>
      </c>
    </row>
    <row r="253">
      <c r="A253" s="20" t="s">
        <v>731</v>
      </c>
      <c r="B253" s="21" t="s">
        <v>732</v>
      </c>
      <c r="C253" s="22"/>
      <c r="D253" s="23"/>
      <c r="E253" s="24" t="s">
        <v>119</v>
      </c>
      <c r="F253" s="28" t="n">
        <f>119</f>
        <v>119.0</v>
      </c>
      <c r="G253" s="25" t="n">
        <f>166586</f>
        <v>166586.0</v>
      </c>
      <c r="H253" s="25"/>
      <c r="I253" s="25" t="n">
        <f>166468</f>
        <v>166468.0</v>
      </c>
      <c r="J253" s="25" t="n">
        <f>1400</f>
        <v>1400.0</v>
      </c>
      <c r="K253" s="25" t="n">
        <f>1399</f>
        <v>1399.0</v>
      </c>
      <c r="L253" s="2" t="s">
        <v>97</v>
      </c>
      <c r="M253" s="26" t="n">
        <f>39300</f>
        <v>39300.0</v>
      </c>
      <c r="N253" s="3" t="s">
        <v>328</v>
      </c>
      <c r="O253" s="27" t="str">
        <f>"－"</f>
        <v>－</v>
      </c>
      <c r="P253" s="29" t="s">
        <v>796</v>
      </c>
      <c r="Q253" s="25"/>
      <c r="R253" s="29" t="s">
        <v>797</v>
      </c>
      <c r="S253" s="25" t="n">
        <f>1656943660</f>
        <v>1.65694366E9</v>
      </c>
      <c r="T253" s="25" t="n">
        <f>1655543248</f>
        <v>1.655543248E9</v>
      </c>
      <c r="U253" s="3" t="s">
        <v>97</v>
      </c>
      <c r="V253" s="27" t="n">
        <f>48244025000</f>
        <v>4.8244025E10</v>
      </c>
      <c r="W253" s="3" t="s">
        <v>328</v>
      </c>
      <c r="X253" s="27" t="str">
        <f>"－"</f>
        <v>－</v>
      </c>
      <c r="Y253" s="27"/>
      <c r="Z253" s="25" t="n">
        <f>17400</f>
        <v>17400.0</v>
      </c>
      <c r="AA253" s="25" t="n">
        <f>20485</f>
        <v>20485.0</v>
      </c>
      <c r="AB253" s="2" t="s">
        <v>56</v>
      </c>
      <c r="AC253" s="26" t="n">
        <f>60317</f>
        <v>60317.0</v>
      </c>
      <c r="AD253" s="3" t="s">
        <v>172</v>
      </c>
      <c r="AE253" s="27" t="n">
        <f>20485</f>
        <v>20485.0</v>
      </c>
    </row>
    <row r="254">
      <c r="A254" s="20" t="s">
        <v>731</v>
      </c>
      <c r="B254" s="21" t="s">
        <v>732</v>
      </c>
      <c r="C254" s="22"/>
      <c r="D254" s="23"/>
      <c r="E254" s="24" t="s">
        <v>124</v>
      </c>
      <c r="F254" s="28" t="n">
        <f>124</f>
        <v>124.0</v>
      </c>
      <c r="G254" s="25" t="n">
        <f>189340</f>
        <v>189340.0</v>
      </c>
      <c r="H254" s="25"/>
      <c r="I254" s="25" t="n">
        <f>188925</f>
        <v>188925.0</v>
      </c>
      <c r="J254" s="25" t="n">
        <f>1527</f>
        <v>1527.0</v>
      </c>
      <c r="K254" s="25" t="n">
        <f>1524</f>
        <v>1524.0</v>
      </c>
      <c r="L254" s="2" t="s">
        <v>81</v>
      </c>
      <c r="M254" s="26" t="n">
        <f>58588</f>
        <v>58588.0</v>
      </c>
      <c r="N254" s="3" t="s">
        <v>68</v>
      </c>
      <c r="O254" s="27" t="str">
        <f>"－"</f>
        <v>－</v>
      </c>
      <c r="P254" s="29" t="s">
        <v>798</v>
      </c>
      <c r="Q254" s="25"/>
      <c r="R254" s="29" t="s">
        <v>799</v>
      </c>
      <c r="S254" s="25" t="n">
        <f>1821260223</f>
        <v>1.821260223E9</v>
      </c>
      <c r="T254" s="25" t="n">
        <f>1817317521</f>
        <v>1.817317521E9</v>
      </c>
      <c r="U254" s="3" t="s">
        <v>81</v>
      </c>
      <c r="V254" s="27" t="n">
        <f>69693967100</f>
        <v>6.96939671E10</v>
      </c>
      <c r="W254" s="3" t="s">
        <v>68</v>
      </c>
      <c r="X254" s="27" t="str">
        <f>"－"</f>
        <v>－</v>
      </c>
      <c r="Y254" s="27"/>
      <c r="Z254" s="25" t="n">
        <f>11365</f>
        <v>11365.0</v>
      </c>
      <c r="AA254" s="25" t="n">
        <f>38118</f>
        <v>38118.0</v>
      </c>
      <c r="AB254" s="2" t="s">
        <v>125</v>
      </c>
      <c r="AC254" s="26" t="n">
        <f>46288</f>
        <v>46288.0</v>
      </c>
      <c r="AD254" s="3" t="s">
        <v>68</v>
      </c>
      <c r="AE254" s="27" t="n">
        <f>20485</f>
        <v>20485.0</v>
      </c>
    </row>
    <row r="255">
      <c r="A255" s="20" t="s">
        <v>731</v>
      </c>
      <c r="B255" s="21" t="s">
        <v>732</v>
      </c>
      <c r="C255" s="22"/>
      <c r="D255" s="23"/>
      <c r="E255" s="24" t="s">
        <v>130</v>
      </c>
      <c r="F255" s="28" t="n">
        <f>121</f>
        <v>121.0</v>
      </c>
      <c r="G255" s="25" t="n">
        <f>242370</f>
        <v>242370.0</v>
      </c>
      <c r="H255" s="25"/>
      <c r="I255" s="25" t="n">
        <f>242361</f>
        <v>242361.0</v>
      </c>
      <c r="J255" s="25" t="n">
        <f>2003</f>
        <v>2003.0</v>
      </c>
      <c r="K255" s="25" t="n">
        <f>2003</f>
        <v>2003.0</v>
      </c>
      <c r="L255" s="2" t="s">
        <v>146</v>
      </c>
      <c r="M255" s="26" t="n">
        <f>62404</f>
        <v>62404.0</v>
      </c>
      <c r="N255" s="3" t="s">
        <v>156</v>
      </c>
      <c r="O255" s="27" t="str">
        <f>"－"</f>
        <v>－</v>
      </c>
      <c r="P255" s="29" t="s">
        <v>800</v>
      </c>
      <c r="Q255" s="25"/>
      <c r="R255" s="29" t="s">
        <v>801</v>
      </c>
      <c r="S255" s="25" t="n">
        <f>2920809204</f>
        <v>2.920809204E9</v>
      </c>
      <c r="T255" s="25" t="n">
        <f>2920698658</f>
        <v>2.920698658E9</v>
      </c>
      <c r="U255" s="3" t="s">
        <v>146</v>
      </c>
      <c r="V255" s="27" t="n">
        <f>93576000000</f>
        <v>9.3576E10</v>
      </c>
      <c r="W255" s="3" t="s">
        <v>156</v>
      </c>
      <c r="X255" s="27" t="str">
        <f>"－"</f>
        <v>－</v>
      </c>
      <c r="Y255" s="27"/>
      <c r="Z255" s="25" t="n">
        <f>25576</f>
        <v>25576.0</v>
      </c>
      <c r="AA255" s="25" t="n">
        <f>51487</f>
        <v>51487.0</v>
      </c>
      <c r="AB255" s="2" t="s">
        <v>101</v>
      </c>
      <c r="AC255" s="26" t="n">
        <f>75054</f>
        <v>75054.0</v>
      </c>
      <c r="AD255" s="3" t="s">
        <v>156</v>
      </c>
      <c r="AE255" s="27" t="n">
        <f>38118</f>
        <v>38118.0</v>
      </c>
    </row>
    <row r="256">
      <c r="A256" s="20" t="s">
        <v>731</v>
      </c>
      <c r="B256" s="21" t="s">
        <v>732</v>
      </c>
      <c r="C256" s="22"/>
      <c r="D256" s="23"/>
      <c r="E256" s="24" t="s">
        <v>136</v>
      </c>
      <c r="F256" s="28" t="n">
        <f>124</f>
        <v>124.0</v>
      </c>
      <c r="G256" s="25" t="n">
        <f>171800</f>
        <v>171800.0</v>
      </c>
      <c r="H256" s="25"/>
      <c r="I256" s="25" t="n">
        <f>171765</f>
        <v>171765.0</v>
      </c>
      <c r="J256" s="25" t="n">
        <f>1385</f>
        <v>1385.0</v>
      </c>
      <c r="K256" s="25" t="n">
        <f>1385</f>
        <v>1385.0</v>
      </c>
      <c r="L256" s="2" t="s">
        <v>90</v>
      </c>
      <c r="M256" s="26" t="n">
        <f>45024</f>
        <v>45024.0</v>
      </c>
      <c r="N256" s="3" t="s">
        <v>68</v>
      </c>
      <c r="O256" s="27" t="str">
        <f>"－"</f>
        <v>－</v>
      </c>
      <c r="P256" s="29" t="s">
        <v>802</v>
      </c>
      <c r="Q256" s="25"/>
      <c r="R256" s="29" t="s">
        <v>803</v>
      </c>
      <c r="S256" s="25" t="n">
        <f>1997366473</f>
        <v>1.997366473E9</v>
      </c>
      <c r="T256" s="25" t="n">
        <f>1996948127</f>
        <v>1.996948127E9</v>
      </c>
      <c r="U256" s="3" t="s">
        <v>90</v>
      </c>
      <c r="V256" s="27" t="n">
        <f>64943304000</f>
        <v>6.4943304E10</v>
      </c>
      <c r="W256" s="3" t="s">
        <v>68</v>
      </c>
      <c r="X256" s="27" t="str">
        <f>"－"</f>
        <v>－</v>
      </c>
      <c r="Y256" s="27"/>
      <c r="Z256" s="25" t="n">
        <f>4511</f>
        <v>4511.0</v>
      </c>
      <c r="AA256" s="25" t="n">
        <f>30719</f>
        <v>30719.0</v>
      </c>
      <c r="AB256" s="2" t="s">
        <v>90</v>
      </c>
      <c r="AC256" s="26" t="n">
        <f>60946</f>
        <v>60946.0</v>
      </c>
      <c r="AD256" s="3" t="s">
        <v>117</v>
      </c>
      <c r="AE256" s="27" t="n">
        <f>30719</f>
        <v>30719.0</v>
      </c>
    </row>
    <row r="257">
      <c r="A257" s="20" t="s">
        <v>731</v>
      </c>
      <c r="B257" s="21" t="s">
        <v>732</v>
      </c>
      <c r="C257" s="22"/>
      <c r="D257" s="23"/>
      <c r="E257" s="24" t="s">
        <v>142</v>
      </c>
      <c r="F257" s="28" t="n">
        <f>120</f>
        <v>120.0</v>
      </c>
      <c r="G257" s="25" t="n">
        <f>188319</f>
        <v>188319.0</v>
      </c>
      <c r="H257" s="25"/>
      <c r="I257" s="25" t="n">
        <f>186499</f>
        <v>186499.0</v>
      </c>
      <c r="J257" s="25" t="n">
        <f>1569</f>
        <v>1569.0</v>
      </c>
      <c r="K257" s="25" t="n">
        <f>1554</f>
        <v>1554.0</v>
      </c>
      <c r="L257" s="2" t="s">
        <v>70</v>
      </c>
      <c r="M257" s="26" t="n">
        <f>81354</f>
        <v>81354.0</v>
      </c>
      <c r="N257" s="3" t="s">
        <v>156</v>
      </c>
      <c r="O257" s="27" t="str">
        <f>"－"</f>
        <v>－</v>
      </c>
      <c r="P257" s="29" t="s">
        <v>804</v>
      </c>
      <c r="Q257" s="25"/>
      <c r="R257" s="29" t="s">
        <v>805</v>
      </c>
      <c r="S257" s="25" t="n">
        <f>2384404868</f>
        <v>2.384404868E9</v>
      </c>
      <c r="T257" s="25" t="n">
        <f>2360663435</f>
        <v>2.360663435E9</v>
      </c>
      <c r="U257" s="3" t="s">
        <v>70</v>
      </c>
      <c r="V257" s="27" t="n">
        <f>118391786700</f>
        <v>1.183917867E11</v>
      </c>
      <c r="W257" s="3" t="s">
        <v>156</v>
      </c>
      <c r="X257" s="27" t="str">
        <f>"－"</f>
        <v>－</v>
      </c>
      <c r="Y257" s="27"/>
      <c r="Z257" s="25" t="n">
        <f>8061</f>
        <v>8061.0</v>
      </c>
      <c r="AA257" s="25" t="n">
        <f>38622</f>
        <v>38622.0</v>
      </c>
      <c r="AB257" s="2" t="s">
        <v>134</v>
      </c>
      <c r="AC257" s="26" t="n">
        <f>75869</f>
        <v>75869.0</v>
      </c>
      <c r="AD257" s="3" t="s">
        <v>156</v>
      </c>
      <c r="AE257" s="27" t="n">
        <f>30719</f>
        <v>30719.0</v>
      </c>
    </row>
    <row r="258">
      <c r="A258" s="20" t="s">
        <v>731</v>
      </c>
      <c r="B258" s="21" t="s">
        <v>732</v>
      </c>
      <c r="C258" s="22"/>
      <c r="D258" s="23"/>
      <c r="E258" s="24" t="s">
        <v>148</v>
      </c>
      <c r="F258" s="28" t="n">
        <f>124</f>
        <v>124.0</v>
      </c>
      <c r="G258" s="25" t="n">
        <f>365893</f>
        <v>365893.0</v>
      </c>
      <c r="H258" s="25"/>
      <c r="I258" s="25" t="n">
        <f>364570</f>
        <v>364570.0</v>
      </c>
      <c r="J258" s="25" t="n">
        <f>2951</f>
        <v>2951.0</v>
      </c>
      <c r="K258" s="25" t="n">
        <f>2940</f>
        <v>2940.0</v>
      </c>
      <c r="L258" s="2" t="s">
        <v>806</v>
      </c>
      <c r="M258" s="26" t="n">
        <f>96000</f>
        <v>96000.0</v>
      </c>
      <c r="N258" s="3" t="s">
        <v>68</v>
      </c>
      <c r="O258" s="27" t="str">
        <f>"－"</f>
        <v>－</v>
      </c>
      <c r="P258" s="29" t="s">
        <v>807</v>
      </c>
      <c r="Q258" s="25"/>
      <c r="R258" s="29" t="s">
        <v>808</v>
      </c>
      <c r="S258" s="25" t="n">
        <f>4888727805</f>
        <v>4.888727805E9</v>
      </c>
      <c r="T258" s="25" t="n">
        <f>4871045240</f>
        <v>4.87104524E9</v>
      </c>
      <c r="U258" s="3" t="s">
        <v>806</v>
      </c>
      <c r="V258" s="27" t="n">
        <f>151948000000</f>
        <v>1.51948E11</v>
      </c>
      <c r="W258" s="3" t="s">
        <v>68</v>
      </c>
      <c r="X258" s="27" t="str">
        <f>"－"</f>
        <v>－</v>
      </c>
      <c r="Y258" s="27"/>
      <c r="Z258" s="25" t="n">
        <f>41083</f>
        <v>41083.0</v>
      </c>
      <c r="AA258" s="25" t="n">
        <f>84057</f>
        <v>84057.0</v>
      </c>
      <c r="AB258" s="2" t="s">
        <v>81</v>
      </c>
      <c r="AC258" s="26" t="n">
        <f>86574</f>
        <v>86574.0</v>
      </c>
      <c r="AD258" s="3" t="s">
        <v>68</v>
      </c>
      <c r="AE258" s="27" t="n">
        <f>38622</f>
        <v>38622.0</v>
      </c>
    </row>
    <row r="259">
      <c r="A259" s="20" t="s">
        <v>731</v>
      </c>
      <c r="B259" s="21" t="s">
        <v>732</v>
      </c>
      <c r="C259" s="22"/>
      <c r="D259" s="23"/>
      <c r="E259" s="24" t="s">
        <v>151</v>
      </c>
      <c r="F259" s="28" t="n">
        <f>122</f>
        <v>122.0</v>
      </c>
      <c r="G259" s="25" t="n">
        <f>464333</f>
        <v>464333.0</v>
      </c>
      <c r="H259" s="25"/>
      <c r="I259" s="25" t="n">
        <f>461622</f>
        <v>461622.0</v>
      </c>
      <c r="J259" s="25" t="n">
        <f>3806</f>
        <v>3806.0</v>
      </c>
      <c r="K259" s="25" t="n">
        <f>3784</f>
        <v>3784.0</v>
      </c>
      <c r="L259" s="2" t="s">
        <v>482</v>
      </c>
      <c r="M259" s="26" t="n">
        <f>62932</f>
        <v>62932.0</v>
      </c>
      <c r="N259" s="3" t="s">
        <v>328</v>
      </c>
      <c r="O259" s="27" t="str">
        <f>"－"</f>
        <v>－</v>
      </c>
      <c r="P259" s="29" t="s">
        <v>809</v>
      </c>
      <c r="Q259" s="25"/>
      <c r="R259" s="29" t="s">
        <v>810</v>
      </c>
      <c r="S259" s="25" t="n">
        <f>7795951454</f>
        <v>7.795951454E9</v>
      </c>
      <c r="T259" s="25" t="n">
        <f>7750214626</f>
        <v>7.750214626E9</v>
      </c>
      <c r="U259" s="3" t="s">
        <v>482</v>
      </c>
      <c r="V259" s="27" t="n">
        <f>131136742100</f>
        <v>1.311367421E11</v>
      </c>
      <c r="W259" s="3" t="s">
        <v>328</v>
      </c>
      <c r="X259" s="27" t="str">
        <f>"－"</f>
        <v>－</v>
      </c>
      <c r="Y259" s="27"/>
      <c r="Z259" s="25" t="n">
        <f>177812</f>
        <v>177812.0</v>
      </c>
      <c r="AA259" s="25" t="n">
        <f>50982</f>
        <v>50982.0</v>
      </c>
      <c r="AB259" s="2" t="s">
        <v>97</v>
      </c>
      <c r="AC259" s="26" t="n">
        <f>129794</f>
        <v>129794.0</v>
      </c>
      <c r="AD259" s="3" t="s">
        <v>189</v>
      </c>
      <c r="AE259" s="27" t="n">
        <f>49770</f>
        <v>49770.0</v>
      </c>
    </row>
    <row r="260">
      <c r="A260" s="20" t="s">
        <v>731</v>
      </c>
      <c r="B260" s="21" t="s">
        <v>732</v>
      </c>
      <c r="C260" s="22"/>
      <c r="D260" s="23"/>
      <c r="E260" s="24" t="s">
        <v>157</v>
      </c>
      <c r="F260" s="28" t="n">
        <f>124</f>
        <v>124.0</v>
      </c>
      <c r="G260" s="25" t="n">
        <f>366258</f>
        <v>366258.0</v>
      </c>
      <c r="H260" s="25"/>
      <c r="I260" s="25" t="n">
        <f>365609</f>
        <v>365609.0</v>
      </c>
      <c r="J260" s="25" t="n">
        <f>2954</f>
        <v>2954.0</v>
      </c>
      <c r="K260" s="25" t="n">
        <f>2948</f>
        <v>2948.0</v>
      </c>
      <c r="L260" s="2" t="s">
        <v>331</v>
      </c>
      <c r="M260" s="26" t="n">
        <f>68860</f>
        <v>68860.0</v>
      </c>
      <c r="N260" s="3" t="s">
        <v>225</v>
      </c>
      <c r="O260" s="27" t="str">
        <f>"－"</f>
        <v>－</v>
      </c>
      <c r="P260" s="29" t="s">
        <v>811</v>
      </c>
      <c r="Q260" s="25"/>
      <c r="R260" s="29" t="s">
        <v>812</v>
      </c>
      <c r="S260" s="25" t="n">
        <f>7456491533</f>
        <v>7.456491533E9</v>
      </c>
      <c r="T260" s="25" t="n">
        <f>7443062920</f>
        <v>7.44306292E9</v>
      </c>
      <c r="U260" s="3" t="s">
        <v>331</v>
      </c>
      <c r="V260" s="27" t="n">
        <f>170314204500</f>
        <v>1.703142045E11</v>
      </c>
      <c r="W260" s="3" t="s">
        <v>225</v>
      </c>
      <c r="X260" s="27" t="str">
        <f>"－"</f>
        <v>－</v>
      </c>
      <c r="Y260" s="27"/>
      <c r="Z260" s="25" t="n">
        <f>103267</f>
        <v>103267.0</v>
      </c>
      <c r="AA260" s="25" t="n">
        <f>59060</f>
        <v>59060.0</v>
      </c>
      <c r="AB260" s="2" t="s">
        <v>388</v>
      </c>
      <c r="AC260" s="26" t="n">
        <f>73730</f>
        <v>73730.0</v>
      </c>
      <c r="AD260" s="3" t="s">
        <v>67</v>
      </c>
      <c r="AE260" s="27" t="n">
        <f>36979</f>
        <v>36979.0</v>
      </c>
    </row>
    <row r="261">
      <c r="A261" s="20" t="s">
        <v>731</v>
      </c>
      <c r="B261" s="21" t="s">
        <v>732</v>
      </c>
      <c r="C261" s="22"/>
      <c r="D261" s="23"/>
      <c r="E261" s="24" t="s">
        <v>160</v>
      </c>
      <c r="F261" s="28" t="n">
        <f>58</f>
        <v>58.0</v>
      </c>
      <c r="G261" s="25" t="n">
        <f>228967</f>
        <v>228967.0</v>
      </c>
      <c r="H261" s="25"/>
      <c r="I261" s="25" t="n">
        <f>228865</f>
        <v>228865.0</v>
      </c>
      <c r="J261" s="25" t="n">
        <f>3948</f>
        <v>3948.0</v>
      </c>
      <c r="K261" s="25" t="n">
        <f>3946</f>
        <v>3946.0</v>
      </c>
      <c r="L261" s="2" t="s">
        <v>314</v>
      </c>
      <c r="M261" s="26" t="n">
        <f>69977</f>
        <v>69977.0</v>
      </c>
      <c r="N261" s="3" t="s">
        <v>123</v>
      </c>
      <c r="O261" s="27" t="str">
        <f>"－"</f>
        <v>－</v>
      </c>
      <c r="P261" s="29" t="s">
        <v>813</v>
      </c>
      <c r="Q261" s="25"/>
      <c r="R261" s="29" t="s">
        <v>814</v>
      </c>
      <c r="S261" s="25" t="n">
        <f>11791952002</f>
        <v>1.1791952002E10</v>
      </c>
      <c r="T261" s="25" t="n">
        <f>11786993950</f>
        <v>1.178699395E10</v>
      </c>
      <c r="U261" s="3" t="s">
        <v>314</v>
      </c>
      <c r="V261" s="27" t="n">
        <f>210953768000</f>
        <v>2.10953768E11</v>
      </c>
      <c r="W261" s="3" t="s">
        <v>123</v>
      </c>
      <c r="X261" s="27" t="str">
        <f>"－"</f>
        <v>－</v>
      </c>
      <c r="Y261" s="27"/>
      <c r="Z261" s="25" t="n">
        <f>99621</f>
        <v>99621.0</v>
      </c>
      <c r="AA261" s="25" t="n">
        <f>74982</f>
        <v>74982.0</v>
      </c>
      <c r="AB261" s="2" t="s">
        <v>314</v>
      </c>
      <c r="AC261" s="26" t="n">
        <f>107382</f>
        <v>107382.0</v>
      </c>
      <c r="AD261" s="3" t="s">
        <v>520</v>
      </c>
      <c r="AE261" s="27" t="n">
        <f>58868</f>
        <v>58868.0</v>
      </c>
    </row>
    <row r="262">
      <c r="A262" s="20" t="s">
        <v>815</v>
      </c>
      <c r="B262" s="21" t="s">
        <v>816</v>
      </c>
      <c r="C262" s="22"/>
      <c r="D262" s="23"/>
      <c r="E262" s="24" t="s">
        <v>410</v>
      </c>
      <c r="F262" s="28" t="n">
        <f>11</f>
        <v>11.0</v>
      </c>
      <c r="G262" s="25" t="n">
        <f>7541</f>
        <v>7541.0</v>
      </c>
      <c r="H262" s="25"/>
      <c r="I262" s="25" t="n">
        <f>5103</f>
        <v>5103.0</v>
      </c>
      <c r="J262" s="25" t="n">
        <f>686</f>
        <v>686.0</v>
      </c>
      <c r="K262" s="25" t="n">
        <f>464</f>
        <v>464.0</v>
      </c>
      <c r="L262" s="2" t="s">
        <v>315</v>
      </c>
      <c r="M262" s="26" t="n">
        <f>2332</f>
        <v>2332.0</v>
      </c>
      <c r="N262" s="3" t="s">
        <v>400</v>
      </c>
      <c r="O262" s="27" t="n">
        <f>56</f>
        <v>56.0</v>
      </c>
      <c r="P262" s="29" t="s">
        <v>817</v>
      </c>
      <c r="Q262" s="25"/>
      <c r="R262" s="29" t="s">
        <v>818</v>
      </c>
      <c r="S262" s="25" t="n">
        <f>952558636</f>
        <v>9.52558636E8</v>
      </c>
      <c r="T262" s="25" t="n">
        <f>644946864</f>
        <v>6.44946864E8</v>
      </c>
      <c r="U262" s="3" t="s">
        <v>315</v>
      </c>
      <c r="V262" s="27" t="n">
        <f>3266452400</f>
        <v>3.2664524E9</v>
      </c>
      <c r="W262" s="3" t="s">
        <v>400</v>
      </c>
      <c r="X262" s="27" t="n">
        <f>76336000</f>
        <v>7.6336E7</v>
      </c>
      <c r="Y262" s="27"/>
      <c r="Z262" s="25" t="str">
        <f>"－"</f>
        <v>－</v>
      </c>
      <c r="AA262" s="25" t="n">
        <f>5313</f>
        <v>5313.0</v>
      </c>
      <c r="AB262" s="2" t="s">
        <v>251</v>
      </c>
      <c r="AC262" s="26" t="n">
        <f>5313</f>
        <v>5313.0</v>
      </c>
      <c r="AD262" s="3" t="s">
        <v>61</v>
      </c>
      <c r="AE262" s="27" t="n">
        <f>141</f>
        <v>141.0</v>
      </c>
    </row>
    <row r="263">
      <c r="A263" s="20" t="s">
        <v>815</v>
      </c>
      <c r="B263" s="21" t="s">
        <v>816</v>
      </c>
      <c r="C263" s="22"/>
      <c r="D263" s="23"/>
      <c r="E263" s="24" t="s">
        <v>415</v>
      </c>
      <c r="F263" s="28" t="n">
        <f>124</f>
        <v>124.0</v>
      </c>
      <c r="G263" s="25" t="n">
        <f>82381</f>
        <v>82381.0</v>
      </c>
      <c r="H263" s="25"/>
      <c r="I263" s="25" t="n">
        <f>52393</f>
        <v>52393.0</v>
      </c>
      <c r="J263" s="25" t="n">
        <f>664</f>
        <v>664.0</v>
      </c>
      <c r="K263" s="25" t="n">
        <f>423</f>
        <v>423.0</v>
      </c>
      <c r="L263" s="2" t="s">
        <v>295</v>
      </c>
      <c r="M263" s="26" t="n">
        <f>9202</f>
        <v>9202.0</v>
      </c>
      <c r="N263" s="3" t="s">
        <v>298</v>
      </c>
      <c r="O263" s="27" t="str">
        <f>"－"</f>
        <v>－</v>
      </c>
      <c r="P263" s="29" t="s">
        <v>819</v>
      </c>
      <c r="Q263" s="25"/>
      <c r="R263" s="29" t="s">
        <v>820</v>
      </c>
      <c r="S263" s="25" t="n">
        <f>686994935</f>
        <v>6.86994935E8</v>
      </c>
      <c r="T263" s="25" t="n">
        <f>422330845</f>
        <v>4.22330845E8</v>
      </c>
      <c r="U263" s="3" t="s">
        <v>295</v>
      </c>
      <c r="V263" s="27" t="n">
        <f>10948010300</f>
        <v>1.09480103E10</v>
      </c>
      <c r="W263" s="3" t="s">
        <v>298</v>
      </c>
      <c r="X263" s="27" t="str">
        <f>"－"</f>
        <v>－</v>
      </c>
      <c r="Y263" s="27"/>
      <c r="Z263" s="25" t="str">
        <f>"－"</f>
        <v>－</v>
      </c>
      <c r="AA263" s="25" t="n">
        <f>4509</f>
        <v>4509.0</v>
      </c>
      <c r="AB263" s="2" t="s">
        <v>285</v>
      </c>
      <c r="AC263" s="26" t="n">
        <f>14224</f>
        <v>14224.0</v>
      </c>
      <c r="AD263" s="3" t="s">
        <v>106</v>
      </c>
      <c r="AE263" s="27" t="n">
        <f>4385</f>
        <v>4385.0</v>
      </c>
    </row>
    <row r="264">
      <c r="A264" s="20" t="s">
        <v>815</v>
      </c>
      <c r="B264" s="21" t="s">
        <v>816</v>
      </c>
      <c r="C264" s="22"/>
      <c r="D264" s="23"/>
      <c r="E264" s="24" t="s">
        <v>418</v>
      </c>
      <c r="F264" s="28" t="n">
        <f>120</f>
        <v>120.0</v>
      </c>
      <c r="G264" s="25" t="n">
        <f>24713</f>
        <v>24713.0</v>
      </c>
      <c r="H264" s="25"/>
      <c r="I264" s="25" t="n">
        <f>21252</f>
        <v>21252.0</v>
      </c>
      <c r="J264" s="25" t="n">
        <f>206</f>
        <v>206.0</v>
      </c>
      <c r="K264" s="25" t="n">
        <f>177</f>
        <v>177.0</v>
      </c>
      <c r="L264" s="2" t="s">
        <v>482</v>
      </c>
      <c r="M264" s="26" t="n">
        <f>5000</f>
        <v>5000.0</v>
      </c>
      <c r="N264" s="3" t="s">
        <v>369</v>
      </c>
      <c r="O264" s="27" t="str">
        <f>"－"</f>
        <v>－</v>
      </c>
      <c r="P264" s="29" t="s">
        <v>821</v>
      </c>
      <c r="Q264" s="25"/>
      <c r="R264" s="29" t="s">
        <v>822</v>
      </c>
      <c r="S264" s="25" t="n">
        <f>171531193</f>
        <v>1.71531193E8</v>
      </c>
      <c r="T264" s="25" t="n">
        <f>147822056</f>
        <v>1.47822056E8</v>
      </c>
      <c r="U264" s="3" t="s">
        <v>482</v>
      </c>
      <c r="V264" s="27" t="n">
        <f>4512500000</f>
        <v>4.5125E9</v>
      </c>
      <c r="W264" s="3" t="s">
        <v>369</v>
      </c>
      <c r="X264" s="27" t="str">
        <f>"－"</f>
        <v>－</v>
      </c>
      <c r="Y264" s="27"/>
      <c r="Z264" s="25" t="str">
        <f>"－"</f>
        <v>－</v>
      </c>
      <c r="AA264" s="25" t="n">
        <f>4540</f>
        <v>4540.0</v>
      </c>
      <c r="AB264" s="2" t="s">
        <v>189</v>
      </c>
      <c r="AC264" s="26" t="n">
        <f>7219</f>
        <v>7219.0</v>
      </c>
      <c r="AD264" s="3" t="s">
        <v>688</v>
      </c>
      <c r="AE264" s="27" t="n">
        <f>3539</f>
        <v>3539.0</v>
      </c>
    </row>
    <row r="265">
      <c r="A265" s="20" t="s">
        <v>815</v>
      </c>
      <c r="B265" s="21" t="s">
        <v>816</v>
      </c>
      <c r="C265" s="22"/>
      <c r="D265" s="23"/>
      <c r="E265" s="24" t="s">
        <v>423</v>
      </c>
      <c r="F265" s="28" t="n">
        <f>123</f>
        <v>123.0</v>
      </c>
      <c r="G265" s="25" t="n">
        <f>28086</f>
        <v>28086.0</v>
      </c>
      <c r="H265" s="25"/>
      <c r="I265" s="25" t="n">
        <f>27307</f>
        <v>27307.0</v>
      </c>
      <c r="J265" s="25" t="n">
        <f>228</f>
        <v>228.0</v>
      </c>
      <c r="K265" s="25" t="n">
        <f>222</f>
        <v>222.0</v>
      </c>
      <c r="L265" s="2" t="s">
        <v>81</v>
      </c>
      <c r="M265" s="26" t="n">
        <f>7381</f>
        <v>7381.0</v>
      </c>
      <c r="N265" s="3" t="s">
        <v>633</v>
      </c>
      <c r="O265" s="27" t="str">
        <f>"－"</f>
        <v>－</v>
      </c>
      <c r="P265" s="29" t="s">
        <v>823</v>
      </c>
      <c r="Q265" s="25"/>
      <c r="R265" s="29" t="s">
        <v>824</v>
      </c>
      <c r="S265" s="25" t="n">
        <f>213165081</f>
        <v>2.13165081E8</v>
      </c>
      <c r="T265" s="25" t="n">
        <f>206990268</f>
        <v>2.06990268E8</v>
      </c>
      <c r="U265" s="3" t="s">
        <v>81</v>
      </c>
      <c r="V265" s="27" t="n">
        <f>6217074500</f>
        <v>6.2170745E9</v>
      </c>
      <c r="W265" s="3" t="s">
        <v>633</v>
      </c>
      <c r="X265" s="27" t="str">
        <f>"－"</f>
        <v>－</v>
      </c>
      <c r="Y265" s="27"/>
      <c r="Z265" s="25" t="str">
        <f>"－"</f>
        <v>－</v>
      </c>
      <c r="AA265" s="25" t="n">
        <f>4950</f>
        <v>4950.0</v>
      </c>
      <c r="AB265" s="2" t="s">
        <v>295</v>
      </c>
      <c r="AC265" s="26" t="n">
        <f>7739</f>
        <v>7739.0</v>
      </c>
      <c r="AD265" s="3" t="s">
        <v>332</v>
      </c>
      <c r="AE265" s="27" t="n">
        <f>4477</f>
        <v>4477.0</v>
      </c>
    </row>
    <row r="266">
      <c r="A266" s="20" t="s">
        <v>815</v>
      </c>
      <c r="B266" s="21" t="s">
        <v>816</v>
      </c>
      <c r="C266" s="22"/>
      <c r="D266" s="23"/>
      <c r="E266" s="24" t="s">
        <v>426</v>
      </c>
      <c r="F266" s="28" t="n">
        <f>121</f>
        <v>121.0</v>
      </c>
      <c r="G266" s="25" t="n">
        <f>20426</f>
        <v>20426.0</v>
      </c>
      <c r="H266" s="25"/>
      <c r="I266" s="25" t="n">
        <f>20242</f>
        <v>20242.0</v>
      </c>
      <c r="J266" s="25" t="n">
        <f>169</f>
        <v>169.0</v>
      </c>
      <c r="K266" s="25" t="n">
        <f>167</f>
        <v>167.0</v>
      </c>
      <c r="L266" s="2" t="s">
        <v>427</v>
      </c>
      <c r="M266" s="26" t="n">
        <f>5672</f>
        <v>5672.0</v>
      </c>
      <c r="N266" s="3" t="s">
        <v>328</v>
      </c>
      <c r="O266" s="27" t="str">
        <f>"－"</f>
        <v>－</v>
      </c>
      <c r="P266" s="29" t="s">
        <v>825</v>
      </c>
      <c r="Q266" s="25"/>
      <c r="R266" s="29" t="s">
        <v>826</v>
      </c>
      <c r="S266" s="25" t="n">
        <f>150775203</f>
        <v>1.50775203E8</v>
      </c>
      <c r="T266" s="25" t="n">
        <f>149372265</f>
        <v>1.49372265E8</v>
      </c>
      <c r="U266" s="3" t="s">
        <v>427</v>
      </c>
      <c r="V266" s="27" t="n">
        <f>4991290000</f>
        <v>4.99129E9</v>
      </c>
      <c r="W266" s="3" t="s">
        <v>328</v>
      </c>
      <c r="X266" s="27" t="str">
        <f>"－"</f>
        <v>－</v>
      </c>
      <c r="Y266" s="27"/>
      <c r="Z266" s="25" t="str">
        <f>"－"</f>
        <v>－</v>
      </c>
      <c r="AA266" s="25" t="n">
        <f>4283</f>
        <v>4283.0</v>
      </c>
      <c r="AB266" s="2" t="s">
        <v>290</v>
      </c>
      <c r="AC266" s="26" t="n">
        <f>6426</f>
        <v>6426.0</v>
      </c>
      <c r="AD266" s="3" t="s">
        <v>243</v>
      </c>
      <c r="AE266" s="27" t="n">
        <f>3953</f>
        <v>3953.0</v>
      </c>
    </row>
    <row r="267">
      <c r="A267" s="20" t="s">
        <v>815</v>
      </c>
      <c r="B267" s="21" t="s">
        <v>816</v>
      </c>
      <c r="C267" s="22"/>
      <c r="D267" s="23"/>
      <c r="E267" s="24" t="s">
        <v>430</v>
      </c>
      <c r="F267" s="28" t="n">
        <f>124</f>
        <v>124.0</v>
      </c>
      <c r="G267" s="25" t="n">
        <f>26270</f>
        <v>26270.0</v>
      </c>
      <c r="H267" s="25"/>
      <c r="I267" s="25" t="n">
        <f>25871</f>
        <v>25871.0</v>
      </c>
      <c r="J267" s="25" t="n">
        <f>212</f>
        <v>212.0</v>
      </c>
      <c r="K267" s="25" t="n">
        <f>209</f>
        <v>209.0</v>
      </c>
      <c r="L267" s="2" t="s">
        <v>77</v>
      </c>
      <c r="M267" s="26" t="n">
        <f>7171</f>
        <v>7171.0</v>
      </c>
      <c r="N267" s="3" t="s">
        <v>215</v>
      </c>
      <c r="O267" s="27" t="str">
        <f>"－"</f>
        <v>－</v>
      </c>
      <c r="P267" s="29" t="s">
        <v>827</v>
      </c>
      <c r="Q267" s="25"/>
      <c r="R267" s="29" t="s">
        <v>828</v>
      </c>
      <c r="S267" s="25" t="n">
        <f>211167248</f>
        <v>2.11167248E8</v>
      </c>
      <c r="T267" s="25" t="n">
        <f>208154155</f>
        <v>2.08154155E8</v>
      </c>
      <c r="U267" s="3" t="s">
        <v>77</v>
      </c>
      <c r="V267" s="27" t="n">
        <f>7483546500</f>
        <v>7.4835465E9</v>
      </c>
      <c r="W267" s="3" t="s">
        <v>215</v>
      </c>
      <c r="X267" s="27" t="str">
        <f>"－"</f>
        <v>－</v>
      </c>
      <c r="Y267" s="27"/>
      <c r="Z267" s="25" t="str">
        <f>"－"</f>
        <v>－</v>
      </c>
      <c r="AA267" s="25" t="n">
        <f>4136</f>
        <v>4136.0</v>
      </c>
      <c r="AB267" s="2" t="s">
        <v>81</v>
      </c>
      <c r="AC267" s="26" t="n">
        <f>6362</f>
        <v>6362.0</v>
      </c>
      <c r="AD267" s="3" t="s">
        <v>192</v>
      </c>
      <c r="AE267" s="27" t="n">
        <f>4120</f>
        <v>4120.0</v>
      </c>
    </row>
    <row r="268">
      <c r="A268" s="20" t="s">
        <v>815</v>
      </c>
      <c r="B268" s="21" t="s">
        <v>816</v>
      </c>
      <c r="C268" s="22"/>
      <c r="D268" s="23"/>
      <c r="E268" s="24" t="s">
        <v>433</v>
      </c>
      <c r="F268" s="28" t="n">
        <f>121</f>
        <v>121.0</v>
      </c>
      <c r="G268" s="25" t="n">
        <f>27328</f>
        <v>27328.0</v>
      </c>
      <c r="H268" s="25"/>
      <c r="I268" s="25" t="n">
        <f>27188</f>
        <v>27188.0</v>
      </c>
      <c r="J268" s="25" t="n">
        <f>226</f>
        <v>226.0</v>
      </c>
      <c r="K268" s="25" t="n">
        <f>225</f>
        <v>225.0</v>
      </c>
      <c r="L268" s="2" t="s">
        <v>70</v>
      </c>
      <c r="M268" s="26" t="n">
        <f>9408</f>
        <v>9408.0</v>
      </c>
      <c r="N268" s="3" t="s">
        <v>156</v>
      </c>
      <c r="O268" s="27" t="str">
        <f>"－"</f>
        <v>－</v>
      </c>
      <c r="P268" s="29" t="s">
        <v>829</v>
      </c>
      <c r="Q268" s="25"/>
      <c r="R268" s="29" t="s">
        <v>830</v>
      </c>
      <c r="S268" s="25" t="n">
        <f>241061473</f>
        <v>2.41061473E8</v>
      </c>
      <c r="T268" s="25" t="n">
        <f>239847250</f>
        <v>2.3984725E8</v>
      </c>
      <c r="U268" s="3" t="s">
        <v>70</v>
      </c>
      <c r="V268" s="27" t="n">
        <f>10321287400</f>
        <v>1.03212874E10</v>
      </c>
      <c r="W268" s="3" t="s">
        <v>156</v>
      </c>
      <c r="X268" s="27" t="str">
        <f>"－"</f>
        <v>－</v>
      </c>
      <c r="Y268" s="27"/>
      <c r="Z268" s="25" t="n">
        <f>1306</f>
        <v>1306.0</v>
      </c>
      <c r="AA268" s="25" t="n">
        <f>5080</f>
        <v>5080.0</v>
      </c>
      <c r="AB268" s="2" t="s">
        <v>146</v>
      </c>
      <c r="AC268" s="26" t="n">
        <f>6614</f>
        <v>6614.0</v>
      </c>
      <c r="AD268" s="3" t="s">
        <v>156</v>
      </c>
      <c r="AE268" s="27" t="n">
        <f>4136</f>
        <v>4136.0</v>
      </c>
    </row>
    <row r="269">
      <c r="A269" s="20" t="s">
        <v>815</v>
      </c>
      <c r="B269" s="21" t="s">
        <v>816</v>
      </c>
      <c r="C269" s="22"/>
      <c r="D269" s="23"/>
      <c r="E269" s="24" t="s">
        <v>437</v>
      </c>
      <c r="F269" s="28" t="n">
        <f>124</f>
        <v>124.0</v>
      </c>
      <c r="G269" s="25" t="n">
        <f>24129</f>
        <v>24129.0</v>
      </c>
      <c r="H269" s="25"/>
      <c r="I269" s="25" t="n">
        <f>24114</f>
        <v>24114.0</v>
      </c>
      <c r="J269" s="25" t="n">
        <f>195</f>
        <v>195.0</v>
      </c>
      <c r="K269" s="25" t="n">
        <f>194</f>
        <v>194.0</v>
      </c>
      <c r="L269" s="2" t="s">
        <v>77</v>
      </c>
      <c r="M269" s="26" t="n">
        <f>8610</f>
        <v>8610.0</v>
      </c>
      <c r="N269" s="3" t="s">
        <v>254</v>
      </c>
      <c r="O269" s="27" t="str">
        <f>"－"</f>
        <v>－</v>
      </c>
      <c r="P269" s="29" t="s">
        <v>831</v>
      </c>
      <c r="Q269" s="25"/>
      <c r="R269" s="29" t="s">
        <v>832</v>
      </c>
      <c r="S269" s="25" t="n">
        <f>177091277</f>
        <v>1.77091277E8</v>
      </c>
      <c r="T269" s="25" t="n">
        <f>176990447</f>
        <v>1.76990447E8</v>
      </c>
      <c r="U269" s="3" t="s">
        <v>77</v>
      </c>
      <c r="V269" s="27" t="n">
        <f>7298710700</f>
        <v>7.2987107E9</v>
      </c>
      <c r="W269" s="3" t="s">
        <v>254</v>
      </c>
      <c r="X269" s="27" t="str">
        <f>"－"</f>
        <v>－</v>
      </c>
      <c r="Y269" s="27"/>
      <c r="Z269" s="25" t="n">
        <f>125</f>
        <v>125.0</v>
      </c>
      <c r="AA269" s="25" t="n">
        <f>3910</f>
        <v>3910.0</v>
      </c>
      <c r="AB269" s="2" t="s">
        <v>141</v>
      </c>
      <c r="AC269" s="26" t="n">
        <f>7429</f>
        <v>7429.0</v>
      </c>
      <c r="AD269" s="3" t="s">
        <v>833</v>
      </c>
      <c r="AE269" s="27" t="n">
        <f>3804</f>
        <v>3804.0</v>
      </c>
    </row>
    <row r="270">
      <c r="A270" s="20" t="s">
        <v>815</v>
      </c>
      <c r="B270" s="21" t="s">
        <v>816</v>
      </c>
      <c r="C270" s="22"/>
      <c r="D270" s="23"/>
      <c r="E270" s="24" t="s">
        <v>440</v>
      </c>
      <c r="F270" s="28" t="n">
        <f>123</f>
        <v>123.0</v>
      </c>
      <c r="G270" s="25" t="n">
        <f>27690</f>
        <v>27690.0</v>
      </c>
      <c r="H270" s="25"/>
      <c r="I270" s="25" t="n">
        <f>27669</f>
        <v>27669.0</v>
      </c>
      <c r="J270" s="25" t="n">
        <f>225</f>
        <v>225.0</v>
      </c>
      <c r="K270" s="25" t="n">
        <f>225</f>
        <v>225.0</v>
      </c>
      <c r="L270" s="2" t="s">
        <v>97</v>
      </c>
      <c r="M270" s="26" t="n">
        <f>4421</f>
        <v>4421.0</v>
      </c>
      <c r="N270" s="3" t="s">
        <v>706</v>
      </c>
      <c r="O270" s="27" t="str">
        <f>"－"</f>
        <v>－</v>
      </c>
      <c r="P270" s="29" t="s">
        <v>834</v>
      </c>
      <c r="Q270" s="25"/>
      <c r="R270" s="29" t="s">
        <v>835</v>
      </c>
      <c r="S270" s="25" t="n">
        <f>204964664</f>
        <v>2.04964664E8</v>
      </c>
      <c r="T270" s="25" t="n">
        <f>204816347</f>
        <v>2.04816347E8</v>
      </c>
      <c r="U270" s="3" t="s">
        <v>97</v>
      </c>
      <c r="V270" s="27" t="n">
        <f>4123169200</f>
        <v>4.1231692E9</v>
      </c>
      <c r="W270" s="3" t="s">
        <v>706</v>
      </c>
      <c r="X270" s="27" t="str">
        <f>"－"</f>
        <v>－</v>
      </c>
      <c r="Y270" s="27"/>
      <c r="Z270" s="25" t="n">
        <f>4476</f>
        <v>4476.0</v>
      </c>
      <c r="AA270" s="25" t="n">
        <f>3491</f>
        <v>3491.0</v>
      </c>
      <c r="AB270" s="2" t="s">
        <v>152</v>
      </c>
      <c r="AC270" s="26" t="n">
        <f>7498</f>
        <v>7498.0</v>
      </c>
      <c r="AD270" s="3" t="s">
        <v>101</v>
      </c>
      <c r="AE270" s="27" t="n">
        <f>3367</f>
        <v>3367.0</v>
      </c>
    </row>
    <row r="271">
      <c r="A271" s="20" t="s">
        <v>815</v>
      </c>
      <c r="B271" s="21" t="s">
        <v>816</v>
      </c>
      <c r="C271" s="22"/>
      <c r="D271" s="23"/>
      <c r="E271" s="24" t="s">
        <v>443</v>
      </c>
      <c r="F271" s="28" t="n">
        <f>125</f>
        <v>125.0</v>
      </c>
      <c r="G271" s="25" t="n">
        <f>32698</f>
        <v>32698.0</v>
      </c>
      <c r="H271" s="25"/>
      <c r="I271" s="25" t="n">
        <f>31042</f>
        <v>31042.0</v>
      </c>
      <c r="J271" s="25" t="n">
        <f>262</f>
        <v>262.0</v>
      </c>
      <c r="K271" s="25" t="n">
        <f>248</f>
        <v>248.0</v>
      </c>
      <c r="L271" s="2" t="s">
        <v>53</v>
      </c>
      <c r="M271" s="26" t="n">
        <f>8368</f>
        <v>8368.0</v>
      </c>
      <c r="N271" s="3" t="s">
        <v>215</v>
      </c>
      <c r="O271" s="27" t="str">
        <f>"－"</f>
        <v>－</v>
      </c>
      <c r="P271" s="29" t="s">
        <v>836</v>
      </c>
      <c r="Q271" s="25"/>
      <c r="R271" s="29" t="s">
        <v>837</v>
      </c>
      <c r="S271" s="25" t="n">
        <f>263446874</f>
        <v>2.63446874E8</v>
      </c>
      <c r="T271" s="25" t="n">
        <f>249790557</f>
        <v>2.49790557E8</v>
      </c>
      <c r="U271" s="3" t="s">
        <v>53</v>
      </c>
      <c r="V271" s="27" t="n">
        <f>8712601500</f>
        <v>8.7126015E9</v>
      </c>
      <c r="W271" s="3" t="s">
        <v>215</v>
      </c>
      <c r="X271" s="27" t="str">
        <f>"－"</f>
        <v>－</v>
      </c>
      <c r="Y271" s="27"/>
      <c r="Z271" s="25" t="n">
        <f>9258</f>
        <v>9258.0</v>
      </c>
      <c r="AA271" s="25" t="n">
        <f>5012</f>
        <v>5012.0</v>
      </c>
      <c r="AB271" s="2" t="s">
        <v>53</v>
      </c>
      <c r="AC271" s="26" t="n">
        <f>6893</f>
        <v>6893.0</v>
      </c>
      <c r="AD271" s="3" t="s">
        <v>838</v>
      </c>
      <c r="AE271" s="27" t="n">
        <f>3408</f>
        <v>3408.0</v>
      </c>
    </row>
    <row r="272">
      <c r="A272" s="20" t="s">
        <v>815</v>
      </c>
      <c r="B272" s="21" t="s">
        <v>816</v>
      </c>
      <c r="C272" s="22"/>
      <c r="D272" s="23"/>
      <c r="E272" s="24" t="s">
        <v>447</v>
      </c>
      <c r="F272" s="28" t="n">
        <f>120</f>
        <v>120.0</v>
      </c>
      <c r="G272" s="25" t="n">
        <f>43104</f>
        <v>43104.0</v>
      </c>
      <c r="H272" s="25"/>
      <c r="I272" s="25" t="n">
        <f>38082</f>
        <v>38082.0</v>
      </c>
      <c r="J272" s="25" t="n">
        <f>359</f>
        <v>359.0</v>
      </c>
      <c r="K272" s="25" t="n">
        <f>317</f>
        <v>317.0</v>
      </c>
      <c r="L272" s="2" t="s">
        <v>111</v>
      </c>
      <c r="M272" s="26" t="n">
        <f>5230</f>
        <v>5230.0</v>
      </c>
      <c r="N272" s="3" t="s">
        <v>156</v>
      </c>
      <c r="O272" s="27" t="str">
        <f>"－"</f>
        <v>－</v>
      </c>
      <c r="P272" s="29" t="s">
        <v>839</v>
      </c>
      <c r="Q272" s="25"/>
      <c r="R272" s="29" t="s">
        <v>840</v>
      </c>
      <c r="S272" s="25" t="n">
        <f>494862635</f>
        <v>4.94862635E8</v>
      </c>
      <c r="T272" s="25" t="n">
        <f>439979423</f>
        <v>4.39979423E8</v>
      </c>
      <c r="U272" s="3" t="s">
        <v>111</v>
      </c>
      <c r="V272" s="27" t="n">
        <f>7195062000</f>
        <v>7.195062E9</v>
      </c>
      <c r="W272" s="3" t="s">
        <v>156</v>
      </c>
      <c r="X272" s="27" t="str">
        <f>"－"</f>
        <v>－</v>
      </c>
      <c r="Y272" s="27"/>
      <c r="Z272" s="25" t="n">
        <f>5230</f>
        <v>5230.0</v>
      </c>
      <c r="AA272" s="25" t="n">
        <f>4582</f>
        <v>4582.0</v>
      </c>
      <c r="AB272" s="2" t="s">
        <v>70</v>
      </c>
      <c r="AC272" s="26" t="n">
        <f>7879</f>
        <v>7879.0</v>
      </c>
      <c r="AD272" s="3" t="s">
        <v>558</v>
      </c>
      <c r="AE272" s="27" t="n">
        <f>3713</f>
        <v>3713.0</v>
      </c>
    </row>
    <row r="273">
      <c r="A273" s="20" t="s">
        <v>815</v>
      </c>
      <c r="B273" s="21" t="s">
        <v>816</v>
      </c>
      <c r="C273" s="22"/>
      <c r="D273" s="23"/>
      <c r="E273" s="24" t="s">
        <v>451</v>
      </c>
      <c r="F273" s="28" t="n">
        <f>125</f>
        <v>125.0</v>
      </c>
      <c r="G273" s="25" t="n">
        <f>31508</f>
        <v>31508.0</v>
      </c>
      <c r="H273" s="25"/>
      <c r="I273" s="25" t="n">
        <f>27510</f>
        <v>27510.0</v>
      </c>
      <c r="J273" s="25" t="n">
        <f>252</f>
        <v>252.0</v>
      </c>
      <c r="K273" s="25" t="n">
        <f>220</f>
        <v>220.0</v>
      </c>
      <c r="L273" s="2" t="s">
        <v>67</v>
      </c>
      <c r="M273" s="26" t="n">
        <f>7044</f>
        <v>7044.0</v>
      </c>
      <c r="N273" s="3" t="s">
        <v>68</v>
      </c>
      <c r="O273" s="27" t="str">
        <f>"－"</f>
        <v>－</v>
      </c>
      <c r="P273" s="29" t="s">
        <v>841</v>
      </c>
      <c r="Q273" s="25"/>
      <c r="R273" s="29" t="s">
        <v>842</v>
      </c>
      <c r="S273" s="25" t="n">
        <f>355339876</f>
        <v>3.55339876E8</v>
      </c>
      <c r="T273" s="25" t="n">
        <f>310153372</f>
        <v>3.10153372E8</v>
      </c>
      <c r="U273" s="3" t="s">
        <v>67</v>
      </c>
      <c r="V273" s="27" t="n">
        <f>10120988300</f>
        <v>1.01209883E10</v>
      </c>
      <c r="W273" s="3" t="s">
        <v>68</v>
      </c>
      <c r="X273" s="27" t="str">
        <f>"－"</f>
        <v>－</v>
      </c>
      <c r="Y273" s="27"/>
      <c r="Z273" s="25" t="str">
        <f>"－"</f>
        <v>－</v>
      </c>
      <c r="AA273" s="25" t="n">
        <f>5923</f>
        <v>5923.0</v>
      </c>
      <c r="AB273" s="2" t="s">
        <v>67</v>
      </c>
      <c r="AC273" s="26" t="n">
        <f>7833</f>
        <v>7833.0</v>
      </c>
      <c r="AD273" s="3" t="s">
        <v>373</v>
      </c>
      <c r="AE273" s="27" t="n">
        <f>4143</f>
        <v>4143.0</v>
      </c>
    </row>
    <row r="274">
      <c r="A274" s="20" t="s">
        <v>815</v>
      </c>
      <c r="B274" s="21" t="s">
        <v>816</v>
      </c>
      <c r="C274" s="22"/>
      <c r="D274" s="23"/>
      <c r="E274" s="24" t="s">
        <v>454</v>
      </c>
      <c r="F274" s="28" t="n">
        <f>120</f>
        <v>120.0</v>
      </c>
      <c r="G274" s="25" t="n">
        <f>55894</f>
        <v>55894.0</v>
      </c>
      <c r="H274" s="25"/>
      <c r="I274" s="25" t="n">
        <f>52938</f>
        <v>52938.0</v>
      </c>
      <c r="J274" s="25" t="n">
        <f>466</f>
        <v>466.0</v>
      </c>
      <c r="K274" s="25" t="n">
        <f>441</f>
        <v>441.0</v>
      </c>
      <c r="L274" s="2" t="s">
        <v>307</v>
      </c>
      <c r="M274" s="26" t="n">
        <f>12667</f>
        <v>12667.0</v>
      </c>
      <c r="N274" s="3" t="s">
        <v>843</v>
      </c>
      <c r="O274" s="27" t="str">
        <f>"－"</f>
        <v>－</v>
      </c>
      <c r="P274" s="29" t="s">
        <v>844</v>
      </c>
      <c r="Q274" s="25"/>
      <c r="R274" s="29" t="s">
        <v>845</v>
      </c>
      <c r="S274" s="25" t="n">
        <f>703116174</f>
        <v>7.03116174E8</v>
      </c>
      <c r="T274" s="25" t="n">
        <f>666611107</f>
        <v>6.66611107E8</v>
      </c>
      <c r="U274" s="3" t="s">
        <v>307</v>
      </c>
      <c r="V274" s="27" t="n">
        <f>19527908100</f>
        <v>1.95279081E10</v>
      </c>
      <c r="W274" s="3" t="s">
        <v>843</v>
      </c>
      <c r="X274" s="27" t="str">
        <f>"－"</f>
        <v>－</v>
      </c>
      <c r="Y274" s="27"/>
      <c r="Z274" s="25" t="str">
        <f>"－"</f>
        <v>－</v>
      </c>
      <c r="AA274" s="25" t="n">
        <f>8780</f>
        <v>8780.0</v>
      </c>
      <c r="AB274" s="2" t="s">
        <v>307</v>
      </c>
      <c r="AC274" s="26" t="n">
        <f>10219</f>
        <v>10219.0</v>
      </c>
      <c r="AD274" s="3" t="s">
        <v>57</v>
      </c>
      <c r="AE274" s="27" t="n">
        <f>5881</f>
        <v>5881.0</v>
      </c>
    </row>
    <row r="275">
      <c r="A275" s="20" t="s">
        <v>815</v>
      </c>
      <c r="B275" s="21" t="s">
        <v>816</v>
      </c>
      <c r="C275" s="22"/>
      <c r="D275" s="23"/>
      <c r="E275" s="24" t="s">
        <v>48</v>
      </c>
      <c r="F275" s="28" t="n">
        <f>124</f>
        <v>124.0</v>
      </c>
      <c r="G275" s="25" t="n">
        <f>76637</f>
        <v>76637.0</v>
      </c>
      <c r="H275" s="25"/>
      <c r="I275" s="25" t="n">
        <f>73493</f>
        <v>73493.0</v>
      </c>
      <c r="J275" s="25" t="n">
        <f>618</f>
        <v>618.0</v>
      </c>
      <c r="K275" s="25" t="n">
        <f>593</f>
        <v>593.0</v>
      </c>
      <c r="L275" s="2" t="s">
        <v>295</v>
      </c>
      <c r="M275" s="26" t="n">
        <f>16026</f>
        <v>16026.0</v>
      </c>
      <c r="N275" s="3" t="s">
        <v>846</v>
      </c>
      <c r="O275" s="27" t="str">
        <f>"－"</f>
        <v>－</v>
      </c>
      <c r="P275" s="29" t="s">
        <v>847</v>
      </c>
      <c r="Q275" s="25"/>
      <c r="R275" s="29" t="s">
        <v>848</v>
      </c>
      <c r="S275" s="25" t="n">
        <f>1057598451</f>
        <v>1.057598451E9</v>
      </c>
      <c r="T275" s="25" t="n">
        <f>1013645320</f>
        <v>1.01364532E9</v>
      </c>
      <c r="U275" s="3" t="s">
        <v>295</v>
      </c>
      <c r="V275" s="27" t="n">
        <f>25835458500</f>
        <v>2.58354585E10</v>
      </c>
      <c r="W275" s="3" t="s">
        <v>846</v>
      </c>
      <c r="X275" s="27" t="str">
        <f>"－"</f>
        <v>－</v>
      </c>
      <c r="Y275" s="27"/>
      <c r="Z275" s="25" t="str">
        <f>"－"</f>
        <v>－</v>
      </c>
      <c r="AA275" s="25" t="n">
        <f>11803</f>
        <v>11803.0</v>
      </c>
      <c r="AB275" s="2" t="s">
        <v>67</v>
      </c>
      <c r="AC275" s="26" t="n">
        <f>15518</f>
        <v>15518.0</v>
      </c>
      <c r="AD275" s="3" t="s">
        <v>215</v>
      </c>
      <c r="AE275" s="27" t="n">
        <f>8741</f>
        <v>8741.0</v>
      </c>
    </row>
    <row r="276">
      <c r="A276" s="20" t="s">
        <v>815</v>
      </c>
      <c r="B276" s="21" t="s">
        <v>816</v>
      </c>
      <c r="C276" s="22"/>
      <c r="D276" s="23"/>
      <c r="E276" s="24" t="s">
        <v>55</v>
      </c>
      <c r="F276" s="28" t="n">
        <f>121</f>
        <v>121.0</v>
      </c>
      <c r="G276" s="25" t="n">
        <f>81085</f>
        <v>81085.0</v>
      </c>
      <c r="H276" s="25"/>
      <c r="I276" s="25" t="n">
        <f>72959</f>
        <v>72959.0</v>
      </c>
      <c r="J276" s="25" t="n">
        <f>670</f>
        <v>670.0</v>
      </c>
      <c r="K276" s="25" t="n">
        <f>603</f>
        <v>603.0</v>
      </c>
      <c r="L276" s="2" t="s">
        <v>134</v>
      </c>
      <c r="M276" s="26" t="n">
        <f>13404</f>
        <v>13404.0</v>
      </c>
      <c r="N276" s="3" t="s">
        <v>849</v>
      </c>
      <c r="O276" s="27" t="n">
        <f>9</f>
        <v>9.0</v>
      </c>
      <c r="P276" s="29" t="s">
        <v>850</v>
      </c>
      <c r="Q276" s="25"/>
      <c r="R276" s="29" t="s">
        <v>851</v>
      </c>
      <c r="S276" s="25" t="n">
        <f>1234606783</f>
        <v>1.234606783E9</v>
      </c>
      <c r="T276" s="25" t="n">
        <f>1110281198</f>
        <v>1.110281198E9</v>
      </c>
      <c r="U276" s="3" t="s">
        <v>134</v>
      </c>
      <c r="V276" s="27" t="n">
        <f>24287895400</f>
        <v>2.42878954E10</v>
      </c>
      <c r="W276" s="3" t="s">
        <v>849</v>
      </c>
      <c r="X276" s="27" t="n">
        <f>16725000</f>
        <v>1.6725E7</v>
      </c>
      <c r="Y276" s="27"/>
      <c r="Z276" s="25" t="n">
        <f>328</f>
        <v>328.0</v>
      </c>
      <c r="AA276" s="25" t="n">
        <f>8972</f>
        <v>8972.0</v>
      </c>
      <c r="AB276" s="2" t="s">
        <v>134</v>
      </c>
      <c r="AC276" s="26" t="n">
        <f>15449</f>
        <v>15449.0</v>
      </c>
      <c r="AD276" s="3" t="s">
        <v>205</v>
      </c>
      <c r="AE276" s="27" t="n">
        <f>8939</f>
        <v>8939.0</v>
      </c>
    </row>
    <row r="277">
      <c r="A277" s="20" t="s">
        <v>815</v>
      </c>
      <c r="B277" s="21" t="s">
        <v>816</v>
      </c>
      <c r="C277" s="22"/>
      <c r="D277" s="23"/>
      <c r="E277" s="24" t="s">
        <v>62</v>
      </c>
      <c r="F277" s="28" t="n">
        <f>123</f>
        <v>123.0</v>
      </c>
      <c r="G277" s="25" t="n">
        <f>94365</f>
        <v>94365.0</v>
      </c>
      <c r="H277" s="25"/>
      <c r="I277" s="25" t="n">
        <f>85606</f>
        <v>85606.0</v>
      </c>
      <c r="J277" s="25" t="n">
        <f>767</f>
        <v>767.0</v>
      </c>
      <c r="K277" s="25" t="n">
        <f>696</f>
        <v>696.0</v>
      </c>
      <c r="L277" s="2" t="s">
        <v>128</v>
      </c>
      <c r="M277" s="26" t="n">
        <f>16830</f>
        <v>16830.0</v>
      </c>
      <c r="N277" s="3" t="s">
        <v>271</v>
      </c>
      <c r="O277" s="27" t="n">
        <f>1</f>
        <v>1.0</v>
      </c>
      <c r="P277" s="29" t="s">
        <v>852</v>
      </c>
      <c r="Q277" s="25"/>
      <c r="R277" s="29" t="s">
        <v>853</v>
      </c>
      <c r="S277" s="25" t="n">
        <f>1272571937</f>
        <v>1.272571937E9</v>
      </c>
      <c r="T277" s="25" t="n">
        <f>1153239283</f>
        <v>1.153239283E9</v>
      </c>
      <c r="U277" s="3" t="s">
        <v>128</v>
      </c>
      <c r="V277" s="27" t="n">
        <f>29150206800</f>
        <v>2.91502068E10</v>
      </c>
      <c r="W277" s="3" t="s">
        <v>271</v>
      </c>
      <c r="X277" s="27" t="n">
        <f>1730000</f>
        <v>1730000.0</v>
      </c>
      <c r="Y277" s="27"/>
      <c r="Z277" s="25" t="n">
        <f>173</f>
        <v>173.0</v>
      </c>
      <c r="AA277" s="25" t="n">
        <f>11093</f>
        <v>11093.0</v>
      </c>
      <c r="AB277" s="2" t="s">
        <v>49</v>
      </c>
      <c r="AC277" s="26" t="n">
        <f>14294</f>
        <v>14294.0</v>
      </c>
      <c r="AD277" s="3" t="s">
        <v>854</v>
      </c>
      <c r="AE277" s="27" t="n">
        <f>8923</f>
        <v>8923.0</v>
      </c>
    </row>
    <row r="278">
      <c r="A278" s="20" t="s">
        <v>815</v>
      </c>
      <c r="B278" s="21" t="s">
        <v>816</v>
      </c>
      <c r="C278" s="22"/>
      <c r="D278" s="23"/>
      <c r="E278" s="24" t="s">
        <v>69</v>
      </c>
      <c r="F278" s="28" t="n">
        <f>122</f>
        <v>122.0</v>
      </c>
      <c r="G278" s="25" t="n">
        <f>134068</f>
        <v>134068.0</v>
      </c>
      <c r="H278" s="25"/>
      <c r="I278" s="25" t="n">
        <f>124756</f>
        <v>124756.0</v>
      </c>
      <c r="J278" s="25" t="n">
        <f>1099</f>
        <v>1099.0</v>
      </c>
      <c r="K278" s="25" t="n">
        <f>1023</f>
        <v>1023.0</v>
      </c>
      <c r="L278" s="2" t="s">
        <v>312</v>
      </c>
      <c r="M278" s="26" t="n">
        <f>22138</f>
        <v>22138.0</v>
      </c>
      <c r="N278" s="3" t="s">
        <v>855</v>
      </c>
      <c r="O278" s="27" t="n">
        <f>7</f>
        <v>7.0</v>
      </c>
      <c r="P278" s="29" t="s">
        <v>856</v>
      </c>
      <c r="Q278" s="25"/>
      <c r="R278" s="29" t="s">
        <v>857</v>
      </c>
      <c r="S278" s="25" t="n">
        <f>2039037487</f>
        <v>2.039037487E9</v>
      </c>
      <c r="T278" s="25" t="n">
        <f>1898179121</f>
        <v>1.898179121E9</v>
      </c>
      <c r="U278" s="3" t="s">
        <v>312</v>
      </c>
      <c r="V278" s="27" t="n">
        <f>41625004800</f>
        <v>4.16250048E10</v>
      </c>
      <c r="W278" s="3" t="s">
        <v>855</v>
      </c>
      <c r="X278" s="27" t="n">
        <f>13340000</f>
        <v>1.334E7</v>
      </c>
      <c r="Y278" s="27"/>
      <c r="Z278" s="25" t="n">
        <f>378</f>
        <v>378.0</v>
      </c>
      <c r="AA278" s="25" t="n">
        <f>20977</f>
        <v>20977.0</v>
      </c>
      <c r="AB278" s="2" t="s">
        <v>307</v>
      </c>
      <c r="AC278" s="26" t="n">
        <f>40435</f>
        <v>40435.0</v>
      </c>
      <c r="AD278" s="3" t="s">
        <v>448</v>
      </c>
      <c r="AE278" s="27" t="n">
        <f>10314</f>
        <v>10314.0</v>
      </c>
    </row>
    <row r="279">
      <c r="A279" s="20" t="s">
        <v>815</v>
      </c>
      <c r="B279" s="21" t="s">
        <v>816</v>
      </c>
      <c r="C279" s="22"/>
      <c r="D279" s="23"/>
      <c r="E279" s="24" t="s">
        <v>76</v>
      </c>
      <c r="F279" s="28" t="n">
        <f>123</f>
        <v>123.0</v>
      </c>
      <c r="G279" s="25" t="n">
        <f>119539</f>
        <v>119539.0</v>
      </c>
      <c r="H279" s="25"/>
      <c r="I279" s="25" t="n">
        <f>104469</f>
        <v>104469.0</v>
      </c>
      <c r="J279" s="25" t="n">
        <f>972</f>
        <v>972.0</v>
      </c>
      <c r="K279" s="25" t="n">
        <f>849</f>
        <v>849.0</v>
      </c>
      <c r="L279" s="2" t="s">
        <v>90</v>
      </c>
      <c r="M279" s="26" t="n">
        <f>23348</f>
        <v>23348.0</v>
      </c>
      <c r="N279" s="3" t="s">
        <v>858</v>
      </c>
      <c r="O279" s="27" t="n">
        <f>3</f>
        <v>3.0</v>
      </c>
      <c r="P279" s="29" t="s">
        <v>859</v>
      </c>
      <c r="Q279" s="25"/>
      <c r="R279" s="29" t="s">
        <v>860</v>
      </c>
      <c r="S279" s="25" t="n">
        <f>1744826703</f>
        <v>1.744826703E9</v>
      </c>
      <c r="T279" s="25" t="n">
        <f>1525548125</f>
        <v>1.525548125E9</v>
      </c>
      <c r="U279" s="3" t="s">
        <v>90</v>
      </c>
      <c r="V279" s="27" t="n">
        <f>42529776660</f>
        <v>4.252977666E10</v>
      </c>
      <c r="W279" s="3" t="s">
        <v>858</v>
      </c>
      <c r="X279" s="27" t="n">
        <f>5508000</f>
        <v>5508000.0</v>
      </c>
      <c r="Y279" s="27"/>
      <c r="Z279" s="25" t="n">
        <f>2784</f>
        <v>2784.0</v>
      </c>
      <c r="AA279" s="25" t="n">
        <f>16976</f>
        <v>16976.0</v>
      </c>
      <c r="AB279" s="2" t="s">
        <v>125</v>
      </c>
      <c r="AC279" s="26" t="n">
        <f>29367</f>
        <v>29367.0</v>
      </c>
      <c r="AD279" s="3" t="s">
        <v>288</v>
      </c>
      <c r="AE279" s="27" t="n">
        <f>16220</f>
        <v>16220.0</v>
      </c>
    </row>
    <row r="280">
      <c r="A280" s="20" t="s">
        <v>815</v>
      </c>
      <c r="B280" s="21" t="s">
        <v>816</v>
      </c>
      <c r="C280" s="22"/>
      <c r="D280" s="23"/>
      <c r="E280" s="24" t="s">
        <v>83</v>
      </c>
      <c r="F280" s="28" t="n">
        <f>123</f>
        <v>123.0</v>
      </c>
      <c r="G280" s="25" t="n">
        <f>139812</f>
        <v>139812.0</v>
      </c>
      <c r="H280" s="25"/>
      <c r="I280" s="25" t="n">
        <f>118765</f>
        <v>118765.0</v>
      </c>
      <c r="J280" s="25" t="n">
        <f>1137</f>
        <v>1137.0</v>
      </c>
      <c r="K280" s="25" t="n">
        <f>966</f>
        <v>966.0</v>
      </c>
      <c r="L280" s="2" t="s">
        <v>482</v>
      </c>
      <c r="M280" s="26" t="n">
        <f>21934</f>
        <v>21934.0</v>
      </c>
      <c r="N280" s="3" t="s">
        <v>57</v>
      </c>
      <c r="O280" s="27" t="n">
        <f>3</f>
        <v>3.0</v>
      </c>
      <c r="P280" s="29" t="s">
        <v>861</v>
      </c>
      <c r="Q280" s="25"/>
      <c r="R280" s="29" t="s">
        <v>862</v>
      </c>
      <c r="S280" s="25" t="n">
        <f>2017568539</f>
        <v>2.017568539E9</v>
      </c>
      <c r="T280" s="25" t="n">
        <f>1713034991</f>
        <v>1.713034991E9</v>
      </c>
      <c r="U280" s="3" t="s">
        <v>482</v>
      </c>
      <c r="V280" s="27" t="n">
        <f>38329721280</f>
        <v>3.832972128E10</v>
      </c>
      <c r="W280" s="3" t="s">
        <v>57</v>
      </c>
      <c r="X280" s="27" t="n">
        <f>5354000</f>
        <v>5354000.0</v>
      </c>
      <c r="Y280" s="27"/>
      <c r="Z280" s="25" t="n">
        <f>719</f>
        <v>719.0</v>
      </c>
      <c r="AA280" s="25" t="n">
        <f>21399</f>
        <v>21399.0</v>
      </c>
      <c r="AB280" s="2" t="s">
        <v>56</v>
      </c>
      <c r="AC280" s="26" t="n">
        <f>24415</f>
        <v>24415.0</v>
      </c>
      <c r="AD280" s="3" t="s">
        <v>863</v>
      </c>
      <c r="AE280" s="27" t="n">
        <f>16590</f>
        <v>16590.0</v>
      </c>
    </row>
    <row r="281">
      <c r="A281" s="20" t="s">
        <v>815</v>
      </c>
      <c r="B281" s="21" t="s">
        <v>816</v>
      </c>
      <c r="C281" s="22"/>
      <c r="D281" s="23"/>
      <c r="E281" s="24" t="s">
        <v>89</v>
      </c>
      <c r="F281" s="28" t="n">
        <f>124</f>
        <v>124.0</v>
      </c>
      <c r="G281" s="25" t="n">
        <f>166490</f>
        <v>166490.0</v>
      </c>
      <c r="H281" s="25"/>
      <c r="I281" s="25" t="n">
        <f>131134</f>
        <v>131134.0</v>
      </c>
      <c r="J281" s="25" t="n">
        <f>1343</f>
        <v>1343.0</v>
      </c>
      <c r="K281" s="25" t="n">
        <f>1058</f>
        <v>1058.0</v>
      </c>
      <c r="L281" s="2" t="s">
        <v>93</v>
      </c>
      <c r="M281" s="26" t="n">
        <f>39325</f>
        <v>39325.0</v>
      </c>
      <c r="N281" s="3" t="s">
        <v>864</v>
      </c>
      <c r="O281" s="27" t="n">
        <f>3</f>
        <v>3.0</v>
      </c>
      <c r="P281" s="29" t="s">
        <v>865</v>
      </c>
      <c r="Q281" s="25"/>
      <c r="R281" s="29" t="s">
        <v>866</v>
      </c>
      <c r="S281" s="25" t="n">
        <f>2221889087</f>
        <v>2.221889087E9</v>
      </c>
      <c r="T281" s="25" t="n">
        <f>1750107555</f>
        <v>1.750107555E9</v>
      </c>
      <c r="U281" s="3" t="s">
        <v>93</v>
      </c>
      <c r="V281" s="27" t="n">
        <f>64925184600</f>
        <v>6.49251846E10</v>
      </c>
      <c r="W281" s="3" t="s">
        <v>864</v>
      </c>
      <c r="X281" s="27" t="n">
        <f>4843000</f>
        <v>4843000.0</v>
      </c>
      <c r="Y281" s="27"/>
      <c r="Z281" s="25" t="n">
        <f>16926</f>
        <v>16926.0</v>
      </c>
      <c r="AA281" s="25" t="n">
        <f>23091</f>
        <v>23091.0</v>
      </c>
      <c r="AB281" s="2" t="s">
        <v>77</v>
      </c>
      <c r="AC281" s="26" t="n">
        <f>38787</f>
        <v>38787.0</v>
      </c>
      <c r="AD281" s="3" t="s">
        <v>225</v>
      </c>
      <c r="AE281" s="27" t="n">
        <f>21195</f>
        <v>21195.0</v>
      </c>
    </row>
    <row r="282">
      <c r="A282" s="20" t="s">
        <v>815</v>
      </c>
      <c r="B282" s="21" t="s">
        <v>816</v>
      </c>
      <c r="C282" s="22"/>
      <c r="D282" s="23"/>
      <c r="E282" s="24" t="s">
        <v>96</v>
      </c>
      <c r="F282" s="28" t="n">
        <f>121</f>
        <v>121.0</v>
      </c>
      <c r="G282" s="25" t="n">
        <f>159474</f>
        <v>159474.0</v>
      </c>
      <c r="H282" s="25"/>
      <c r="I282" s="25" t="n">
        <f>131369</f>
        <v>131369.0</v>
      </c>
      <c r="J282" s="25" t="n">
        <f>1318</f>
        <v>1318.0</v>
      </c>
      <c r="K282" s="25" t="n">
        <f>1086</f>
        <v>1086.0</v>
      </c>
      <c r="L282" s="2" t="s">
        <v>482</v>
      </c>
      <c r="M282" s="26" t="n">
        <f>22936</f>
        <v>22936.0</v>
      </c>
      <c r="N282" s="3" t="s">
        <v>156</v>
      </c>
      <c r="O282" s="27" t="str">
        <f>"－"</f>
        <v>－</v>
      </c>
      <c r="P282" s="29" t="s">
        <v>867</v>
      </c>
      <c r="Q282" s="25"/>
      <c r="R282" s="29" t="s">
        <v>868</v>
      </c>
      <c r="S282" s="25" t="n">
        <f>2234282303</f>
        <v>2.234282303E9</v>
      </c>
      <c r="T282" s="25" t="n">
        <f>1839854716</f>
        <v>1.839854716E9</v>
      </c>
      <c r="U282" s="3" t="s">
        <v>482</v>
      </c>
      <c r="V282" s="27" t="n">
        <f>39619087500</f>
        <v>3.96190875E10</v>
      </c>
      <c r="W282" s="3" t="s">
        <v>156</v>
      </c>
      <c r="X282" s="27" t="str">
        <f>"－"</f>
        <v>－</v>
      </c>
      <c r="Y282" s="27"/>
      <c r="Z282" s="25" t="n">
        <f>5665</f>
        <v>5665.0</v>
      </c>
      <c r="AA282" s="25" t="n">
        <f>22285</f>
        <v>22285.0</v>
      </c>
      <c r="AB282" s="2" t="s">
        <v>70</v>
      </c>
      <c r="AC282" s="26" t="n">
        <f>39950</f>
        <v>39950.0</v>
      </c>
      <c r="AD282" s="3" t="s">
        <v>737</v>
      </c>
      <c r="AE282" s="27" t="n">
        <f>21196</f>
        <v>21196.0</v>
      </c>
    </row>
    <row r="283">
      <c r="A283" s="20" t="s">
        <v>815</v>
      </c>
      <c r="B283" s="21" t="s">
        <v>816</v>
      </c>
      <c r="C283" s="22"/>
      <c r="D283" s="23"/>
      <c r="E283" s="24" t="s">
        <v>102</v>
      </c>
      <c r="F283" s="28" t="n">
        <f>124</f>
        <v>124.0</v>
      </c>
      <c r="G283" s="25" t="n">
        <f>179195</f>
        <v>179195.0</v>
      </c>
      <c r="H283" s="25"/>
      <c r="I283" s="25" t="n">
        <f>162593</f>
        <v>162593.0</v>
      </c>
      <c r="J283" s="25" t="n">
        <f>1445</f>
        <v>1445.0</v>
      </c>
      <c r="K283" s="25" t="n">
        <f>1311</f>
        <v>1311.0</v>
      </c>
      <c r="L283" s="2" t="s">
        <v>95</v>
      </c>
      <c r="M283" s="26" t="n">
        <f>35375</f>
        <v>35375.0</v>
      </c>
      <c r="N283" s="3" t="s">
        <v>869</v>
      </c>
      <c r="O283" s="27" t="str">
        <f>"－"</f>
        <v>－</v>
      </c>
      <c r="P283" s="29" t="s">
        <v>870</v>
      </c>
      <c r="Q283" s="25"/>
      <c r="R283" s="29" t="s">
        <v>871</v>
      </c>
      <c r="S283" s="25" t="n">
        <f>2542311201</f>
        <v>2.542311201E9</v>
      </c>
      <c r="T283" s="25" t="n">
        <f>2308923582</f>
        <v>2.308923582E9</v>
      </c>
      <c r="U283" s="3" t="s">
        <v>95</v>
      </c>
      <c r="V283" s="27" t="n">
        <f>61427935250</f>
        <v>6.142793525E10</v>
      </c>
      <c r="W283" s="3" t="s">
        <v>869</v>
      </c>
      <c r="X283" s="27" t="str">
        <f>"－"</f>
        <v>－</v>
      </c>
      <c r="Y283" s="27"/>
      <c r="Z283" s="25" t="n">
        <f>9415</f>
        <v>9415.0</v>
      </c>
      <c r="AA283" s="25" t="n">
        <f>29597</f>
        <v>29597.0</v>
      </c>
      <c r="AB283" s="2" t="s">
        <v>117</v>
      </c>
      <c r="AC283" s="26" t="n">
        <f>49071</f>
        <v>49071.0</v>
      </c>
      <c r="AD283" s="3" t="s">
        <v>872</v>
      </c>
      <c r="AE283" s="27" t="n">
        <f>21914</f>
        <v>21914.0</v>
      </c>
    </row>
    <row r="284">
      <c r="A284" s="20" t="s">
        <v>815</v>
      </c>
      <c r="B284" s="21" t="s">
        <v>816</v>
      </c>
      <c r="C284" s="22"/>
      <c r="D284" s="23"/>
      <c r="E284" s="24" t="s">
        <v>107</v>
      </c>
      <c r="F284" s="28" t="n">
        <f>117</f>
        <v>117.0</v>
      </c>
      <c r="G284" s="25" t="n">
        <f>246080</f>
        <v>246080.0</v>
      </c>
      <c r="H284" s="25"/>
      <c r="I284" s="25" t="n">
        <f>200530</f>
        <v>200530.0</v>
      </c>
      <c r="J284" s="25" t="n">
        <f>2103</f>
        <v>2103.0</v>
      </c>
      <c r="K284" s="25" t="n">
        <f>1714</f>
        <v>1714.0</v>
      </c>
      <c r="L284" s="2" t="s">
        <v>152</v>
      </c>
      <c r="M284" s="26" t="n">
        <f>47700</f>
        <v>47700.0</v>
      </c>
      <c r="N284" s="3" t="s">
        <v>873</v>
      </c>
      <c r="O284" s="27" t="n">
        <f>1</f>
        <v>1.0</v>
      </c>
      <c r="P284" s="29" t="s">
        <v>874</v>
      </c>
      <c r="Q284" s="25"/>
      <c r="R284" s="29" t="s">
        <v>875</v>
      </c>
      <c r="S284" s="25" t="n">
        <f>3956500695</f>
        <v>3.956500695E9</v>
      </c>
      <c r="T284" s="25" t="n">
        <f>3226924324</f>
        <v>3.226924324E9</v>
      </c>
      <c r="U284" s="3" t="s">
        <v>152</v>
      </c>
      <c r="V284" s="27" t="n">
        <f>90527008630</f>
        <v>9.052700863E10</v>
      </c>
      <c r="W284" s="3" t="s">
        <v>873</v>
      </c>
      <c r="X284" s="27" t="n">
        <f>1794000</f>
        <v>1794000.0</v>
      </c>
      <c r="Y284" s="27"/>
      <c r="Z284" s="25" t="n">
        <f>3757</f>
        <v>3757.0</v>
      </c>
      <c r="AA284" s="25" t="n">
        <f>45889</f>
        <v>45889.0</v>
      </c>
      <c r="AB284" s="2" t="s">
        <v>101</v>
      </c>
      <c r="AC284" s="26" t="n">
        <f>66418</f>
        <v>66418.0</v>
      </c>
      <c r="AD284" s="3" t="s">
        <v>876</v>
      </c>
      <c r="AE284" s="27" t="n">
        <f>28643</f>
        <v>28643.0</v>
      </c>
    </row>
    <row r="285">
      <c r="A285" s="20" t="s">
        <v>815</v>
      </c>
      <c r="B285" s="21" t="s">
        <v>816</v>
      </c>
      <c r="C285" s="22"/>
      <c r="D285" s="23"/>
      <c r="E285" s="24" t="s">
        <v>113</v>
      </c>
      <c r="F285" s="28" t="n">
        <f>124</f>
        <v>124.0</v>
      </c>
      <c r="G285" s="25" t="n">
        <f>550224</f>
        <v>550224.0</v>
      </c>
      <c r="H285" s="25"/>
      <c r="I285" s="25" t="n">
        <f>406221</f>
        <v>406221.0</v>
      </c>
      <c r="J285" s="25" t="n">
        <f>4437</f>
        <v>4437.0</v>
      </c>
      <c r="K285" s="25" t="n">
        <f>3276</f>
        <v>3276.0</v>
      </c>
      <c r="L285" s="2" t="s">
        <v>81</v>
      </c>
      <c r="M285" s="26" t="n">
        <f>50973</f>
        <v>50973.0</v>
      </c>
      <c r="N285" s="3" t="s">
        <v>68</v>
      </c>
      <c r="O285" s="27" t="n">
        <f>176</f>
        <v>176.0</v>
      </c>
      <c r="P285" s="29" t="s">
        <v>877</v>
      </c>
      <c r="Q285" s="25"/>
      <c r="R285" s="29" t="s">
        <v>878</v>
      </c>
      <c r="S285" s="25" t="n">
        <f>9450761917</f>
        <v>9.450761917E9</v>
      </c>
      <c r="T285" s="25" t="n">
        <f>6964932094</f>
        <v>6.964932094E9</v>
      </c>
      <c r="U285" s="3" t="s">
        <v>81</v>
      </c>
      <c r="V285" s="27" t="n">
        <f>110036498650</f>
        <v>1.1003649865E11</v>
      </c>
      <c r="W285" s="3" t="s">
        <v>68</v>
      </c>
      <c r="X285" s="27" t="n">
        <f>340256850</f>
        <v>3.4025685E8</v>
      </c>
      <c r="Y285" s="27"/>
      <c r="Z285" s="25" t="n">
        <f>6648</f>
        <v>6648.0</v>
      </c>
      <c r="AA285" s="25" t="n">
        <f>76181</f>
        <v>76181.0</v>
      </c>
      <c r="AB285" s="2" t="s">
        <v>53</v>
      </c>
      <c r="AC285" s="26" t="n">
        <f>89283</f>
        <v>89283.0</v>
      </c>
      <c r="AD285" s="3" t="s">
        <v>879</v>
      </c>
      <c r="AE285" s="27" t="n">
        <f>45344</f>
        <v>45344.0</v>
      </c>
    </row>
    <row r="286">
      <c r="A286" s="20" t="s">
        <v>815</v>
      </c>
      <c r="B286" s="21" t="s">
        <v>816</v>
      </c>
      <c r="C286" s="22"/>
      <c r="D286" s="23"/>
      <c r="E286" s="24" t="s">
        <v>119</v>
      </c>
      <c r="F286" s="28" t="n">
        <f>119</f>
        <v>119.0</v>
      </c>
      <c r="G286" s="25" t="n">
        <f>571922</f>
        <v>571922.0</v>
      </c>
      <c r="H286" s="25"/>
      <c r="I286" s="25" t="n">
        <f>451931</f>
        <v>451931.0</v>
      </c>
      <c r="J286" s="25" t="n">
        <f>4806</f>
        <v>4806.0</v>
      </c>
      <c r="K286" s="25" t="n">
        <f>3798</f>
        <v>3798.0</v>
      </c>
      <c r="L286" s="2" t="s">
        <v>56</v>
      </c>
      <c r="M286" s="26" t="n">
        <f>61450</f>
        <v>61450.0</v>
      </c>
      <c r="N286" s="3" t="s">
        <v>323</v>
      </c>
      <c r="O286" s="27" t="n">
        <f>139</f>
        <v>139.0</v>
      </c>
      <c r="P286" s="29" t="s">
        <v>880</v>
      </c>
      <c r="Q286" s="25"/>
      <c r="R286" s="29" t="s">
        <v>881</v>
      </c>
      <c r="S286" s="25" t="n">
        <f>8777926422</f>
        <v>8.777926422E9</v>
      </c>
      <c r="T286" s="25" t="n">
        <f>6836537915</f>
        <v>6.836537915E9</v>
      </c>
      <c r="U286" s="3" t="s">
        <v>56</v>
      </c>
      <c r="V286" s="27" t="n">
        <f>112479136650</f>
        <v>1.1247913665E11</v>
      </c>
      <c r="W286" s="3" t="s">
        <v>323</v>
      </c>
      <c r="X286" s="27" t="n">
        <f>213316570</f>
        <v>2.1331657E8</v>
      </c>
      <c r="Y286" s="27"/>
      <c r="Z286" s="25" t="n">
        <f>5745</f>
        <v>5745.0</v>
      </c>
      <c r="AA286" s="25" t="n">
        <f>67413</f>
        <v>67413.0</v>
      </c>
      <c r="AB286" s="2" t="s">
        <v>60</v>
      </c>
      <c r="AC286" s="26" t="n">
        <f>120536</f>
        <v>120536.0</v>
      </c>
      <c r="AD286" s="3" t="s">
        <v>688</v>
      </c>
      <c r="AE286" s="27" t="n">
        <f>65739</f>
        <v>65739.0</v>
      </c>
    </row>
    <row r="287">
      <c r="A287" s="20" t="s">
        <v>815</v>
      </c>
      <c r="B287" s="21" t="s">
        <v>816</v>
      </c>
      <c r="C287" s="22"/>
      <c r="D287" s="23"/>
      <c r="E287" s="24" t="s">
        <v>124</v>
      </c>
      <c r="F287" s="28" t="n">
        <f>124</f>
        <v>124.0</v>
      </c>
      <c r="G287" s="25" t="n">
        <f>432852</f>
        <v>432852.0</v>
      </c>
      <c r="H287" s="25"/>
      <c r="I287" s="25" t="n">
        <f>326403</f>
        <v>326403.0</v>
      </c>
      <c r="J287" s="25" t="n">
        <f>3491</f>
        <v>3491.0</v>
      </c>
      <c r="K287" s="25" t="n">
        <f>2632</f>
        <v>2632.0</v>
      </c>
      <c r="L287" s="2" t="s">
        <v>128</v>
      </c>
      <c r="M287" s="26" t="n">
        <f>81784</f>
        <v>81784.0</v>
      </c>
      <c r="N287" s="3" t="s">
        <v>882</v>
      </c>
      <c r="O287" s="27" t="n">
        <f>69</f>
        <v>69.0</v>
      </c>
      <c r="P287" s="29" t="s">
        <v>883</v>
      </c>
      <c r="Q287" s="25"/>
      <c r="R287" s="29" t="s">
        <v>884</v>
      </c>
      <c r="S287" s="25" t="n">
        <f>5926315059</f>
        <v>5.926315059E9</v>
      </c>
      <c r="T287" s="25" t="n">
        <f>4471697827</f>
        <v>4.471697827E9</v>
      </c>
      <c r="U287" s="3" t="s">
        <v>128</v>
      </c>
      <c r="V287" s="27" t="n">
        <f>137580586480</f>
        <v>1.3758058648E11</v>
      </c>
      <c r="W287" s="3" t="s">
        <v>882</v>
      </c>
      <c r="X287" s="27" t="n">
        <f>116447000</f>
        <v>1.16447E8</v>
      </c>
      <c r="Y287" s="27"/>
      <c r="Z287" s="25" t="n">
        <f>9039</f>
        <v>9039.0</v>
      </c>
      <c r="AA287" s="25" t="n">
        <f>62997</f>
        <v>62997.0</v>
      </c>
      <c r="AB287" s="2" t="s">
        <v>95</v>
      </c>
      <c r="AC287" s="26" t="n">
        <f>89825</f>
        <v>89825.0</v>
      </c>
      <c r="AD287" s="3" t="s">
        <v>302</v>
      </c>
      <c r="AE287" s="27" t="n">
        <f>58971</f>
        <v>58971.0</v>
      </c>
    </row>
    <row r="288">
      <c r="A288" s="20" t="s">
        <v>815</v>
      </c>
      <c r="B288" s="21" t="s">
        <v>816</v>
      </c>
      <c r="C288" s="22"/>
      <c r="D288" s="23"/>
      <c r="E288" s="24" t="s">
        <v>130</v>
      </c>
      <c r="F288" s="28" t="n">
        <f>121</f>
        <v>121.0</v>
      </c>
      <c r="G288" s="25" t="n">
        <f>438423</f>
        <v>438423.0</v>
      </c>
      <c r="H288" s="25"/>
      <c r="I288" s="25" t="n">
        <f>338802</f>
        <v>338802.0</v>
      </c>
      <c r="J288" s="25" t="n">
        <f>3623</f>
        <v>3623.0</v>
      </c>
      <c r="K288" s="25" t="n">
        <f>2800</f>
        <v>2800.0</v>
      </c>
      <c r="L288" s="2" t="s">
        <v>70</v>
      </c>
      <c r="M288" s="26" t="n">
        <f>62634</f>
        <v>62634.0</v>
      </c>
      <c r="N288" s="3" t="s">
        <v>513</v>
      </c>
      <c r="O288" s="27" t="n">
        <f>140</f>
        <v>140.0</v>
      </c>
      <c r="P288" s="29" t="s">
        <v>885</v>
      </c>
      <c r="Q288" s="25"/>
      <c r="R288" s="29" t="s">
        <v>886</v>
      </c>
      <c r="S288" s="25" t="n">
        <f>7182107827</f>
        <v>7.182107827E9</v>
      </c>
      <c r="T288" s="25" t="n">
        <f>5584255564</f>
        <v>5.584255564E9</v>
      </c>
      <c r="U288" s="3" t="s">
        <v>70</v>
      </c>
      <c r="V288" s="27" t="n">
        <f>118465569460</f>
        <v>1.1846556946E11</v>
      </c>
      <c r="W288" s="3" t="s">
        <v>513</v>
      </c>
      <c r="X288" s="27" t="n">
        <f>297176260</f>
        <v>2.9717626E8</v>
      </c>
      <c r="Y288" s="27"/>
      <c r="Z288" s="25" t="n">
        <f>14689</f>
        <v>14689.0</v>
      </c>
      <c r="AA288" s="25" t="n">
        <f>65446</f>
        <v>65446.0</v>
      </c>
      <c r="AB288" s="2" t="s">
        <v>134</v>
      </c>
      <c r="AC288" s="26" t="n">
        <f>95748</f>
        <v>95748.0</v>
      </c>
      <c r="AD288" s="3" t="s">
        <v>282</v>
      </c>
      <c r="AE288" s="27" t="n">
        <f>56679</f>
        <v>56679.0</v>
      </c>
    </row>
    <row r="289">
      <c r="A289" s="20" t="s">
        <v>815</v>
      </c>
      <c r="B289" s="21" t="s">
        <v>816</v>
      </c>
      <c r="C289" s="22"/>
      <c r="D289" s="23"/>
      <c r="E289" s="24" t="s">
        <v>136</v>
      </c>
      <c r="F289" s="28" t="n">
        <f>124</f>
        <v>124.0</v>
      </c>
      <c r="G289" s="25" t="n">
        <f>412264</f>
        <v>412264.0</v>
      </c>
      <c r="H289" s="25"/>
      <c r="I289" s="25" t="n">
        <f>349912</f>
        <v>349912.0</v>
      </c>
      <c r="J289" s="25" t="n">
        <f>3325</f>
        <v>3325.0</v>
      </c>
      <c r="K289" s="25" t="n">
        <f>2822</f>
        <v>2822.0</v>
      </c>
      <c r="L289" s="2" t="s">
        <v>77</v>
      </c>
      <c r="M289" s="26" t="n">
        <f>63012</f>
        <v>63012.0</v>
      </c>
      <c r="N289" s="3" t="s">
        <v>198</v>
      </c>
      <c r="O289" s="27" t="n">
        <f>41</f>
        <v>41.0</v>
      </c>
      <c r="P289" s="29" t="s">
        <v>887</v>
      </c>
      <c r="Q289" s="25"/>
      <c r="R289" s="29" t="s">
        <v>888</v>
      </c>
      <c r="S289" s="25" t="n">
        <f>6917310335</f>
        <v>6.917310335E9</v>
      </c>
      <c r="T289" s="25" t="n">
        <f>5871794477</f>
        <v>5.871794477E9</v>
      </c>
      <c r="U289" s="3" t="s">
        <v>77</v>
      </c>
      <c r="V289" s="27" t="n">
        <f>126714290290</f>
        <v>1.2671429029E11</v>
      </c>
      <c r="W289" s="3" t="s">
        <v>198</v>
      </c>
      <c r="X289" s="27" t="n">
        <f>87361840</f>
        <v>8.736184E7</v>
      </c>
      <c r="Y289" s="27"/>
      <c r="Z289" s="25" t="n">
        <f>5243</f>
        <v>5243.0</v>
      </c>
      <c r="AA289" s="25" t="n">
        <f>75675</f>
        <v>75675.0</v>
      </c>
      <c r="AB289" s="2" t="s">
        <v>137</v>
      </c>
      <c r="AC289" s="26" t="n">
        <f>83143</f>
        <v>83143.0</v>
      </c>
      <c r="AD289" s="3" t="s">
        <v>198</v>
      </c>
      <c r="AE289" s="27" t="n">
        <f>64493</f>
        <v>64493.0</v>
      </c>
    </row>
    <row r="290">
      <c r="A290" s="20" t="s">
        <v>815</v>
      </c>
      <c r="B290" s="21" t="s">
        <v>816</v>
      </c>
      <c r="C290" s="22"/>
      <c r="D290" s="23"/>
      <c r="E290" s="24" t="s">
        <v>142</v>
      </c>
      <c r="F290" s="28" t="n">
        <f>120</f>
        <v>120.0</v>
      </c>
      <c r="G290" s="25" t="n">
        <f>474901</f>
        <v>474901.0</v>
      </c>
      <c r="H290" s="25"/>
      <c r="I290" s="25" t="n">
        <f>408639</f>
        <v>408639.0</v>
      </c>
      <c r="J290" s="25" t="n">
        <f>3958</f>
        <v>3958.0</v>
      </c>
      <c r="K290" s="25" t="n">
        <f>3405</f>
        <v>3405.0</v>
      </c>
      <c r="L290" s="2" t="s">
        <v>84</v>
      </c>
      <c r="M290" s="26" t="n">
        <f>69258</f>
        <v>69258.0</v>
      </c>
      <c r="N290" s="3" t="s">
        <v>108</v>
      </c>
      <c r="O290" s="27" t="n">
        <f>122</f>
        <v>122.0</v>
      </c>
      <c r="P290" s="29" t="s">
        <v>889</v>
      </c>
      <c r="Q290" s="25"/>
      <c r="R290" s="29" t="s">
        <v>890</v>
      </c>
      <c r="S290" s="25" t="n">
        <f>7642730259</f>
        <v>7.642730259E9</v>
      </c>
      <c r="T290" s="25" t="n">
        <f>6571197927</f>
        <v>6.571197927E9</v>
      </c>
      <c r="U290" s="3" t="s">
        <v>84</v>
      </c>
      <c r="V290" s="27" t="n">
        <f>130058875240</f>
        <v>1.3005887524E11</v>
      </c>
      <c r="W290" s="3" t="s">
        <v>108</v>
      </c>
      <c r="X290" s="27" t="n">
        <f>241241610</f>
        <v>2.4124161E8</v>
      </c>
      <c r="Y290" s="27"/>
      <c r="Z290" s="25" t="n">
        <f>5139</f>
        <v>5139.0</v>
      </c>
      <c r="AA290" s="25" t="n">
        <f>66710</f>
        <v>66710.0</v>
      </c>
      <c r="AB290" s="2" t="s">
        <v>146</v>
      </c>
      <c r="AC290" s="26" t="n">
        <f>88469</f>
        <v>88469.0</v>
      </c>
      <c r="AD290" s="3" t="s">
        <v>400</v>
      </c>
      <c r="AE290" s="27" t="n">
        <f>65927</f>
        <v>65927.0</v>
      </c>
    </row>
    <row r="291">
      <c r="A291" s="20" t="s">
        <v>815</v>
      </c>
      <c r="B291" s="21" t="s">
        <v>816</v>
      </c>
      <c r="C291" s="22"/>
      <c r="D291" s="23"/>
      <c r="E291" s="24" t="s">
        <v>148</v>
      </c>
      <c r="F291" s="28" t="n">
        <f>124</f>
        <v>124.0</v>
      </c>
      <c r="G291" s="25" t="n">
        <f>508943</f>
        <v>508943.0</v>
      </c>
      <c r="H291" s="25"/>
      <c r="I291" s="25" t="n">
        <f>435674</f>
        <v>435674.0</v>
      </c>
      <c r="J291" s="25" t="n">
        <f>4104</f>
        <v>4104.0</v>
      </c>
      <c r="K291" s="25" t="n">
        <f>3514</f>
        <v>3514.0</v>
      </c>
      <c r="L291" s="2" t="s">
        <v>90</v>
      </c>
      <c r="M291" s="26" t="n">
        <f>73217</f>
        <v>73217.0</v>
      </c>
      <c r="N291" s="3" t="s">
        <v>891</v>
      </c>
      <c r="O291" s="27" t="n">
        <f>52</f>
        <v>52.0</v>
      </c>
      <c r="P291" s="29" t="s">
        <v>892</v>
      </c>
      <c r="Q291" s="25"/>
      <c r="R291" s="29" t="s">
        <v>893</v>
      </c>
      <c r="S291" s="25" t="n">
        <f>8061498487</f>
        <v>8.061498487E9</v>
      </c>
      <c r="T291" s="25" t="n">
        <f>6908607823</f>
        <v>6.908607823E9</v>
      </c>
      <c r="U291" s="3" t="s">
        <v>90</v>
      </c>
      <c r="V291" s="27" t="n">
        <f>147449600010</f>
        <v>1.4744960001E11</v>
      </c>
      <c r="W291" s="3" t="s">
        <v>891</v>
      </c>
      <c r="X291" s="27" t="n">
        <f>101013000</f>
        <v>1.01013E8</v>
      </c>
      <c r="Y291" s="27"/>
      <c r="Z291" s="25" t="n">
        <f>12292</f>
        <v>12292.0</v>
      </c>
      <c r="AA291" s="25" t="n">
        <f>100370</f>
        <v>100370.0</v>
      </c>
      <c r="AB291" s="2" t="s">
        <v>137</v>
      </c>
      <c r="AC291" s="26" t="n">
        <f>100503</f>
        <v>100503.0</v>
      </c>
      <c r="AD291" s="3" t="s">
        <v>894</v>
      </c>
      <c r="AE291" s="27" t="n">
        <f>58147</f>
        <v>58147.0</v>
      </c>
    </row>
    <row r="292">
      <c r="A292" s="20" t="s">
        <v>815</v>
      </c>
      <c r="B292" s="21" t="s">
        <v>816</v>
      </c>
      <c r="C292" s="22"/>
      <c r="D292" s="23"/>
      <c r="E292" s="24" t="s">
        <v>151</v>
      </c>
      <c r="F292" s="28" t="n">
        <f>122</f>
        <v>122.0</v>
      </c>
      <c r="G292" s="25" t="n">
        <f>627591</f>
        <v>627591.0</v>
      </c>
      <c r="H292" s="25"/>
      <c r="I292" s="25" t="n">
        <f>551928</f>
        <v>551928.0</v>
      </c>
      <c r="J292" s="25" t="n">
        <f>5144</f>
        <v>5144.0</v>
      </c>
      <c r="K292" s="25" t="n">
        <f>4524</f>
        <v>4524.0</v>
      </c>
      <c r="L292" s="2" t="s">
        <v>84</v>
      </c>
      <c r="M292" s="26" t="n">
        <f>73130</f>
        <v>73130.0</v>
      </c>
      <c r="N292" s="3" t="s">
        <v>98</v>
      </c>
      <c r="O292" s="27" t="n">
        <f>50</f>
        <v>50.0</v>
      </c>
      <c r="P292" s="29" t="s">
        <v>895</v>
      </c>
      <c r="Q292" s="25"/>
      <c r="R292" s="29" t="s">
        <v>896</v>
      </c>
      <c r="S292" s="25" t="n">
        <f>9439490686</f>
        <v>9.439490686E9</v>
      </c>
      <c r="T292" s="25" t="n">
        <f>8301214033</f>
        <v>8.301214033E9</v>
      </c>
      <c r="U292" s="3" t="s">
        <v>84</v>
      </c>
      <c r="V292" s="27" t="n">
        <f>133332952312</f>
        <v>1.33332952312E11</v>
      </c>
      <c r="W292" s="3" t="s">
        <v>98</v>
      </c>
      <c r="X292" s="27" t="n">
        <f>91760000</f>
        <v>9.176E7</v>
      </c>
      <c r="Y292" s="27"/>
      <c r="Z292" s="25" t="n">
        <f>9509</f>
        <v>9509.0</v>
      </c>
      <c r="AA292" s="25" t="n">
        <f>90497</f>
        <v>90497.0</v>
      </c>
      <c r="AB292" s="2" t="s">
        <v>312</v>
      </c>
      <c r="AC292" s="26" t="n">
        <f>122050</f>
        <v>122050.0</v>
      </c>
      <c r="AD292" s="3" t="s">
        <v>400</v>
      </c>
      <c r="AE292" s="27" t="n">
        <f>88349</f>
        <v>88349.0</v>
      </c>
    </row>
    <row r="293">
      <c r="A293" s="20" t="s">
        <v>815</v>
      </c>
      <c r="B293" s="21" t="s">
        <v>816</v>
      </c>
      <c r="C293" s="22"/>
      <c r="D293" s="23"/>
      <c r="E293" s="24" t="s">
        <v>157</v>
      </c>
      <c r="F293" s="28" t="n">
        <f>124</f>
        <v>124.0</v>
      </c>
      <c r="G293" s="25" t="n">
        <f>663360</f>
        <v>663360.0</v>
      </c>
      <c r="H293" s="25"/>
      <c r="I293" s="25" t="n">
        <f>563799</f>
        <v>563799.0</v>
      </c>
      <c r="J293" s="25" t="n">
        <f>5350</f>
        <v>5350.0</v>
      </c>
      <c r="K293" s="25" t="n">
        <f>4547</f>
        <v>4547.0</v>
      </c>
      <c r="L293" s="2" t="s">
        <v>241</v>
      </c>
      <c r="M293" s="26" t="n">
        <f>94702</f>
        <v>94702.0</v>
      </c>
      <c r="N293" s="3" t="s">
        <v>897</v>
      </c>
      <c r="O293" s="27" t="n">
        <f>206</f>
        <v>206.0</v>
      </c>
      <c r="P293" s="29" t="s">
        <v>898</v>
      </c>
      <c r="Q293" s="25"/>
      <c r="R293" s="29" t="s">
        <v>899</v>
      </c>
      <c r="S293" s="25" t="n">
        <f>9876100494</f>
        <v>9.876100494E9</v>
      </c>
      <c r="T293" s="25" t="n">
        <f>8403172114</f>
        <v>8.403172114E9</v>
      </c>
      <c r="U293" s="3" t="s">
        <v>241</v>
      </c>
      <c r="V293" s="27" t="n">
        <f>179978503320</f>
        <v>1.7997850332E11</v>
      </c>
      <c r="W293" s="3" t="s">
        <v>897</v>
      </c>
      <c r="X293" s="27" t="n">
        <f>380727000</f>
        <v>3.80727E8</v>
      </c>
      <c r="Y293" s="27"/>
      <c r="Z293" s="25" t="n">
        <f>31099</f>
        <v>31099.0</v>
      </c>
      <c r="AA293" s="25" t="n">
        <f>99257</f>
        <v>99257.0</v>
      </c>
      <c r="AB293" s="2" t="s">
        <v>593</v>
      </c>
      <c r="AC293" s="26" t="n">
        <f>123421</f>
        <v>123421.0</v>
      </c>
      <c r="AD293" s="3" t="s">
        <v>891</v>
      </c>
      <c r="AE293" s="27" t="n">
        <f>88615</f>
        <v>88615.0</v>
      </c>
    </row>
    <row r="294">
      <c r="A294" s="20" t="s">
        <v>815</v>
      </c>
      <c r="B294" s="21" t="s">
        <v>816</v>
      </c>
      <c r="C294" s="22"/>
      <c r="D294" s="23"/>
      <c r="E294" s="24" t="s">
        <v>160</v>
      </c>
      <c r="F294" s="28" t="n">
        <f>58</f>
        <v>58.0</v>
      </c>
      <c r="G294" s="25" t="n">
        <f>357950</f>
        <v>357950.0</v>
      </c>
      <c r="H294" s="25"/>
      <c r="I294" s="25" t="n">
        <f>301264</f>
        <v>301264.0</v>
      </c>
      <c r="J294" s="25" t="n">
        <f>6172</f>
        <v>6172.0</v>
      </c>
      <c r="K294" s="25" t="n">
        <f>5194</f>
        <v>5194.0</v>
      </c>
      <c r="L294" s="2" t="s">
        <v>111</v>
      </c>
      <c r="M294" s="26" t="n">
        <f>101661</f>
        <v>101661.0</v>
      </c>
      <c r="N294" s="3" t="s">
        <v>176</v>
      </c>
      <c r="O294" s="27" t="n">
        <f>92</f>
        <v>92.0</v>
      </c>
      <c r="P294" s="29" t="s">
        <v>900</v>
      </c>
      <c r="Q294" s="25"/>
      <c r="R294" s="29" t="s">
        <v>901</v>
      </c>
      <c r="S294" s="25" t="n">
        <f>10577408310</f>
        <v>1.057740831E10</v>
      </c>
      <c r="T294" s="25" t="n">
        <f>8885030191</f>
        <v>8.885030191E9</v>
      </c>
      <c r="U294" s="3" t="s">
        <v>111</v>
      </c>
      <c r="V294" s="27" t="n">
        <f>172438531420</f>
        <v>1.7243853142E11</v>
      </c>
      <c r="W294" s="3" t="s">
        <v>176</v>
      </c>
      <c r="X294" s="27" t="n">
        <f>167329560</f>
        <v>1.6732956E8</v>
      </c>
      <c r="Y294" s="27"/>
      <c r="Z294" s="25" t="n">
        <f>19316</f>
        <v>19316.0</v>
      </c>
      <c r="AA294" s="25" t="n">
        <f>71864</f>
        <v>71864.0</v>
      </c>
      <c r="AB294" s="2" t="s">
        <v>314</v>
      </c>
      <c r="AC294" s="26" t="n">
        <f>118948</f>
        <v>118948.0</v>
      </c>
      <c r="AD294" s="3" t="s">
        <v>267</v>
      </c>
      <c r="AE294" s="27" t="n">
        <f>71041</f>
        <v>71041.0</v>
      </c>
    </row>
    <row r="295">
      <c r="A295" s="20" t="s">
        <v>902</v>
      </c>
      <c r="B295" s="21" t="s">
        <v>903</v>
      </c>
      <c r="C295" s="22"/>
      <c r="D295" s="23"/>
      <c r="E295" s="24" t="s">
        <v>48</v>
      </c>
      <c r="F295" s="28" t="n">
        <f>21</f>
        <v>21.0</v>
      </c>
      <c r="G295" s="25" t="str">
        <f>"－"</f>
        <v>－</v>
      </c>
      <c r="H295" s="25"/>
      <c r="I295" s="25" t="str">
        <f>"－"</f>
        <v>－</v>
      </c>
      <c r="J295" s="25" t="str">
        <f>"－"</f>
        <v>－</v>
      </c>
      <c r="K295" s="25" t="str">
        <f>"－"</f>
        <v>－</v>
      </c>
      <c r="L295" s="2" t="s">
        <v>593</v>
      </c>
      <c r="M295" s="26" t="str">
        <f>"－"</f>
        <v>－</v>
      </c>
      <c r="N295" s="3" t="s">
        <v>593</v>
      </c>
      <c r="O295" s="27" t="str">
        <f>"－"</f>
        <v>－</v>
      </c>
      <c r="P295" s="29" t="s">
        <v>262</v>
      </c>
      <c r="Q295" s="25"/>
      <c r="R295" s="29" t="s">
        <v>262</v>
      </c>
      <c r="S295" s="25" t="str">
        <f>"－"</f>
        <v>－</v>
      </c>
      <c r="T295" s="25" t="str">
        <f>"－"</f>
        <v>－</v>
      </c>
      <c r="U295" s="3" t="s">
        <v>593</v>
      </c>
      <c r="V295" s="27" t="str">
        <f>"－"</f>
        <v>－</v>
      </c>
      <c r="W295" s="3" t="s">
        <v>593</v>
      </c>
      <c r="X295" s="27" t="str">
        <f>"－"</f>
        <v>－</v>
      </c>
      <c r="Y295" s="27"/>
      <c r="Z295" s="25" t="str">
        <f>"－"</f>
        <v>－</v>
      </c>
      <c r="AA295" s="25" t="str">
        <f>"－"</f>
        <v>－</v>
      </c>
      <c r="AB295" s="2" t="s">
        <v>593</v>
      </c>
      <c r="AC295" s="26" t="str">
        <f>"－"</f>
        <v>－</v>
      </c>
      <c r="AD295" s="3" t="s">
        <v>593</v>
      </c>
      <c r="AE295" s="27" t="str">
        <f>"－"</f>
        <v>－</v>
      </c>
    </row>
    <row r="296">
      <c r="A296" s="20" t="s">
        <v>902</v>
      </c>
      <c r="B296" s="21" t="s">
        <v>903</v>
      </c>
      <c r="C296" s="22"/>
      <c r="D296" s="23"/>
      <c r="E296" s="24" t="s">
        <v>55</v>
      </c>
      <c r="F296" s="28" t="n">
        <f>121</f>
        <v>121.0</v>
      </c>
      <c r="G296" s="25" t="str">
        <f>"－"</f>
        <v>－</v>
      </c>
      <c r="H296" s="25"/>
      <c r="I296" s="25" t="str">
        <f>"－"</f>
        <v>－</v>
      </c>
      <c r="J296" s="25" t="str">
        <f>"－"</f>
        <v>－</v>
      </c>
      <c r="K296" s="25" t="str">
        <f>"－"</f>
        <v>－</v>
      </c>
      <c r="L296" s="2" t="s">
        <v>147</v>
      </c>
      <c r="M296" s="26" t="str">
        <f>"－"</f>
        <v>－</v>
      </c>
      <c r="N296" s="3" t="s">
        <v>147</v>
      </c>
      <c r="O296" s="27" t="str">
        <f>"－"</f>
        <v>－</v>
      </c>
      <c r="P296" s="29" t="s">
        <v>262</v>
      </c>
      <c r="Q296" s="25"/>
      <c r="R296" s="29" t="s">
        <v>262</v>
      </c>
      <c r="S296" s="25" t="str">
        <f>"－"</f>
        <v>－</v>
      </c>
      <c r="T296" s="25" t="str">
        <f>"－"</f>
        <v>－</v>
      </c>
      <c r="U296" s="3" t="s">
        <v>147</v>
      </c>
      <c r="V296" s="27" t="str">
        <f>"－"</f>
        <v>－</v>
      </c>
      <c r="W296" s="3" t="s">
        <v>147</v>
      </c>
      <c r="X296" s="27" t="str">
        <f>"－"</f>
        <v>－</v>
      </c>
      <c r="Y296" s="27"/>
      <c r="Z296" s="25" t="str">
        <f>"－"</f>
        <v>－</v>
      </c>
      <c r="AA296" s="25" t="str">
        <f>"－"</f>
        <v>－</v>
      </c>
      <c r="AB296" s="2" t="s">
        <v>147</v>
      </c>
      <c r="AC296" s="26" t="str">
        <f>"－"</f>
        <v>－</v>
      </c>
      <c r="AD296" s="3" t="s">
        <v>147</v>
      </c>
      <c r="AE296" s="27" t="str">
        <f>"－"</f>
        <v>－</v>
      </c>
    </row>
    <row r="297">
      <c r="A297" s="20" t="s">
        <v>902</v>
      </c>
      <c r="B297" s="21" t="s">
        <v>903</v>
      </c>
      <c r="C297" s="22"/>
      <c r="D297" s="23"/>
      <c r="E297" s="24" t="s">
        <v>62</v>
      </c>
      <c r="F297" s="28" t="n">
        <f>123</f>
        <v>123.0</v>
      </c>
      <c r="G297" s="25" t="str">
        <f>"－"</f>
        <v>－</v>
      </c>
      <c r="H297" s="25"/>
      <c r="I297" s="25" t="str">
        <f>"－"</f>
        <v>－</v>
      </c>
      <c r="J297" s="25" t="str">
        <f>"－"</f>
        <v>－</v>
      </c>
      <c r="K297" s="25" t="str">
        <f>"－"</f>
        <v>－</v>
      </c>
      <c r="L297" s="2" t="s">
        <v>68</v>
      </c>
      <c r="M297" s="26" t="str">
        <f>"－"</f>
        <v>－</v>
      </c>
      <c r="N297" s="3" t="s">
        <v>68</v>
      </c>
      <c r="O297" s="27" t="str">
        <f>"－"</f>
        <v>－</v>
      </c>
      <c r="P297" s="29" t="s">
        <v>262</v>
      </c>
      <c r="Q297" s="25"/>
      <c r="R297" s="29" t="s">
        <v>262</v>
      </c>
      <c r="S297" s="25" t="str">
        <f>"－"</f>
        <v>－</v>
      </c>
      <c r="T297" s="25" t="str">
        <f>"－"</f>
        <v>－</v>
      </c>
      <c r="U297" s="3" t="s">
        <v>68</v>
      </c>
      <c r="V297" s="27" t="str">
        <f>"－"</f>
        <v>－</v>
      </c>
      <c r="W297" s="3" t="s">
        <v>68</v>
      </c>
      <c r="X297" s="27" t="str">
        <f>"－"</f>
        <v>－</v>
      </c>
      <c r="Y297" s="27"/>
      <c r="Z297" s="25" t="str">
        <f>"－"</f>
        <v>－</v>
      </c>
      <c r="AA297" s="25" t="str">
        <f>"－"</f>
        <v>－</v>
      </c>
      <c r="AB297" s="2" t="s">
        <v>68</v>
      </c>
      <c r="AC297" s="26" t="str">
        <f>"－"</f>
        <v>－</v>
      </c>
      <c r="AD297" s="3" t="s">
        <v>68</v>
      </c>
      <c r="AE297" s="27" t="str">
        <f>"－"</f>
        <v>－</v>
      </c>
    </row>
    <row r="298">
      <c r="A298" s="20" t="s">
        <v>902</v>
      </c>
      <c r="B298" s="21" t="s">
        <v>903</v>
      </c>
      <c r="C298" s="22"/>
      <c r="D298" s="23"/>
      <c r="E298" s="24" t="s">
        <v>69</v>
      </c>
      <c r="F298" s="28" t="n">
        <f>122</f>
        <v>122.0</v>
      </c>
      <c r="G298" s="25" t="str">
        <f>"－"</f>
        <v>－</v>
      </c>
      <c r="H298" s="25"/>
      <c r="I298" s="25" t="str">
        <f>"－"</f>
        <v>－</v>
      </c>
      <c r="J298" s="25" t="str">
        <f>"－"</f>
        <v>－</v>
      </c>
      <c r="K298" s="25" t="str">
        <f>"－"</f>
        <v>－</v>
      </c>
      <c r="L298" s="2" t="s">
        <v>156</v>
      </c>
      <c r="M298" s="26" t="str">
        <f>"－"</f>
        <v>－</v>
      </c>
      <c r="N298" s="3" t="s">
        <v>156</v>
      </c>
      <c r="O298" s="27" t="str">
        <f>"－"</f>
        <v>－</v>
      </c>
      <c r="P298" s="29" t="s">
        <v>262</v>
      </c>
      <c r="Q298" s="25"/>
      <c r="R298" s="29" t="s">
        <v>262</v>
      </c>
      <c r="S298" s="25" t="str">
        <f>"－"</f>
        <v>－</v>
      </c>
      <c r="T298" s="25" t="str">
        <f>"－"</f>
        <v>－</v>
      </c>
      <c r="U298" s="3" t="s">
        <v>156</v>
      </c>
      <c r="V298" s="27" t="str">
        <f>"－"</f>
        <v>－</v>
      </c>
      <c r="W298" s="3" t="s">
        <v>156</v>
      </c>
      <c r="X298" s="27" t="str">
        <f>"－"</f>
        <v>－</v>
      </c>
      <c r="Y298" s="27"/>
      <c r="Z298" s="25" t="str">
        <f>"－"</f>
        <v>－</v>
      </c>
      <c r="AA298" s="25" t="str">
        <f>"－"</f>
        <v>－</v>
      </c>
      <c r="AB298" s="2" t="s">
        <v>156</v>
      </c>
      <c r="AC298" s="26" t="str">
        <f>"－"</f>
        <v>－</v>
      </c>
      <c r="AD298" s="3" t="s">
        <v>156</v>
      </c>
      <c r="AE298" s="27" t="str">
        <f>"－"</f>
        <v>－</v>
      </c>
    </row>
    <row r="299">
      <c r="A299" s="20" t="s">
        <v>902</v>
      </c>
      <c r="B299" s="21" t="s">
        <v>903</v>
      </c>
      <c r="C299" s="22"/>
      <c r="D299" s="23"/>
      <c r="E299" s="24" t="s">
        <v>76</v>
      </c>
      <c r="F299" s="28" t="n">
        <f>123</f>
        <v>123.0</v>
      </c>
      <c r="G299" s="25" t="str">
        <f>"－"</f>
        <v>－</v>
      </c>
      <c r="H299" s="25"/>
      <c r="I299" s="25" t="str">
        <f>"－"</f>
        <v>－</v>
      </c>
      <c r="J299" s="25" t="str">
        <f>"－"</f>
        <v>－</v>
      </c>
      <c r="K299" s="25" t="str">
        <f>"－"</f>
        <v>－</v>
      </c>
      <c r="L299" s="2" t="s">
        <v>68</v>
      </c>
      <c r="M299" s="26" t="str">
        <f>"－"</f>
        <v>－</v>
      </c>
      <c r="N299" s="3" t="s">
        <v>68</v>
      </c>
      <c r="O299" s="27" t="str">
        <f>"－"</f>
        <v>－</v>
      </c>
      <c r="P299" s="29" t="s">
        <v>262</v>
      </c>
      <c r="Q299" s="25"/>
      <c r="R299" s="29" t="s">
        <v>262</v>
      </c>
      <c r="S299" s="25" t="str">
        <f>"－"</f>
        <v>－</v>
      </c>
      <c r="T299" s="25" t="str">
        <f>"－"</f>
        <v>－</v>
      </c>
      <c r="U299" s="3" t="s">
        <v>68</v>
      </c>
      <c r="V299" s="27" t="str">
        <f>"－"</f>
        <v>－</v>
      </c>
      <c r="W299" s="3" t="s">
        <v>68</v>
      </c>
      <c r="X299" s="27" t="str">
        <f>"－"</f>
        <v>－</v>
      </c>
      <c r="Y299" s="27"/>
      <c r="Z299" s="25" t="str">
        <f>"－"</f>
        <v>－</v>
      </c>
      <c r="AA299" s="25" t="str">
        <f>"－"</f>
        <v>－</v>
      </c>
      <c r="AB299" s="2" t="s">
        <v>68</v>
      </c>
      <c r="AC299" s="26" t="str">
        <f>"－"</f>
        <v>－</v>
      </c>
      <c r="AD299" s="3" t="s">
        <v>68</v>
      </c>
      <c r="AE299" s="27" t="str">
        <f>"－"</f>
        <v>－</v>
      </c>
    </row>
    <row r="300">
      <c r="A300" s="20" t="s">
        <v>902</v>
      </c>
      <c r="B300" s="21" t="s">
        <v>903</v>
      </c>
      <c r="C300" s="22"/>
      <c r="D300" s="23"/>
      <c r="E300" s="24" t="s">
        <v>83</v>
      </c>
      <c r="F300" s="28" t="n">
        <f>123</f>
        <v>123.0</v>
      </c>
      <c r="G300" s="25" t="str">
        <f>"－"</f>
        <v>－</v>
      </c>
      <c r="H300" s="25"/>
      <c r="I300" s="25" t="str">
        <f>"－"</f>
        <v>－</v>
      </c>
      <c r="J300" s="25" t="str">
        <f>"－"</f>
        <v>－</v>
      </c>
      <c r="K300" s="25" t="str">
        <f>"－"</f>
        <v>－</v>
      </c>
      <c r="L300" s="2" t="s">
        <v>156</v>
      </c>
      <c r="M300" s="26" t="str">
        <f>"－"</f>
        <v>－</v>
      </c>
      <c r="N300" s="3" t="s">
        <v>156</v>
      </c>
      <c r="O300" s="27" t="str">
        <f>"－"</f>
        <v>－</v>
      </c>
      <c r="P300" s="29" t="s">
        <v>262</v>
      </c>
      <c r="Q300" s="25"/>
      <c r="R300" s="29" t="s">
        <v>262</v>
      </c>
      <c r="S300" s="25" t="str">
        <f>"－"</f>
        <v>－</v>
      </c>
      <c r="T300" s="25" t="str">
        <f>"－"</f>
        <v>－</v>
      </c>
      <c r="U300" s="3" t="s">
        <v>156</v>
      </c>
      <c r="V300" s="27" t="str">
        <f>"－"</f>
        <v>－</v>
      </c>
      <c r="W300" s="3" t="s">
        <v>156</v>
      </c>
      <c r="X300" s="27" t="str">
        <f>"－"</f>
        <v>－</v>
      </c>
      <c r="Y300" s="27"/>
      <c r="Z300" s="25" t="str">
        <f>"－"</f>
        <v>－</v>
      </c>
      <c r="AA300" s="25" t="str">
        <f>"－"</f>
        <v>－</v>
      </c>
      <c r="AB300" s="2" t="s">
        <v>156</v>
      </c>
      <c r="AC300" s="26" t="str">
        <f>"－"</f>
        <v>－</v>
      </c>
      <c r="AD300" s="3" t="s">
        <v>156</v>
      </c>
      <c r="AE300" s="27" t="str">
        <f>"－"</f>
        <v>－</v>
      </c>
    </row>
    <row r="301">
      <c r="A301" s="20" t="s">
        <v>902</v>
      </c>
      <c r="B301" s="21" t="s">
        <v>903</v>
      </c>
      <c r="C301" s="22"/>
      <c r="D301" s="23"/>
      <c r="E301" s="24" t="s">
        <v>89</v>
      </c>
      <c r="F301" s="28" t="n">
        <f>124</f>
        <v>124.0</v>
      </c>
      <c r="G301" s="25" t="str">
        <f>"－"</f>
        <v>－</v>
      </c>
      <c r="H301" s="25"/>
      <c r="I301" s="25" t="str">
        <f>"－"</f>
        <v>－</v>
      </c>
      <c r="J301" s="25" t="str">
        <f>"－"</f>
        <v>－</v>
      </c>
      <c r="K301" s="25" t="str">
        <f>"－"</f>
        <v>－</v>
      </c>
      <c r="L301" s="2" t="s">
        <v>633</v>
      </c>
      <c r="M301" s="26" t="str">
        <f>"－"</f>
        <v>－</v>
      </c>
      <c r="N301" s="3" t="s">
        <v>633</v>
      </c>
      <c r="O301" s="27" t="str">
        <f>"－"</f>
        <v>－</v>
      </c>
      <c r="P301" s="29" t="s">
        <v>262</v>
      </c>
      <c r="Q301" s="25"/>
      <c r="R301" s="29" t="s">
        <v>262</v>
      </c>
      <c r="S301" s="25" t="str">
        <f>"－"</f>
        <v>－</v>
      </c>
      <c r="T301" s="25" t="str">
        <f>"－"</f>
        <v>－</v>
      </c>
      <c r="U301" s="3" t="s">
        <v>633</v>
      </c>
      <c r="V301" s="27" t="str">
        <f>"－"</f>
        <v>－</v>
      </c>
      <c r="W301" s="3" t="s">
        <v>633</v>
      </c>
      <c r="X301" s="27" t="str">
        <f>"－"</f>
        <v>－</v>
      </c>
      <c r="Y301" s="27"/>
      <c r="Z301" s="25" t="str">
        <f>"－"</f>
        <v>－</v>
      </c>
      <c r="AA301" s="25" t="str">
        <f>"－"</f>
        <v>－</v>
      </c>
      <c r="AB301" s="2" t="s">
        <v>633</v>
      </c>
      <c r="AC301" s="26" t="str">
        <f>"－"</f>
        <v>－</v>
      </c>
      <c r="AD301" s="3" t="s">
        <v>633</v>
      </c>
      <c r="AE301" s="27" t="str">
        <f>"－"</f>
        <v>－</v>
      </c>
    </row>
    <row r="302">
      <c r="A302" s="20" t="s">
        <v>902</v>
      </c>
      <c r="B302" s="21" t="s">
        <v>903</v>
      </c>
      <c r="C302" s="22"/>
      <c r="D302" s="23"/>
      <c r="E302" s="24" t="s">
        <v>96</v>
      </c>
      <c r="F302" s="28" t="n">
        <f>121</f>
        <v>121.0</v>
      </c>
      <c r="G302" s="25" t="str">
        <f>"－"</f>
        <v>－</v>
      </c>
      <c r="H302" s="25"/>
      <c r="I302" s="25" t="str">
        <f>"－"</f>
        <v>－</v>
      </c>
      <c r="J302" s="25" t="str">
        <f>"－"</f>
        <v>－</v>
      </c>
      <c r="K302" s="25" t="str">
        <f>"－"</f>
        <v>－</v>
      </c>
      <c r="L302" s="2" t="s">
        <v>156</v>
      </c>
      <c r="M302" s="26" t="str">
        <f>"－"</f>
        <v>－</v>
      </c>
      <c r="N302" s="3" t="s">
        <v>156</v>
      </c>
      <c r="O302" s="27" t="str">
        <f>"－"</f>
        <v>－</v>
      </c>
      <c r="P302" s="29" t="s">
        <v>262</v>
      </c>
      <c r="Q302" s="25"/>
      <c r="R302" s="29" t="s">
        <v>262</v>
      </c>
      <c r="S302" s="25" t="str">
        <f>"－"</f>
        <v>－</v>
      </c>
      <c r="T302" s="25" t="str">
        <f>"－"</f>
        <v>－</v>
      </c>
      <c r="U302" s="3" t="s">
        <v>156</v>
      </c>
      <c r="V302" s="27" t="str">
        <f>"－"</f>
        <v>－</v>
      </c>
      <c r="W302" s="3" t="s">
        <v>156</v>
      </c>
      <c r="X302" s="27" t="str">
        <f>"－"</f>
        <v>－</v>
      </c>
      <c r="Y302" s="27"/>
      <c r="Z302" s="25" t="str">
        <f>"－"</f>
        <v>－</v>
      </c>
      <c r="AA302" s="25" t="str">
        <f>"－"</f>
        <v>－</v>
      </c>
      <c r="AB302" s="2" t="s">
        <v>156</v>
      </c>
      <c r="AC302" s="26" t="str">
        <f>"－"</f>
        <v>－</v>
      </c>
      <c r="AD302" s="3" t="s">
        <v>156</v>
      </c>
      <c r="AE302" s="27" t="str">
        <f>"－"</f>
        <v>－</v>
      </c>
    </row>
    <row r="303">
      <c r="A303" s="20" t="s">
        <v>902</v>
      </c>
      <c r="B303" s="21" t="s">
        <v>903</v>
      </c>
      <c r="C303" s="22"/>
      <c r="D303" s="23"/>
      <c r="E303" s="24" t="s">
        <v>102</v>
      </c>
      <c r="F303" s="28" t="n">
        <f>124</f>
        <v>124.0</v>
      </c>
      <c r="G303" s="25" t="str">
        <f>"－"</f>
        <v>－</v>
      </c>
      <c r="H303" s="25"/>
      <c r="I303" s="25" t="str">
        <f>"－"</f>
        <v>－</v>
      </c>
      <c r="J303" s="25" t="str">
        <f>"－"</f>
        <v>－</v>
      </c>
      <c r="K303" s="25" t="str">
        <f>"－"</f>
        <v>－</v>
      </c>
      <c r="L303" s="2" t="s">
        <v>215</v>
      </c>
      <c r="M303" s="26" t="str">
        <f>"－"</f>
        <v>－</v>
      </c>
      <c r="N303" s="3" t="s">
        <v>215</v>
      </c>
      <c r="O303" s="27" t="str">
        <f>"－"</f>
        <v>－</v>
      </c>
      <c r="P303" s="29" t="s">
        <v>262</v>
      </c>
      <c r="Q303" s="25"/>
      <c r="R303" s="29" t="s">
        <v>262</v>
      </c>
      <c r="S303" s="25" t="str">
        <f>"－"</f>
        <v>－</v>
      </c>
      <c r="T303" s="25" t="str">
        <f>"－"</f>
        <v>－</v>
      </c>
      <c r="U303" s="3" t="s">
        <v>215</v>
      </c>
      <c r="V303" s="27" t="str">
        <f>"－"</f>
        <v>－</v>
      </c>
      <c r="W303" s="3" t="s">
        <v>215</v>
      </c>
      <c r="X303" s="27" t="str">
        <f>"－"</f>
        <v>－</v>
      </c>
      <c r="Y303" s="27"/>
      <c r="Z303" s="25" t="str">
        <f>"－"</f>
        <v>－</v>
      </c>
      <c r="AA303" s="25" t="str">
        <f>"－"</f>
        <v>－</v>
      </c>
      <c r="AB303" s="2" t="s">
        <v>215</v>
      </c>
      <c r="AC303" s="26" t="str">
        <f>"－"</f>
        <v>－</v>
      </c>
      <c r="AD303" s="3" t="s">
        <v>215</v>
      </c>
      <c r="AE303" s="27" t="str">
        <f>"－"</f>
        <v>－</v>
      </c>
    </row>
    <row r="304">
      <c r="A304" s="20" t="s">
        <v>902</v>
      </c>
      <c r="B304" s="21" t="s">
        <v>903</v>
      </c>
      <c r="C304" s="22"/>
      <c r="D304" s="23"/>
      <c r="E304" s="24" t="s">
        <v>107</v>
      </c>
      <c r="F304" s="28" t="n">
        <f>117</f>
        <v>117.0</v>
      </c>
      <c r="G304" s="25" t="str">
        <f>"－"</f>
        <v>－</v>
      </c>
      <c r="H304" s="25"/>
      <c r="I304" s="25" t="str">
        <f>"－"</f>
        <v>－</v>
      </c>
      <c r="J304" s="25" t="str">
        <f>"－"</f>
        <v>－</v>
      </c>
      <c r="K304" s="25" t="str">
        <f>"－"</f>
        <v>－</v>
      </c>
      <c r="L304" s="2" t="s">
        <v>156</v>
      </c>
      <c r="M304" s="26" t="str">
        <f>"－"</f>
        <v>－</v>
      </c>
      <c r="N304" s="3" t="s">
        <v>156</v>
      </c>
      <c r="O304" s="27" t="str">
        <f>"－"</f>
        <v>－</v>
      </c>
      <c r="P304" s="29" t="s">
        <v>262</v>
      </c>
      <c r="Q304" s="25"/>
      <c r="R304" s="29" t="s">
        <v>262</v>
      </c>
      <c r="S304" s="25" t="str">
        <f>"－"</f>
        <v>－</v>
      </c>
      <c r="T304" s="25" t="str">
        <f>"－"</f>
        <v>－</v>
      </c>
      <c r="U304" s="3" t="s">
        <v>156</v>
      </c>
      <c r="V304" s="27" t="str">
        <f>"－"</f>
        <v>－</v>
      </c>
      <c r="W304" s="3" t="s">
        <v>156</v>
      </c>
      <c r="X304" s="27" t="str">
        <f>"－"</f>
        <v>－</v>
      </c>
      <c r="Y304" s="27"/>
      <c r="Z304" s="25" t="str">
        <f>"－"</f>
        <v>－</v>
      </c>
      <c r="AA304" s="25" t="str">
        <f>"－"</f>
        <v>－</v>
      </c>
      <c r="AB304" s="2" t="s">
        <v>156</v>
      </c>
      <c r="AC304" s="26" t="str">
        <f>"－"</f>
        <v>－</v>
      </c>
      <c r="AD304" s="3" t="s">
        <v>156</v>
      </c>
      <c r="AE304" s="27" t="str">
        <f>"－"</f>
        <v>－</v>
      </c>
    </row>
    <row r="305">
      <c r="A305" s="20" t="s">
        <v>902</v>
      </c>
      <c r="B305" s="21" t="s">
        <v>903</v>
      </c>
      <c r="C305" s="22"/>
      <c r="D305" s="23"/>
      <c r="E305" s="24" t="s">
        <v>113</v>
      </c>
      <c r="F305" s="28" t="n">
        <f>124</f>
        <v>124.0</v>
      </c>
      <c r="G305" s="25" t="str">
        <f>"－"</f>
        <v>－</v>
      </c>
      <c r="H305" s="25"/>
      <c r="I305" s="25" t="str">
        <f>"－"</f>
        <v>－</v>
      </c>
      <c r="J305" s="25" t="str">
        <f>"－"</f>
        <v>－</v>
      </c>
      <c r="K305" s="25" t="str">
        <f>"－"</f>
        <v>－</v>
      </c>
      <c r="L305" s="2" t="s">
        <v>68</v>
      </c>
      <c r="M305" s="26" t="str">
        <f>"－"</f>
        <v>－</v>
      </c>
      <c r="N305" s="3" t="s">
        <v>68</v>
      </c>
      <c r="O305" s="27" t="str">
        <f>"－"</f>
        <v>－</v>
      </c>
      <c r="P305" s="29" t="s">
        <v>262</v>
      </c>
      <c r="Q305" s="25"/>
      <c r="R305" s="29" t="s">
        <v>262</v>
      </c>
      <c r="S305" s="25" t="str">
        <f>"－"</f>
        <v>－</v>
      </c>
      <c r="T305" s="25" t="str">
        <f>"－"</f>
        <v>－</v>
      </c>
      <c r="U305" s="3" t="s">
        <v>68</v>
      </c>
      <c r="V305" s="27" t="str">
        <f>"－"</f>
        <v>－</v>
      </c>
      <c r="W305" s="3" t="s">
        <v>68</v>
      </c>
      <c r="X305" s="27" t="str">
        <f>"－"</f>
        <v>－</v>
      </c>
      <c r="Y305" s="27"/>
      <c r="Z305" s="25" t="str">
        <f>"－"</f>
        <v>－</v>
      </c>
      <c r="AA305" s="25" t="str">
        <f>"－"</f>
        <v>－</v>
      </c>
      <c r="AB305" s="2" t="s">
        <v>68</v>
      </c>
      <c r="AC305" s="26" t="str">
        <f>"－"</f>
        <v>－</v>
      </c>
      <c r="AD305" s="3" t="s">
        <v>68</v>
      </c>
      <c r="AE305" s="27" t="str">
        <f>"－"</f>
        <v>－</v>
      </c>
    </row>
    <row r="306">
      <c r="A306" s="20" t="s">
        <v>902</v>
      </c>
      <c r="B306" s="21" t="s">
        <v>903</v>
      </c>
      <c r="C306" s="22"/>
      <c r="D306" s="23"/>
      <c r="E306" s="24" t="s">
        <v>119</v>
      </c>
      <c r="F306" s="28" t="n">
        <f>119</f>
        <v>119.0</v>
      </c>
      <c r="G306" s="25" t="str">
        <f>"－"</f>
        <v>－</v>
      </c>
      <c r="H306" s="25"/>
      <c r="I306" s="25" t="str">
        <f>"－"</f>
        <v>－</v>
      </c>
      <c r="J306" s="25" t="str">
        <f>"－"</f>
        <v>－</v>
      </c>
      <c r="K306" s="25" t="str">
        <f>"－"</f>
        <v>－</v>
      </c>
      <c r="L306" s="2" t="s">
        <v>328</v>
      </c>
      <c r="M306" s="26" t="str">
        <f>"－"</f>
        <v>－</v>
      </c>
      <c r="N306" s="3" t="s">
        <v>328</v>
      </c>
      <c r="O306" s="27" t="str">
        <f>"－"</f>
        <v>－</v>
      </c>
      <c r="P306" s="29" t="s">
        <v>262</v>
      </c>
      <c r="Q306" s="25"/>
      <c r="R306" s="29" t="s">
        <v>262</v>
      </c>
      <c r="S306" s="25" t="str">
        <f>"－"</f>
        <v>－</v>
      </c>
      <c r="T306" s="25" t="str">
        <f>"－"</f>
        <v>－</v>
      </c>
      <c r="U306" s="3" t="s">
        <v>328</v>
      </c>
      <c r="V306" s="27" t="str">
        <f>"－"</f>
        <v>－</v>
      </c>
      <c r="W306" s="3" t="s">
        <v>328</v>
      </c>
      <c r="X306" s="27" t="str">
        <f>"－"</f>
        <v>－</v>
      </c>
      <c r="Y306" s="27"/>
      <c r="Z306" s="25" t="str">
        <f>"－"</f>
        <v>－</v>
      </c>
      <c r="AA306" s="25" t="str">
        <f>"－"</f>
        <v>－</v>
      </c>
      <c r="AB306" s="2" t="s">
        <v>328</v>
      </c>
      <c r="AC306" s="26" t="str">
        <f>"－"</f>
        <v>－</v>
      </c>
      <c r="AD306" s="3" t="s">
        <v>328</v>
      </c>
      <c r="AE306" s="27" t="str">
        <f>"－"</f>
        <v>－</v>
      </c>
    </row>
    <row r="307">
      <c r="A307" s="20" t="s">
        <v>902</v>
      </c>
      <c r="B307" s="21" t="s">
        <v>903</v>
      </c>
      <c r="C307" s="22"/>
      <c r="D307" s="23"/>
      <c r="E307" s="24" t="s">
        <v>124</v>
      </c>
      <c r="F307" s="28" t="n">
        <f>124</f>
        <v>124.0</v>
      </c>
      <c r="G307" s="25" t="str">
        <f>"－"</f>
        <v>－</v>
      </c>
      <c r="H307" s="25"/>
      <c r="I307" s="25" t="str">
        <f>"－"</f>
        <v>－</v>
      </c>
      <c r="J307" s="25" t="str">
        <f>"－"</f>
        <v>－</v>
      </c>
      <c r="K307" s="25" t="str">
        <f>"－"</f>
        <v>－</v>
      </c>
      <c r="L307" s="2" t="s">
        <v>68</v>
      </c>
      <c r="M307" s="26" t="str">
        <f>"－"</f>
        <v>－</v>
      </c>
      <c r="N307" s="3" t="s">
        <v>68</v>
      </c>
      <c r="O307" s="27" t="str">
        <f>"－"</f>
        <v>－</v>
      </c>
      <c r="P307" s="29" t="s">
        <v>262</v>
      </c>
      <c r="Q307" s="25"/>
      <c r="R307" s="29" t="s">
        <v>262</v>
      </c>
      <c r="S307" s="25" t="str">
        <f>"－"</f>
        <v>－</v>
      </c>
      <c r="T307" s="25" t="str">
        <f>"－"</f>
        <v>－</v>
      </c>
      <c r="U307" s="3" t="s">
        <v>68</v>
      </c>
      <c r="V307" s="27" t="str">
        <f>"－"</f>
        <v>－</v>
      </c>
      <c r="W307" s="3" t="s">
        <v>68</v>
      </c>
      <c r="X307" s="27" t="str">
        <f>"－"</f>
        <v>－</v>
      </c>
      <c r="Y307" s="27"/>
      <c r="Z307" s="25" t="str">
        <f>"－"</f>
        <v>－</v>
      </c>
      <c r="AA307" s="25" t="str">
        <f>"－"</f>
        <v>－</v>
      </c>
      <c r="AB307" s="2" t="s">
        <v>68</v>
      </c>
      <c r="AC307" s="26" t="str">
        <f>"－"</f>
        <v>－</v>
      </c>
      <c r="AD307" s="3" t="s">
        <v>68</v>
      </c>
      <c r="AE307" s="27" t="str">
        <f>"－"</f>
        <v>－</v>
      </c>
    </row>
    <row r="308">
      <c r="A308" s="20" t="s">
        <v>902</v>
      </c>
      <c r="B308" s="21" t="s">
        <v>903</v>
      </c>
      <c r="C308" s="22"/>
      <c r="D308" s="23"/>
      <c r="E308" s="24" t="s">
        <v>130</v>
      </c>
      <c r="F308" s="28" t="n">
        <f>121</f>
        <v>121.0</v>
      </c>
      <c r="G308" s="25" t="str">
        <f>"－"</f>
        <v>－</v>
      </c>
      <c r="H308" s="25"/>
      <c r="I308" s="25" t="str">
        <f>"－"</f>
        <v>－</v>
      </c>
      <c r="J308" s="25" t="str">
        <f>"－"</f>
        <v>－</v>
      </c>
      <c r="K308" s="25" t="str">
        <f>"－"</f>
        <v>－</v>
      </c>
      <c r="L308" s="2" t="s">
        <v>156</v>
      </c>
      <c r="M308" s="26" t="str">
        <f>"－"</f>
        <v>－</v>
      </c>
      <c r="N308" s="3" t="s">
        <v>156</v>
      </c>
      <c r="O308" s="27" t="str">
        <f>"－"</f>
        <v>－</v>
      </c>
      <c r="P308" s="29" t="s">
        <v>262</v>
      </c>
      <c r="Q308" s="25"/>
      <c r="R308" s="29" t="s">
        <v>262</v>
      </c>
      <c r="S308" s="25" t="str">
        <f>"－"</f>
        <v>－</v>
      </c>
      <c r="T308" s="25" t="str">
        <f>"－"</f>
        <v>－</v>
      </c>
      <c r="U308" s="3" t="s">
        <v>156</v>
      </c>
      <c r="V308" s="27" t="str">
        <f>"－"</f>
        <v>－</v>
      </c>
      <c r="W308" s="3" t="s">
        <v>156</v>
      </c>
      <c r="X308" s="27" t="str">
        <f>"－"</f>
        <v>－</v>
      </c>
      <c r="Y308" s="27"/>
      <c r="Z308" s="25" t="str">
        <f>"－"</f>
        <v>－</v>
      </c>
      <c r="AA308" s="25" t="str">
        <f>"－"</f>
        <v>－</v>
      </c>
      <c r="AB308" s="2" t="s">
        <v>156</v>
      </c>
      <c r="AC308" s="26" t="str">
        <f>"－"</f>
        <v>－</v>
      </c>
      <c r="AD308" s="3" t="s">
        <v>156</v>
      </c>
      <c r="AE308" s="27" t="str">
        <f>"－"</f>
        <v>－</v>
      </c>
    </row>
    <row r="309">
      <c r="A309" s="20" t="s">
        <v>902</v>
      </c>
      <c r="B309" s="21" t="s">
        <v>903</v>
      </c>
      <c r="C309" s="22"/>
      <c r="D309" s="23"/>
      <c r="E309" s="24" t="s">
        <v>136</v>
      </c>
      <c r="F309" s="28" t="n">
        <f>124</f>
        <v>124.0</v>
      </c>
      <c r="G309" s="25" t="str">
        <f>"－"</f>
        <v>－</v>
      </c>
      <c r="H309" s="25"/>
      <c r="I309" s="25" t="str">
        <f>"－"</f>
        <v>－</v>
      </c>
      <c r="J309" s="25" t="str">
        <f>"－"</f>
        <v>－</v>
      </c>
      <c r="K309" s="25" t="str">
        <f>"－"</f>
        <v>－</v>
      </c>
      <c r="L309" s="2" t="s">
        <v>68</v>
      </c>
      <c r="M309" s="26" t="str">
        <f>"－"</f>
        <v>－</v>
      </c>
      <c r="N309" s="3" t="s">
        <v>68</v>
      </c>
      <c r="O309" s="27" t="str">
        <f>"－"</f>
        <v>－</v>
      </c>
      <c r="P309" s="29" t="s">
        <v>262</v>
      </c>
      <c r="Q309" s="25"/>
      <c r="R309" s="29" t="s">
        <v>262</v>
      </c>
      <c r="S309" s="25" t="str">
        <f>"－"</f>
        <v>－</v>
      </c>
      <c r="T309" s="25" t="str">
        <f>"－"</f>
        <v>－</v>
      </c>
      <c r="U309" s="3" t="s">
        <v>68</v>
      </c>
      <c r="V309" s="27" t="str">
        <f>"－"</f>
        <v>－</v>
      </c>
      <c r="W309" s="3" t="s">
        <v>68</v>
      </c>
      <c r="X309" s="27" t="str">
        <f>"－"</f>
        <v>－</v>
      </c>
      <c r="Y309" s="27"/>
      <c r="Z309" s="25" t="str">
        <f>"－"</f>
        <v>－</v>
      </c>
      <c r="AA309" s="25" t="str">
        <f>"－"</f>
        <v>－</v>
      </c>
      <c r="AB309" s="2" t="s">
        <v>68</v>
      </c>
      <c r="AC309" s="26" t="str">
        <f>"－"</f>
        <v>－</v>
      </c>
      <c r="AD309" s="3" t="s">
        <v>68</v>
      </c>
      <c r="AE309" s="27" t="str">
        <f>"－"</f>
        <v>－</v>
      </c>
    </row>
    <row r="310">
      <c r="A310" s="20" t="s">
        <v>902</v>
      </c>
      <c r="B310" s="21" t="s">
        <v>903</v>
      </c>
      <c r="C310" s="22"/>
      <c r="D310" s="23"/>
      <c r="E310" s="24" t="s">
        <v>142</v>
      </c>
      <c r="F310" s="28" t="n">
        <f>120</f>
        <v>120.0</v>
      </c>
      <c r="G310" s="25" t="str">
        <f>"－"</f>
        <v>－</v>
      </c>
      <c r="H310" s="25"/>
      <c r="I310" s="25" t="str">
        <f>"－"</f>
        <v>－</v>
      </c>
      <c r="J310" s="25" t="str">
        <f>"－"</f>
        <v>－</v>
      </c>
      <c r="K310" s="25" t="str">
        <f>"－"</f>
        <v>－</v>
      </c>
      <c r="L310" s="2" t="s">
        <v>156</v>
      </c>
      <c r="M310" s="26" t="str">
        <f>"－"</f>
        <v>－</v>
      </c>
      <c r="N310" s="3" t="s">
        <v>156</v>
      </c>
      <c r="O310" s="27" t="str">
        <f>"－"</f>
        <v>－</v>
      </c>
      <c r="P310" s="29" t="s">
        <v>262</v>
      </c>
      <c r="Q310" s="25"/>
      <c r="R310" s="29" t="s">
        <v>262</v>
      </c>
      <c r="S310" s="25" t="str">
        <f>"－"</f>
        <v>－</v>
      </c>
      <c r="T310" s="25" t="str">
        <f>"－"</f>
        <v>－</v>
      </c>
      <c r="U310" s="3" t="s">
        <v>156</v>
      </c>
      <c r="V310" s="27" t="str">
        <f>"－"</f>
        <v>－</v>
      </c>
      <c r="W310" s="3" t="s">
        <v>156</v>
      </c>
      <c r="X310" s="27" t="str">
        <f>"－"</f>
        <v>－</v>
      </c>
      <c r="Y310" s="27"/>
      <c r="Z310" s="25" t="str">
        <f>"－"</f>
        <v>－</v>
      </c>
      <c r="AA310" s="25" t="str">
        <f>"－"</f>
        <v>－</v>
      </c>
      <c r="AB310" s="2" t="s">
        <v>156</v>
      </c>
      <c r="AC310" s="26" t="str">
        <f>"－"</f>
        <v>－</v>
      </c>
      <c r="AD310" s="3" t="s">
        <v>156</v>
      </c>
      <c r="AE310" s="27" t="str">
        <f>"－"</f>
        <v>－</v>
      </c>
    </row>
    <row r="311">
      <c r="A311" s="20" t="s">
        <v>902</v>
      </c>
      <c r="B311" s="21" t="s">
        <v>903</v>
      </c>
      <c r="C311" s="22"/>
      <c r="D311" s="23"/>
      <c r="E311" s="24" t="s">
        <v>148</v>
      </c>
      <c r="F311" s="28" t="n">
        <f>124</f>
        <v>124.0</v>
      </c>
      <c r="G311" s="25" t="str">
        <f>"－"</f>
        <v>－</v>
      </c>
      <c r="H311" s="25"/>
      <c r="I311" s="25" t="str">
        <f>"－"</f>
        <v>－</v>
      </c>
      <c r="J311" s="25" t="str">
        <f>"－"</f>
        <v>－</v>
      </c>
      <c r="K311" s="25" t="str">
        <f>"－"</f>
        <v>－</v>
      </c>
      <c r="L311" s="2" t="s">
        <v>68</v>
      </c>
      <c r="M311" s="26" t="str">
        <f>"－"</f>
        <v>－</v>
      </c>
      <c r="N311" s="3" t="s">
        <v>68</v>
      </c>
      <c r="O311" s="27" t="str">
        <f>"－"</f>
        <v>－</v>
      </c>
      <c r="P311" s="29" t="s">
        <v>262</v>
      </c>
      <c r="Q311" s="25"/>
      <c r="R311" s="29" t="s">
        <v>262</v>
      </c>
      <c r="S311" s="25" t="str">
        <f>"－"</f>
        <v>－</v>
      </c>
      <c r="T311" s="25" t="str">
        <f>"－"</f>
        <v>－</v>
      </c>
      <c r="U311" s="3" t="s">
        <v>68</v>
      </c>
      <c r="V311" s="27" t="str">
        <f>"－"</f>
        <v>－</v>
      </c>
      <c r="W311" s="3" t="s">
        <v>68</v>
      </c>
      <c r="X311" s="27" t="str">
        <f>"－"</f>
        <v>－</v>
      </c>
      <c r="Y311" s="27"/>
      <c r="Z311" s="25" t="str">
        <f>"－"</f>
        <v>－</v>
      </c>
      <c r="AA311" s="25" t="str">
        <f>"－"</f>
        <v>－</v>
      </c>
      <c r="AB311" s="2" t="s">
        <v>68</v>
      </c>
      <c r="AC311" s="26" t="str">
        <f>"－"</f>
        <v>－</v>
      </c>
      <c r="AD311" s="3" t="s">
        <v>68</v>
      </c>
      <c r="AE311" s="27" t="str">
        <f>"－"</f>
        <v>－</v>
      </c>
    </row>
    <row r="312">
      <c r="A312" s="20" t="s">
        <v>902</v>
      </c>
      <c r="B312" s="21" t="s">
        <v>903</v>
      </c>
      <c r="C312" s="22"/>
      <c r="D312" s="23"/>
      <c r="E312" s="24" t="s">
        <v>151</v>
      </c>
      <c r="F312" s="28" t="n">
        <f>122</f>
        <v>122.0</v>
      </c>
      <c r="G312" s="25" t="str">
        <f>"－"</f>
        <v>－</v>
      </c>
      <c r="H312" s="25"/>
      <c r="I312" s="25" t="str">
        <f>"－"</f>
        <v>－</v>
      </c>
      <c r="J312" s="25" t="str">
        <f>"－"</f>
        <v>－</v>
      </c>
      <c r="K312" s="25" t="str">
        <f>"－"</f>
        <v>－</v>
      </c>
      <c r="L312" s="2" t="s">
        <v>156</v>
      </c>
      <c r="M312" s="26" t="str">
        <f>"－"</f>
        <v>－</v>
      </c>
      <c r="N312" s="3" t="s">
        <v>156</v>
      </c>
      <c r="O312" s="27" t="str">
        <f>"－"</f>
        <v>－</v>
      </c>
      <c r="P312" s="29" t="s">
        <v>262</v>
      </c>
      <c r="Q312" s="25"/>
      <c r="R312" s="29" t="s">
        <v>262</v>
      </c>
      <c r="S312" s="25" t="str">
        <f>"－"</f>
        <v>－</v>
      </c>
      <c r="T312" s="25" t="str">
        <f>"－"</f>
        <v>－</v>
      </c>
      <c r="U312" s="3" t="s">
        <v>156</v>
      </c>
      <c r="V312" s="27" t="str">
        <f>"－"</f>
        <v>－</v>
      </c>
      <c r="W312" s="3" t="s">
        <v>156</v>
      </c>
      <c r="X312" s="27" t="str">
        <f>"－"</f>
        <v>－</v>
      </c>
      <c r="Y312" s="27"/>
      <c r="Z312" s="25" t="str">
        <f>"－"</f>
        <v>－</v>
      </c>
      <c r="AA312" s="25" t="str">
        <f>"－"</f>
        <v>－</v>
      </c>
      <c r="AB312" s="2" t="s">
        <v>156</v>
      </c>
      <c r="AC312" s="26" t="str">
        <f>"－"</f>
        <v>－</v>
      </c>
      <c r="AD312" s="3" t="s">
        <v>156</v>
      </c>
      <c r="AE312" s="27" t="str">
        <f>"－"</f>
        <v>－</v>
      </c>
    </row>
    <row r="313">
      <c r="A313" s="20" t="s">
        <v>902</v>
      </c>
      <c r="B313" s="21" t="s">
        <v>903</v>
      </c>
      <c r="C313" s="22"/>
      <c r="D313" s="23"/>
      <c r="E313" s="24" t="s">
        <v>157</v>
      </c>
      <c r="F313" s="28" t="n">
        <f>124</f>
        <v>124.0</v>
      </c>
      <c r="G313" s="25" t="str">
        <f>"－"</f>
        <v>－</v>
      </c>
      <c r="H313" s="25"/>
      <c r="I313" s="25" t="str">
        <f>"－"</f>
        <v>－</v>
      </c>
      <c r="J313" s="25" t="str">
        <f>"－"</f>
        <v>－</v>
      </c>
      <c r="K313" s="25" t="str">
        <f>"－"</f>
        <v>－</v>
      </c>
      <c r="L313" s="2" t="s">
        <v>633</v>
      </c>
      <c r="M313" s="26" t="str">
        <f>"－"</f>
        <v>－</v>
      </c>
      <c r="N313" s="3" t="s">
        <v>633</v>
      </c>
      <c r="O313" s="27" t="str">
        <f>"－"</f>
        <v>－</v>
      </c>
      <c r="P313" s="29" t="s">
        <v>262</v>
      </c>
      <c r="Q313" s="25"/>
      <c r="R313" s="29" t="s">
        <v>262</v>
      </c>
      <c r="S313" s="25" t="str">
        <f>"－"</f>
        <v>－</v>
      </c>
      <c r="T313" s="25" t="str">
        <f>"－"</f>
        <v>－</v>
      </c>
      <c r="U313" s="3" t="s">
        <v>633</v>
      </c>
      <c r="V313" s="27" t="str">
        <f>"－"</f>
        <v>－</v>
      </c>
      <c r="W313" s="3" t="s">
        <v>633</v>
      </c>
      <c r="X313" s="27" t="str">
        <f>"－"</f>
        <v>－</v>
      </c>
      <c r="Y313" s="27"/>
      <c r="Z313" s="25" t="str">
        <f>"－"</f>
        <v>－</v>
      </c>
      <c r="AA313" s="25" t="str">
        <f>"－"</f>
        <v>－</v>
      </c>
      <c r="AB313" s="2" t="s">
        <v>633</v>
      </c>
      <c r="AC313" s="26" t="str">
        <f>"－"</f>
        <v>－</v>
      </c>
      <c r="AD313" s="3" t="s">
        <v>633</v>
      </c>
      <c r="AE313" s="27" t="str">
        <f>"－"</f>
        <v>－</v>
      </c>
    </row>
    <row r="314">
      <c r="A314" s="20" t="s">
        <v>902</v>
      </c>
      <c r="B314" s="21" t="s">
        <v>903</v>
      </c>
      <c r="C314" s="22"/>
      <c r="D314" s="23"/>
      <c r="E314" s="24" t="s">
        <v>160</v>
      </c>
      <c r="F314" s="28" t="n">
        <f>58</f>
        <v>58.0</v>
      </c>
      <c r="G314" s="25" t="str">
        <f>"－"</f>
        <v>－</v>
      </c>
      <c r="H314" s="25"/>
      <c r="I314" s="25" t="str">
        <f>"－"</f>
        <v>－</v>
      </c>
      <c r="J314" s="25" t="str">
        <f>"－"</f>
        <v>－</v>
      </c>
      <c r="K314" s="25" t="str">
        <f>"－"</f>
        <v>－</v>
      </c>
      <c r="L314" s="2" t="s">
        <v>156</v>
      </c>
      <c r="M314" s="26" t="str">
        <f>"－"</f>
        <v>－</v>
      </c>
      <c r="N314" s="3" t="s">
        <v>156</v>
      </c>
      <c r="O314" s="27" t="str">
        <f>"－"</f>
        <v>－</v>
      </c>
      <c r="P314" s="29" t="s">
        <v>262</v>
      </c>
      <c r="Q314" s="25"/>
      <c r="R314" s="29" t="s">
        <v>262</v>
      </c>
      <c r="S314" s="25" t="str">
        <f>"－"</f>
        <v>－</v>
      </c>
      <c r="T314" s="25" t="str">
        <f>"－"</f>
        <v>－</v>
      </c>
      <c r="U314" s="3" t="s">
        <v>156</v>
      </c>
      <c r="V314" s="27" t="str">
        <f>"－"</f>
        <v>－</v>
      </c>
      <c r="W314" s="3" t="s">
        <v>156</v>
      </c>
      <c r="X314" s="27" t="str">
        <f>"－"</f>
        <v>－</v>
      </c>
      <c r="Y314" s="27"/>
      <c r="Z314" s="25" t="str">
        <f>"－"</f>
        <v>－</v>
      </c>
      <c r="AA314" s="25" t="str">
        <f>"－"</f>
        <v>－</v>
      </c>
      <c r="AB314" s="2" t="s">
        <v>156</v>
      </c>
      <c r="AC314" s="26" t="str">
        <f>"－"</f>
        <v>－</v>
      </c>
      <c r="AD314" s="3" t="s">
        <v>156</v>
      </c>
      <c r="AE314" s="27" t="str">
        <f>"－"</f>
        <v>－</v>
      </c>
    </row>
    <row r="315">
      <c r="A315" s="20" t="s">
        <v>904</v>
      </c>
      <c r="B315" s="21" t="s">
        <v>905</v>
      </c>
      <c r="C315" s="22"/>
      <c r="D315" s="23"/>
      <c r="E315" s="24" t="s">
        <v>76</v>
      </c>
      <c r="F315" s="28" t="n">
        <f>112</f>
        <v>112.0</v>
      </c>
      <c r="G315" s="25" t="n">
        <f>54171</f>
        <v>54171.0</v>
      </c>
      <c r="H315" s="25"/>
      <c r="I315" s="25" t="n">
        <f>6160</f>
        <v>6160.0</v>
      </c>
      <c r="J315" s="25" t="n">
        <f>484</f>
        <v>484.0</v>
      </c>
      <c r="K315" s="25" t="n">
        <f>55</f>
        <v>55.0</v>
      </c>
      <c r="L315" s="2" t="s">
        <v>224</v>
      </c>
      <c r="M315" s="26" t="n">
        <f>3270</f>
        <v>3270.0</v>
      </c>
      <c r="N315" s="3" t="s">
        <v>263</v>
      </c>
      <c r="O315" s="27" t="n">
        <f>35</f>
        <v>35.0</v>
      </c>
      <c r="P315" s="29" t="s">
        <v>906</v>
      </c>
      <c r="Q315" s="25"/>
      <c r="R315" s="29" t="s">
        <v>907</v>
      </c>
      <c r="S315" s="25" t="n">
        <f>442087603</f>
        <v>4.42087603E8</v>
      </c>
      <c r="T315" s="25" t="n">
        <f>50036409</f>
        <v>5.0036409E7</v>
      </c>
      <c r="U315" s="3" t="s">
        <v>224</v>
      </c>
      <c r="V315" s="27" t="n">
        <f>3012875360</f>
        <v>3.01287536E9</v>
      </c>
      <c r="W315" s="3" t="s">
        <v>263</v>
      </c>
      <c r="X315" s="27" t="n">
        <f>32581500</f>
        <v>3.25815E7</v>
      </c>
      <c r="Y315" s="27"/>
      <c r="Z315" s="25" t="n">
        <f>3284</f>
        <v>3284.0</v>
      </c>
      <c r="AA315" s="25" t="n">
        <f>4343</f>
        <v>4343.0</v>
      </c>
      <c r="AB315" s="2" t="s">
        <v>81</v>
      </c>
      <c r="AC315" s="26" t="n">
        <f>4651</f>
        <v>4651.0</v>
      </c>
      <c r="AD315" s="3" t="s">
        <v>224</v>
      </c>
      <c r="AE315" s="27" t="n">
        <f>1384</f>
        <v>1384.0</v>
      </c>
    </row>
    <row r="316">
      <c r="A316" s="20" t="s">
        <v>904</v>
      </c>
      <c r="B316" s="21" t="s">
        <v>905</v>
      </c>
      <c r="C316" s="22"/>
      <c r="D316" s="23"/>
      <c r="E316" s="24" t="s">
        <v>83</v>
      </c>
      <c r="F316" s="28" t="n">
        <f>123</f>
        <v>123.0</v>
      </c>
      <c r="G316" s="25" t="n">
        <f>63461</f>
        <v>63461.0</v>
      </c>
      <c r="H316" s="25"/>
      <c r="I316" s="25" t="n">
        <f>6548</f>
        <v>6548.0</v>
      </c>
      <c r="J316" s="25" t="n">
        <f>516</f>
        <v>516.0</v>
      </c>
      <c r="K316" s="25" t="n">
        <f>53</f>
        <v>53.0</v>
      </c>
      <c r="L316" s="2" t="s">
        <v>70</v>
      </c>
      <c r="M316" s="26" t="n">
        <f>4642</f>
        <v>4642.0</v>
      </c>
      <c r="N316" s="3" t="s">
        <v>120</v>
      </c>
      <c r="O316" s="27" t="n">
        <f>43</f>
        <v>43.0</v>
      </c>
      <c r="P316" s="29" t="s">
        <v>908</v>
      </c>
      <c r="Q316" s="25"/>
      <c r="R316" s="29" t="s">
        <v>909</v>
      </c>
      <c r="S316" s="25" t="n">
        <f>544481578</f>
        <v>5.44481578E8</v>
      </c>
      <c r="T316" s="25" t="n">
        <f>57910625</f>
        <v>5.7910625E7</v>
      </c>
      <c r="U316" s="3" t="s">
        <v>70</v>
      </c>
      <c r="V316" s="27" t="n">
        <f>4980810960</f>
        <v>4.98081096E9</v>
      </c>
      <c r="W316" s="3" t="s">
        <v>120</v>
      </c>
      <c r="X316" s="27" t="n">
        <f>41557000</f>
        <v>4.1557E7</v>
      </c>
      <c r="Y316" s="27"/>
      <c r="Z316" s="25" t="n">
        <f>6450</f>
        <v>6450.0</v>
      </c>
      <c r="AA316" s="25" t="n">
        <f>4213</f>
        <v>4213.0</v>
      </c>
      <c r="AB316" s="2" t="s">
        <v>56</v>
      </c>
      <c r="AC316" s="26" t="n">
        <f>7006</f>
        <v>7006.0</v>
      </c>
      <c r="AD316" s="3" t="s">
        <v>189</v>
      </c>
      <c r="AE316" s="27" t="n">
        <f>3269</f>
        <v>3269.0</v>
      </c>
    </row>
    <row r="317">
      <c r="A317" s="20" t="s">
        <v>904</v>
      </c>
      <c r="B317" s="21" t="s">
        <v>905</v>
      </c>
      <c r="C317" s="22"/>
      <c r="D317" s="23"/>
      <c r="E317" s="24" t="s">
        <v>89</v>
      </c>
      <c r="F317" s="28" t="n">
        <f>124</f>
        <v>124.0</v>
      </c>
      <c r="G317" s="25" t="n">
        <f>190639</f>
        <v>190639.0</v>
      </c>
      <c r="H317" s="25"/>
      <c r="I317" s="25" t="n">
        <f>9664</f>
        <v>9664.0</v>
      </c>
      <c r="J317" s="25" t="n">
        <f>1537</f>
        <v>1537.0</v>
      </c>
      <c r="K317" s="25" t="n">
        <f>78</f>
        <v>78.0</v>
      </c>
      <c r="L317" s="2" t="s">
        <v>77</v>
      </c>
      <c r="M317" s="26" t="n">
        <f>10160</f>
        <v>10160.0</v>
      </c>
      <c r="N317" s="3" t="s">
        <v>224</v>
      </c>
      <c r="O317" s="27" t="n">
        <f>163</f>
        <v>163.0</v>
      </c>
      <c r="P317" s="29" t="s">
        <v>910</v>
      </c>
      <c r="Q317" s="25"/>
      <c r="R317" s="29" t="s">
        <v>911</v>
      </c>
      <c r="S317" s="25" t="n">
        <f>1690283247</f>
        <v>1.690283247E9</v>
      </c>
      <c r="T317" s="25" t="n">
        <f>84038162</f>
        <v>8.4038162E7</v>
      </c>
      <c r="U317" s="3" t="s">
        <v>77</v>
      </c>
      <c r="V317" s="27" t="n">
        <f>11538820000</f>
        <v>1.153882E10</v>
      </c>
      <c r="W317" s="3" t="s">
        <v>224</v>
      </c>
      <c r="X317" s="27" t="n">
        <f>188052770</f>
        <v>1.8805277E8</v>
      </c>
      <c r="Y317" s="27"/>
      <c r="Z317" s="25" t="n">
        <f>3945</f>
        <v>3945.0</v>
      </c>
      <c r="AA317" s="25" t="n">
        <f>8168</f>
        <v>8168.0</v>
      </c>
      <c r="AB317" s="2" t="s">
        <v>334</v>
      </c>
      <c r="AC317" s="26" t="n">
        <f>8902</f>
        <v>8902.0</v>
      </c>
      <c r="AD317" s="3" t="s">
        <v>838</v>
      </c>
      <c r="AE317" s="27" t="n">
        <f>4036</f>
        <v>4036.0</v>
      </c>
    </row>
    <row r="318">
      <c r="A318" s="20" t="s">
        <v>904</v>
      </c>
      <c r="B318" s="21" t="s">
        <v>905</v>
      </c>
      <c r="C318" s="22"/>
      <c r="D318" s="23"/>
      <c r="E318" s="24" t="s">
        <v>96</v>
      </c>
      <c r="F318" s="28" t="n">
        <f>121</f>
        <v>121.0</v>
      </c>
      <c r="G318" s="25" t="n">
        <f>262465</f>
        <v>262465.0</v>
      </c>
      <c r="H318" s="25"/>
      <c r="I318" s="25" t="n">
        <f>32772</f>
        <v>32772.0</v>
      </c>
      <c r="J318" s="25" t="n">
        <f>2169</f>
        <v>2169.0</v>
      </c>
      <c r="K318" s="25" t="n">
        <f>271</f>
        <v>271.0</v>
      </c>
      <c r="L318" s="2" t="s">
        <v>84</v>
      </c>
      <c r="M318" s="26" t="n">
        <f>10423</f>
        <v>10423.0</v>
      </c>
      <c r="N318" s="3" t="s">
        <v>220</v>
      </c>
      <c r="O318" s="27" t="n">
        <f>583</f>
        <v>583.0</v>
      </c>
      <c r="P318" s="29" t="s">
        <v>912</v>
      </c>
      <c r="Q318" s="25"/>
      <c r="R318" s="29" t="s">
        <v>913</v>
      </c>
      <c r="S318" s="25" t="n">
        <f>2543838710</f>
        <v>2.54383871E9</v>
      </c>
      <c r="T318" s="25" t="n">
        <f>307785812</f>
        <v>3.07785812E8</v>
      </c>
      <c r="U318" s="3" t="s">
        <v>84</v>
      </c>
      <c r="V318" s="27" t="n">
        <f>12166855200</f>
        <v>1.21668552E10</v>
      </c>
      <c r="W318" s="3" t="s">
        <v>220</v>
      </c>
      <c r="X318" s="27" t="n">
        <f>663014720</f>
        <v>6.6301472E8</v>
      </c>
      <c r="Y318" s="27"/>
      <c r="Z318" s="25" t="n">
        <f>6052</f>
        <v>6052.0</v>
      </c>
      <c r="AA318" s="25" t="n">
        <f>11464</f>
        <v>11464.0</v>
      </c>
      <c r="AB318" s="2" t="s">
        <v>209</v>
      </c>
      <c r="AC318" s="26" t="n">
        <f>13842</f>
        <v>13842.0</v>
      </c>
      <c r="AD318" s="3" t="s">
        <v>60</v>
      </c>
      <c r="AE318" s="27" t="n">
        <f>7540</f>
        <v>7540.0</v>
      </c>
    </row>
    <row r="319">
      <c r="A319" s="20" t="s">
        <v>904</v>
      </c>
      <c r="B319" s="21" t="s">
        <v>905</v>
      </c>
      <c r="C319" s="22"/>
      <c r="D319" s="23"/>
      <c r="E319" s="24" t="s">
        <v>102</v>
      </c>
      <c r="F319" s="28" t="n">
        <f>124</f>
        <v>124.0</v>
      </c>
      <c r="G319" s="25" t="n">
        <f>424562</f>
        <v>424562.0</v>
      </c>
      <c r="H319" s="25"/>
      <c r="I319" s="25" t="n">
        <f>43830</f>
        <v>43830.0</v>
      </c>
      <c r="J319" s="25" t="n">
        <f>3424</f>
        <v>3424.0</v>
      </c>
      <c r="K319" s="25" t="n">
        <f>353</f>
        <v>353.0</v>
      </c>
      <c r="L319" s="2" t="s">
        <v>473</v>
      </c>
      <c r="M319" s="26" t="n">
        <f>17106</f>
        <v>17106.0</v>
      </c>
      <c r="N319" s="3" t="s">
        <v>914</v>
      </c>
      <c r="O319" s="27" t="n">
        <f>759</f>
        <v>759.0</v>
      </c>
      <c r="P319" s="29" t="s">
        <v>915</v>
      </c>
      <c r="Q319" s="25"/>
      <c r="R319" s="29" t="s">
        <v>916</v>
      </c>
      <c r="S319" s="25" t="n">
        <f>3283261560</f>
        <v>3.28326156E9</v>
      </c>
      <c r="T319" s="25" t="n">
        <f>345824581</f>
        <v>3.45824581E8</v>
      </c>
      <c r="U319" s="3" t="s">
        <v>473</v>
      </c>
      <c r="V319" s="27" t="n">
        <f>17212943300</f>
        <v>1.72129433E10</v>
      </c>
      <c r="W319" s="3" t="s">
        <v>914</v>
      </c>
      <c r="X319" s="27" t="n">
        <f>786830450</f>
        <v>7.8683045E8</v>
      </c>
      <c r="Y319" s="27"/>
      <c r="Z319" s="25" t="n">
        <f>6087</f>
        <v>6087.0</v>
      </c>
      <c r="AA319" s="25" t="n">
        <f>12911</f>
        <v>12911.0</v>
      </c>
      <c r="AB319" s="2" t="s">
        <v>90</v>
      </c>
      <c r="AC319" s="26" t="n">
        <f>19930</f>
        <v>19930.0</v>
      </c>
      <c r="AD319" s="3" t="s">
        <v>106</v>
      </c>
      <c r="AE319" s="27" t="n">
        <f>9596</f>
        <v>9596.0</v>
      </c>
    </row>
    <row r="320">
      <c r="A320" s="20" t="s">
        <v>904</v>
      </c>
      <c r="B320" s="21" t="s">
        <v>905</v>
      </c>
      <c r="C320" s="22"/>
      <c r="D320" s="23"/>
      <c r="E320" s="24" t="s">
        <v>107</v>
      </c>
      <c r="F320" s="28" t="n">
        <f>117</f>
        <v>117.0</v>
      </c>
      <c r="G320" s="25" t="n">
        <f>314325</f>
        <v>314325.0</v>
      </c>
      <c r="H320" s="25"/>
      <c r="I320" s="25" t="n">
        <f>53575</f>
        <v>53575.0</v>
      </c>
      <c r="J320" s="25" t="n">
        <f>2687</f>
        <v>2687.0</v>
      </c>
      <c r="K320" s="25" t="n">
        <f>458</f>
        <v>458.0</v>
      </c>
      <c r="L320" s="2" t="s">
        <v>189</v>
      </c>
      <c r="M320" s="26" t="n">
        <f>17580</f>
        <v>17580.0</v>
      </c>
      <c r="N320" s="3" t="s">
        <v>205</v>
      </c>
      <c r="O320" s="27" t="n">
        <f>624</f>
        <v>624.0</v>
      </c>
      <c r="P320" s="29" t="s">
        <v>917</v>
      </c>
      <c r="Q320" s="25"/>
      <c r="R320" s="29" t="s">
        <v>918</v>
      </c>
      <c r="S320" s="25" t="n">
        <f>2408643927</f>
        <v>2.408643927E9</v>
      </c>
      <c r="T320" s="25" t="n">
        <f>415728606</f>
        <v>4.15728606E8</v>
      </c>
      <c r="U320" s="3" t="s">
        <v>189</v>
      </c>
      <c r="V320" s="27" t="n">
        <f>15700719700</f>
        <v>1.57007197E10</v>
      </c>
      <c r="W320" s="3" t="s">
        <v>205</v>
      </c>
      <c r="X320" s="27" t="n">
        <f>551242360</f>
        <v>5.5124236E8</v>
      </c>
      <c r="Y320" s="27"/>
      <c r="Z320" s="25" t="n">
        <f>12207</f>
        <v>12207.0</v>
      </c>
      <c r="AA320" s="25" t="n">
        <f>13583</f>
        <v>13583.0</v>
      </c>
      <c r="AB320" s="2" t="s">
        <v>314</v>
      </c>
      <c r="AC320" s="26" t="n">
        <f>18596</f>
        <v>18596.0</v>
      </c>
      <c r="AD320" s="3" t="s">
        <v>290</v>
      </c>
      <c r="AE320" s="27" t="n">
        <f>11000</f>
        <v>11000.0</v>
      </c>
    </row>
    <row r="321">
      <c r="A321" s="20" t="s">
        <v>904</v>
      </c>
      <c r="B321" s="21" t="s">
        <v>905</v>
      </c>
      <c r="C321" s="22"/>
      <c r="D321" s="23"/>
      <c r="E321" s="24" t="s">
        <v>113</v>
      </c>
      <c r="F321" s="28" t="n">
        <f>124</f>
        <v>124.0</v>
      </c>
      <c r="G321" s="25" t="n">
        <f>197598</f>
        <v>197598.0</v>
      </c>
      <c r="H321" s="25"/>
      <c r="I321" s="25" t="n">
        <f>49634</f>
        <v>49634.0</v>
      </c>
      <c r="J321" s="25" t="n">
        <f>1594</f>
        <v>1594.0</v>
      </c>
      <c r="K321" s="25" t="n">
        <f>400</f>
        <v>400.0</v>
      </c>
      <c r="L321" s="2" t="s">
        <v>95</v>
      </c>
      <c r="M321" s="26" t="n">
        <f>19991</f>
        <v>19991.0</v>
      </c>
      <c r="N321" s="3" t="s">
        <v>864</v>
      </c>
      <c r="O321" s="27" t="n">
        <f>353</f>
        <v>353.0</v>
      </c>
      <c r="P321" s="29" t="s">
        <v>919</v>
      </c>
      <c r="Q321" s="25"/>
      <c r="R321" s="29" t="s">
        <v>920</v>
      </c>
      <c r="S321" s="25" t="n">
        <f>1385217483</f>
        <v>1.385217483E9</v>
      </c>
      <c r="T321" s="25" t="n">
        <f>348276451</f>
        <v>3.48276451E8</v>
      </c>
      <c r="U321" s="3" t="s">
        <v>95</v>
      </c>
      <c r="V321" s="27" t="n">
        <f>16936771200</f>
        <v>1.69367712E10</v>
      </c>
      <c r="W321" s="3" t="s">
        <v>864</v>
      </c>
      <c r="X321" s="27" t="n">
        <f>304884620</f>
        <v>3.0488462E8</v>
      </c>
      <c r="Y321" s="27"/>
      <c r="Z321" s="25" t="n">
        <f>11183</f>
        <v>11183.0</v>
      </c>
      <c r="AA321" s="25" t="n">
        <f>15012</f>
        <v>15012.0</v>
      </c>
      <c r="AB321" s="2" t="s">
        <v>125</v>
      </c>
      <c r="AC321" s="26" t="n">
        <f>16255</f>
        <v>16255.0</v>
      </c>
      <c r="AD321" s="3" t="s">
        <v>118</v>
      </c>
      <c r="AE321" s="27" t="n">
        <f>10875</f>
        <v>10875.0</v>
      </c>
    </row>
    <row r="322">
      <c r="A322" s="20" t="s">
        <v>904</v>
      </c>
      <c r="B322" s="21" t="s">
        <v>905</v>
      </c>
      <c r="C322" s="22"/>
      <c r="D322" s="23"/>
      <c r="E322" s="24" t="s">
        <v>119</v>
      </c>
      <c r="F322" s="28" t="n">
        <f>119</f>
        <v>119.0</v>
      </c>
      <c r="G322" s="25" t="n">
        <f>696115</f>
        <v>696115.0</v>
      </c>
      <c r="H322" s="25"/>
      <c r="I322" s="25" t="n">
        <f>66285</f>
        <v>66285.0</v>
      </c>
      <c r="J322" s="25" t="n">
        <f>5850</f>
        <v>5850.0</v>
      </c>
      <c r="K322" s="25" t="n">
        <f>557</f>
        <v>557.0</v>
      </c>
      <c r="L322" s="2" t="s">
        <v>307</v>
      </c>
      <c r="M322" s="26" t="n">
        <f>29727</f>
        <v>29727.0</v>
      </c>
      <c r="N322" s="3" t="s">
        <v>120</v>
      </c>
      <c r="O322" s="27" t="n">
        <f>633</f>
        <v>633.0</v>
      </c>
      <c r="P322" s="29" t="s">
        <v>921</v>
      </c>
      <c r="Q322" s="25"/>
      <c r="R322" s="29" t="s">
        <v>922</v>
      </c>
      <c r="S322" s="25" t="n">
        <f>4788767939</f>
        <v>4.788767939E9</v>
      </c>
      <c r="T322" s="25" t="n">
        <f>457375367</f>
        <v>4.57375367E8</v>
      </c>
      <c r="U322" s="3" t="s">
        <v>307</v>
      </c>
      <c r="V322" s="27" t="n">
        <f>30109980850</f>
        <v>3.010998085E10</v>
      </c>
      <c r="W322" s="3" t="s">
        <v>120</v>
      </c>
      <c r="X322" s="27" t="n">
        <f>552809330</f>
        <v>5.5280933E8</v>
      </c>
      <c r="Y322" s="27"/>
      <c r="Z322" s="25" t="n">
        <f>28314</f>
        <v>28314.0</v>
      </c>
      <c r="AA322" s="25" t="n">
        <f>19131</f>
        <v>19131.0</v>
      </c>
      <c r="AB322" s="2" t="s">
        <v>307</v>
      </c>
      <c r="AC322" s="26" t="n">
        <f>27066</f>
        <v>27066.0</v>
      </c>
      <c r="AD322" s="3" t="s">
        <v>323</v>
      </c>
      <c r="AE322" s="27" t="n">
        <f>13015</f>
        <v>13015.0</v>
      </c>
    </row>
    <row r="323">
      <c r="A323" s="20" t="s">
        <v>904</v>
      </c>
      <c r="B323" s="21" t="s">
        <v>905</v>
      </c>
      <c r="C323" s="22"/>
      <c r="D323" s="23"/>
      <c r="E323" s="24" t="s">
        <v>124</v>
      </c>
      <c r="F323" s="28" t="n">
        <f>124</f>
        <v>124.0</v>
      </c>
      <c r="G323" s="25" t="n">
        <f>957452</f>
        <v>957452.0</v>
      </c>
      <c r="H323" s="25"/>
      <c r="I323" s="25" t="n">
        <f>92319</f>
        <v>92319.0</v>
      </c>
      <c r="J323" s="25" t="n">
        <f>7721</f>
        <v>7721.0</v>
      </c>
      <c r="K323" s="25" t="n">
        <f>745</f>
        <v>745.0</v>
      </c>
      <c r="L323" s="2" t="s">
        <v>125</v>
      </c>
      <c r="M323" s="26" t="n">
        <f>37516</f>
        <v>37516.0</v>
      </c>
      <c r="N323" s="3" t="s">
        <v>923</v>
      </c>
      <c r="O323" s="27" t="n">
        <f>2086</f>
        <v>2086.0</v>
      </c>
      <c r="P323" s="29" t="s">
        <v>924</v>
      </c>
      <c r="Q323" s="25"/>
      <c r="R323" s="29" t="s">
        <v>925</v>
      </c>
      <c r="S323" s="25" t="n">
        <f>8802944636</f>
        <v>8.802944636E9</v>
      </c>
      <c r="T323" s="25" t="n">
        <f>854335793</f>
        <v>8.54335793E8</v>
      </c>
      <c r="U323" s="3" t="s">
        <v>125</v>
      </c>
      <c r="V323" s="27" t="n">
        <f>41673037080</f>
        <v>4.167303708E10</v>
      </c>
      <c r="W323" s="3" t="s">
        <v>923</v>
      </c>
      <c r="X323" s="27" t="n">
        <f>2520304000</f>
        <v>2.520304E9</v>
      </c>
      <c r="Y323" s="27"/>
      <c r="Z323" s="25" t="n">
        <f>45989</f>
        <v>45989.0</v>
      </c>
      <c r="AA323" s="25" t="n">
        <f>19730</f>
        <v>19730.0</v>
      </c>
      <c r="AB323" s="2" t="s">
        <v>128</v>
      </c>
      <c r="AC323" s="26" t="n">
        <f>37194</f>
        <v>37194.0</v>
      </c>
      <c r="AD323" s="3" t="s">
        <v>280</v>
      </c>
      <c r="AE323" s="27" t="n">
        <f>18623</f>
        <v>18623.0</v>
      </c>
    </row>
    <row r="324">
      <c r="A324" s="20" t="s">
        <v>904</v>
      </c>
      <c r="B324" s="21" t="s">
        <v>905</v>
      </c>
      <c r="C324" s="22"/>
      <c r="D324" s="23"/>
      <c r="E324" s="24" t="s">
        <v>130</v>
      </c>
      <c r="F324" s="28" t="n">
        <f>121</f>
        <v>121.0</v>
      </c>
      <c r="G324" s="25" t="n">
        <f>563553</f>
        <v>563553.0</v>
      </c>
      <c r="H324" s="25"/>
      <c r="I324" s="25" t="n">
        <f>92296</f>
        <v>92296.0</v>
      </c>
      <c r="J324" s="25" t="n">
        <f>4657</f>
        <v>4657.0</v>
      </c>
      <c r="K324" s="25" t="n">
        <f>763</f>
        <v>763.0</v>
      </c>
      <c r="L324" s="2" t="s">
        <v>88</v>
      </c>
      <c r="M324" s="26" t="n">
        <f>31423</f>
        <v>31423.0</v>
      </c>
      <c r="N324" s="3" t="s">
        <v>131</v>
      </c>
      <c r="O324" s="27" t="n">
        <f>1510</f>
        <v>1510.0</v>
      </c>
      <c r="P324" s="29" t="s">
        <v>926</v>
      </c>
      <c r="Q324" s="25"/>
      <c r="R324" s="29" t="s">
        <v>927</v>
      </c>
      <c r="S324" s="25" t="n">
        <f>5477371703</f>
        <v>5.477371703E9</v>
      </c>
      <c r="T324" s="25" t="n">
        <f>884279584</f>
        <v>8.84279584E8</v>
      </c>
      <c r="U324" s="3" t="s">
        <v>88</v>
      </c>
      <c r="V324" s="27" t="n">
        <f>36185510840</f>
        <v>3.618551084E10</v>
      </c>
      <c r="W324" s="3" t="s">
        <v>131</v>
      </c>
      <c r="X324" s="27" t="n">
        <f>1779266860</f>
        <v>1.77926686E9</v>
      </c>
      <c r="Y324" s="27"/>
      <c r="Z324" s="25" t="n">
        <f>46582</f>
        <v>46582.0</v>
      </c>
      <c r="AA324" s="25" t="n">
        <f>21550</f>
        <v>21550.0</v>
      </c>
      <c r="AB324" s="2" t="s">
        <v>74</v>
      </c>
      <c r="AC324" s="26" t="n">
        <f>32080</f>
        <v>32080.0</v>
      </c>
      <c r="AD324" s="3" t="s">
        <v>688</v>
      </c>
      <c r="AE324" s="27" t="n">
        <f>18764</f>
        <v>18764.0</v>
      </c>
    </row>
    <row r="325">
      <c r="A325" s="20" t="s">
        <v>904</v>
      </c>
      <c r="B325" s="21" t="s">
        <v>905</v>
      </c>
      <c r="C325" s="22"/>
      <c r="D325" s="23"/>
      <c r="E325" s="24" t="s">
        <v>136</v>
      </c>
      <c r="F325" s="28" t="n">
        <f>124</f>
        <v>124.0</v>
      </c>
      <c r="G325" s="25" t="n">
        <f>707810</f>
        <v>707810.0</v>
      </c>
      <c r="H325" s="25"/>
      <c r="I325" s="25" t="n">
        <f>125898</f>
        <v>125898.0</v>
      </c>
      <c r="J325" s="25" t="n">
        <f>5708</f>
        <v>5708.0</v>
      </c>
      <c r="K325" s="25" t="n">
        <f>1015</f>
        <v>1015.0</v>
      </c>
      <c r="L325" s="2" t="s">
        <v>141</v>
      </c>
      <c r="M325" s="26" t="n">
        <f>38220</f>
        <v>38220.0</v>
      </c>
      <c r="N325" s="3" t="s">
        <v>891</v>
      </c>
      <c r="O325" s="27" t="n">
        <f>1528</f>
        <v>1528.0</v>
      </c>
      <c r="P325" s="29" t="s">
        <v>928</v>
      </c>
      <c r="Q325" s="25"/>
      <c r="R325" s="29" t="s">
        <v>929</v>
      </c>
      <c r="S325" s="25" t="n">
        <f>6134984865</f>
        <v>6.134984865E9</v>
      </c>
      <c r="T325" s="25" t="n">
        <f>1098566594</f>
        <v>1.098566594E9</v>
      </c>
      <c r="U325" s="3" t="s">
        <v>141</v>
      </c>
      <c r="V325" s="27" t="n">
        <f>43501368500</f>
        <v>4.35013685E10</v>
      </c>
      <c r="W325" s="3" t="s">
        <v>891</v>
      </c>
      <c r="X325" s="27" t="n">
        <f>1774842960</f>
        <v>1.77484296E9</v>
      </c>
      <c r="Y325" s="27"/>
      <c r="Z325" s="25" t="n">
        <f>42524</f>
        <v>42524.0</v>
      </c>
      <c r="AA325" s="25" t="n">
        <f>27380</f>
        <v>27380.0</v>
      </c>
      <c r="AB325" s="2" t="s">
        <v>259</v>
      </c>
      <c r="AC325" s="26" t="n">
        <f>29802</f>
        <v>29802.0</v>
      </c>
      <c r="AD325" s="3" t="s">
        <v>117</v>
      </c>
      <c r="AE325" s="27" t="n">
        <f>19991</f>
        <v>19991.0</v>
      </c>
    </row>
    <row r="326">
      <c r="A326" s="20" t="s">
        <v>904</v>
      </c>
      <c r="B326" s="21" t="s">
        <v>905</v>
      </c>
      <c r="C326" s="22"/>
      <c r="D326" s="23"/>
      <c r="E326" s="24" t="s">
        <v>142</v>
      </c>
      <c r="F326" s="28" t="n">
        <f>120</f>
        <v>120.0</v>
      </c>
      <c r="G326" s="25" t="n">
        <f>2372165</f>
        <v>2372165.0</v>
      </c>
      <c r="H326" s="25"/>
      <c r="I326" s="25" t="n">
        <f>304347</f>
        <v>304347.0</v>
      </c>
      <c r="J326" s="25" t="n">
        <f>19768</f>
        <v>19768.0</v>
      </c>
      <c r="K326" s="25" t="n">
        <f>2536</f>
        <v>2536.0</v>
      </c>
      <c r="L326" s="2" t="s">
        <v>152</v>
      </c>
      <c r="M326" s="26" t="n">
        <f>74889</f>
        <v>74889.0</v>
      </c>
      <c r="N326" s="3" t="s">
        <v>156</v>
      </c>
      <c r="O326" s="27" t="n">
        <f>5940</f>
        <v>5940.0</v>
      </c>
      <c r="P326" s="29" t="s">
        <v>930</v>
      </c>
      <c r="Q326" s="25"/>
      <c r="R326" s="29" t="s">
        <v>931</v>
      </c>
      <c r="S326" s="25" t="n">
        <f>14317588182</f>
        <v>1.4317588182E10</v>
      </c>
      <c r="T326" s="25" t="n">
        <f>1785028403</f>
        <v>1.785028403E9</v>
      </c>
      <c r="U326" s="3" t="s">
        <v>152</v>
      </c>
      <c r="V326" s="27" t="n">
        <f>50474027890</f>
        <v>5.047402789E10</v>
      </c>
      <c r="W326" s="3" t="s">
        <v>932</v>
      </c>
      <c r="X326" s="27" t="n">
        <f>5465659680</f>
        <v>5.46565968E9</v>
      </c>
      <c r="Y326" s="27"/>
      <c r="Z326" s="25" t="n">
        <f>147248</f>
        <v>147248.0</v>
      </c>
      <c r="AA326" s="25" t="n">
        <f>39994</f>
        <v>39994.0</v>
      </c>
      <c r="AB326" s="2" t="s">
        <v>152</v>
      </c>
      <c r="AC326" s="26" t="n">
        <f>66248</f>
        <v>66248.0</v>
      </c>
      <c r="AD326" s="3" t="s">
        <v>156</v>
      </c>
      <c r="AE326" s="27" t="n">
        <f>28008</f>
        <v>28008.0</v>
      </c>
    </row>
    <row r="327">
      <c r="A327" s="20" t="s">
        <v>904</v>
      </c>
      <c r="B327" s="21" t="s">
        <v>905</v>
      </c>
      <c r="C327" s="22"/>
      <c r="D327" s="23"/>
      <c r="E327" s="24" t="s">
        <v>148</v>
      </c>
      <c r="F327" s="28" t="n">
        <f>124</f>
        <v>124.0</v>
      </c>
      <c r="G327" s="25" t="n">
        <f>1062918</f>
        <v>1062918.0</v>
      </c>
      <c r="H327" s="25"/>
      <c r="I327" s="25" t="n">
        <f>195441</f>
        <v>195441.0</v>
      </c>
      <c r="J327" s="25" t="n">
        <f>8572</f>
        <v>8572.0</v>
      </c>
      <c r="K327" s="25" t="n">
        <f>1576</f>
        <v>1576.0</v>
      </c>
      <c r="L327" s="2" t="s">
        <v>735</v>
      </c>
      <c r="M327" s="26" t="n">
        <f>53351</f>
        <v>53351.0</v>
      </c>
      <c r="N327" s="3" t="s">
        <v>320</v>
      </c>
      <c r="O327" s="27" t="n">
        <f>3069</f>
        <v>3069.0</v>
      </c>
      <c r="P327" s="29" t="s">
        <v>933</v>
      </c>
      <c r="Q327" s="25"/>
      <c r="R327" s="29" t="s">
        <v>934</v>
      </c>
      <c r="S327" s="25" t="n">
        <f>6249432953</f>
        <v>6.249432953E9</v>
      </c>
      <c r="T327" s="25" t="n">
        <f>1175043659</f>
        <v>1.175043659E9</v>
      </c>
      <c r="U327" s="3" t="s">
        <v>562</v>
      </c>
      <c r="V327" s="27" t="n">
        <f>38457704200</f>
        <v>3.84577042E10</v>
      </c>
      <c r="W327" s="3" t="s">
        <v>320</v>
      </c>
      <c r="X327" s="27" t="n">
        <f>2250110049</f>
        <v>2.250110049E9</v>
      </c>
      <c r="Y327" s="27"/>
      <c r="Z327" s="25" t="n">
        <f>93276</f>
        <v>93276.0</v>
      </c>
      <c r="AA327" s="25" t="n">
        <f>35338</f>
        <v>35338.0</v>
      </c>
      <c r="AB327" s="2" t="s">
        <v>241</v>
      </c>
      <c r="AC327" s="26" t="n">
        <f>56920</f>
        <v>56920.0</v>
      </c>
      <c r="AD327" s="3" t="s">
        <v>473</v>
      </c>
      <c r="AE327" s="27" t="n">
        <f>29940</f>
        <v>29940.0</v>
      </c>
    </row>
    <row r="328">
      <c r="A328" s="20" t="s">
        <v>904</v>
      </c>
      <c r="B328" s="21" t="s">
        <v>905</v>
      </c>
      <c r="C328" s="22"/>
      <c r="D328" s="23"/>
      <c r="E328" s="24" t="s">
        <v>151</v>
      </c>
      <c r="F328" s="28" t="n">
        <f>122</f>
        <v>122.0</v>
      </c>
      <c r="G328" s="25" t="n">
        <f>918538</f>
        <v>918538.0</v>
      </c>
      <c r="H328" s="25"/>
      <c r="I328" s="25" t="n">
        <f>176530</f>
        <v>176530.0</v>
      </c>
      <c r="J328" s="25" t="n">
        <f>7529</f>
        <v>7529.0</v>
      </c>
      <c r="K328" s="25" t="n">
        <f>1447</f>
        <v>1447.0</v>
      </c>
      <c r="L328" s="2" t="s">
        <v>482</v>
      </c>
      <c r="M328" s="26" t="n">
        <f>49364</f>
        <v>49364.0</v>
      </c>
      <c r="N328" s="3" t="s">
        <v>185</v>
      </c>
      <c r="O328" s="27" t="n">
        <f>2470</f>
        <v>2470.0</v>
      </c>
      <c r="P328" s="29" t="s">
        <v>935</v>
      </c>
      <c r="Q328" s="25"/>
      <c r="R328" s="29" t="s">
        <v>936</v>
      </c>
      <c r="S328" s="25" t="n">
        <f>5771306870</f>
        <v>5.77130687E9</v>
      </c>
      <c r="T328" s="25" t="n">
        <f>1114984775</f>
        <v>1.114984775E9</v>
      </c>
      <c r="U328" s="3" t="s">
        <v>482</v>
      </c>
      <c r="V328" s="27" t="n">
        <f>38211352130</f>
        <v>3.821135213E10</v>
      </c>
      <c r="W328" s="3" t="s">
        <v>185</v>
      </c>
      <c r="X328" s="27" t="n">
        <f>1890441250</f>
        <v>1.89044125E9</v>
      </c>
      <c r="Y328" s="27"/>
      <c r="Z328" s="25" t="n">
        <f>81100</f>
        <v>81100.0</v>
      </c>
      <c r="AA328" s="25" t="n">
        <f>37695</f>
        <v>37695.0</v>
      </c>
      <c r="AB328" s="2" t="s">
        <v>482</v>
      </c>
      <c r="AC328" s="26" t="n">
        <f>50269</f>
        <v>50269.0</v>
      </c>
      <c r="AD328" s="3" t="s">
        <v>625</v>
      </c>
      <c r="AE328" s="27" t="n">
        <f>28851</f>
        <v>28851.0</v>
      </c>
    </row>
    <row r="329">
      <c r="A329" s="20" t="s">
        <v>904</v>
      </c>
      <c r="B329" s="21" t="s">
        <v>905</v>
      </c>
      <c r="C329" s="22"/>
      <c r="D329" s="23"/>
      <c r="E329" s="24" t="s">
        <v>157</v>
      </c>
      <c r="F329" s="28" t="n">
        <f>124</f>
        <v>124.0</v>
      </c>
      <c r="G329" s="25" t="n">
        <f>1120484</f>
        <v>1120484.0</v>
      </c>
      <c r="H329" s="25"/>
      <c r="I329" s="25" t="n">
        <f>211189</f>
        <v>211189.0</v>
      </c>
      <c r="J329" s="25" t="n">
        <f>9036</f>
        <v>9036.0</v>
      </c>
      <c r="K329" s="25" t="n">
        <f>1703</f>
        <v>1703.0</v>
      </c>
      <c r="L329" s="2" t="s">
        <v>331</v>
      </c>
      <c r="M329" s="26" t="n">
        <f>51970</f>
        <v>51970.0</v>
      </c>
      <c r="N329" s="3" t="s">
        <v>507</v>
      </c>
      <c r="O329" s="27" t="n">
        <f>2987</f>
        <v>2987.0</v>
      </c>
      <c r="P329" s="29" t="s">
        <v>937</v>
      </c>
      <c r="Q329" s="25"/>
      <c r="R329" s="29" t="s">
        <v>938</v>
      </c>
      <c r="S329" s="25" t="n">
        <f>6428404949</f>
        <v>6.428404949E9</v>
      </c>
      <c r="T329" s="25" t="n">
        <f>1225526009</f>
        <v>1.225526009E9</v>
      </c>
      <c r="U329" s="3" t="s">
        <v>331</v>
      </c>
      <c r="V329" s="27" t="n">
        <f>39319622690</f>
        <v>3.931962269E10</v>
      </c>
      <c r="W329" s="3" t="s">
        <v>507</v>
      </c>
      <c r="X329" s="27" t="n">
        <f>2280873950</f>
        <v>2.28087395E9</v>
      </c>
      <c r="Y329" s="27"/>
      <c r="Z329" s="25" t="n">
        <f>141598</f>
        <v>141598.0</v>
      </c>
      <c r="AA329" s="25" t="n">
        <f>41869</f>
        <v>41869.0</v>
      </c>
      <c r="AB329" s="2" t="s">
        <v>94</v>
      </c>
      <c r="AC329" s="26" t="n">
        <f>62061</f>
        <v>62061.0</v>
      </c>
      <c r="AD329" s="3" t="s">
        <v>95</v>
      </c>
      <c r="AE329" s="27" t="n">
        <f>33300</f>
        <v>33300.0</v>
      </c>
    </row>
    <row r="330">
      <c r="A330" s="20" t="s">
        <v>904</v>
      </c>
      <c r="B330" s="21" t="s">
        <v>905</v>
      </c>
      <c r="C330" s="22"/>
      <c r="D330" s="23"/>
      <c r="E330" s="24" t="s">
        <v>160</v>
      </c>
      <c r="F330" s="28" t="n">
        <f>58</f>
        <v>58.0</v>
      </c>
      <c r="G330" s="25" t="n">
        <f>569335</f>
        <v>569335.0</v>
      </c>
      <c r="H330" s="25"/>
      <c r="I330" s="25" t="n">
        <f>107974</f>
        <v>107974.0</v>
      </c>
      <c r="J330" s="25" t="n">
        <f>9816</f>
        <v>9816.0</v>
      </c>
      <c r="K330" s="25" t="n">
        <f>1862</f>
        <v>1862.0</v>
      </c>
      <c r="L330" s="2" t="s">
        <v>111</v>
      </c>
      <c r="M330" s="26" t="n">
        <f>53868</f>
        <v>53868.0</v>
      </c>
      <c r="N330" s="3" t="s">
        <v>177</v>
      </c>
      <c r="O330" s="27" t="n">
        <f>3723</f>
        <v>3723.0</v>
      </c>
      <c r="P330" s="29" t="s">
        <v>939</v>
      </c>
      <c r="Q330" s="25"/>
      <c r="R330" s="29" t="s">
        <v>940</v>
      </c>
      <c r="S330" s="25" t="n">
        <f>7221818535</f>
        <v>7.221818535E9</v>
      </c>
      <c r="T330" s="25" t="n">
        <f>1402980527</f>
        <v>1.402980527E9</v>
      </c>
      <c r="U330" s="3" t="s">
        <v>111</v>
      </c>
      <c r="V330" s="27" t="n">
        <f>40733276200</f>
        <v>4.07332762E10</v>
      </c>
      <c r="W330" s="3" t="s">
        <v>177</v>
      </c>
      <c r="X330" s="27" t="n">
        <f>2730835300</f>
        <v>2.7308353E9</v>
      </c>
      <c r="Y330" s="27"/>
      <c r="Z330" s="25" t="n">
        <f>74023</f>
        <v>74023.0</v>
      </c>
      <c r="AA330" s="25" t="n">
        <f>43431</f>
        <v>43431.0</v>
      </c>
      <c r="AB330" s="2" t="s">
        <v>751</v>
      </c>
      <c r="AC330" s="26" t="n">
        <f>63481</f>
        <v>63481.0</v>
      </c>
      <c r="AD330" s="3" t="s">
        <v>134</v>
      </c>
      <c r="AE330" s="27" t="n">
        <f>39798</f>
        <v>39798.0</v>
      </c>
    </row>
    <row r="331">
      <c r="A331" s="20" t="s">
        <v>941</v>
      </c>
      <c r="B331" s="21" t="s">
        <v>942</v>
      </c>
      <c r="C331" s="22"/>
      <c r="D331" s="23"/>
      <c r="E331" s="24" t="s">
        <v>48</v>
      </c>
      <c r="F331" s="28" t="n">
        <f>21</f>
        <v>21.0</v>
      </c>
      <c r="G331" s="25" t="n">
        <f>6242</f>
        <v>6242.0</v>
      </c>
      <c r="H331" s="25"/>
      <c r="I331" s="25" t="str">
        <f>"－"</f>
        <v>－</v>
      </c>
      <c r="J331" s="25" t="n">
        <f>297</f>
        <v>297.0</v>
      </c>
      <c r="K331" s="25" t="str">
        <f>"－"</f>
        <v>－</v>
      </c>
      <c r="L331" s="2" t="s">
        <v>54</v>
      </c>
      <c r="M331" s="26" t="n">
        <f>705</f>
        <v>705.0</v>
      </c>
      <c r="N331" s="3" t="s">
        <v>50</v>
      </c>
      <c r="O331" s="27" t="n">
        <f>47</f>
        <v>47.0</v>
      </c>
      <c r="P331" s="29" t="s">
        <v>943</v>
      </c>
      <c r="Q331" s="25"/>
      <c r="R331" s="29" t="s">
        <v>262</v>
      </c>
      <c r="S331" s="25" t="n">
        <f>521278438</f>
        <v>5.21278438E8</v>
      </c>
      <c r="T331" s="25" t="str">
        <f>"－"</f>
        <v>－</v>
      </c>
      <c r="U331" s="3" t="s">
        <v>54</v>
      </c>
      <c r="V331" s="27" t="n">
        <f>1224241300</f>
        <v>1.2242413E9</v>
      </c>
      <c r="W331" s="3" t="s">
        <v>50</v>
      </c>
      <c r="X331" s="27" t="n">
        <f>84329300</f>
        <v>8.43293E7</v>
      </c>
      <c r="Y331" s="27"/>
      <c r="Z331" s="25" t="n">
        <f>132</f>
        <v>132.0</v>
      </c>
      <c r="AA331" s="25" t="n">
        <f>860</f>
        <v>860.0</v>
      </c>
      <c r="AB331" s="2" t="s">
        <v>93</v>
      </c>
      <c r="AC331" s="26" t="n">
        <f>1247</f>
        <v>1247.0</v>
      </c>
      <c r="AD331" s="3" t="s">
        <v>498</v>
      </c>
      <c r="AE331" s="27" t="n">
        <f>674</f>
        <v>674.0</v>
      </c>
    </row>
    <row r="332">
      <c r="A332" s="20" t="s">
        <v>941</v>
      </c>
      <c r="B332" s="21" t="s">
        <v>942</v>
      </c>
      <c r="C332" s="22"/>
      <c r="D332" s="23"/>
      <c r="E332" s="24" t="s">
        <v>55</v>
      </c>
      <c r="F332" s="28" t="n">
        <f>121</f>
        <v>121.0</v>
      </c>
      <c r="G332" s="25" t="n">
        <f>41188</f>
        <v>41188.0</v>
      </c>
      <c r="H332" s="25"/>
      <c r="I332" s="25" t="str">
        <f>"－"</f>
        <v>－</v>
      </c>
      <c r="J332" s="25" t="n">
        <f>340</f>
        <v>340.0</v>
      </c>
      <c r="K332" s="25" t="str">
        <f>"－"</f>
        <v>－</v>
      </c>
      <c r="L332" s="2" t="s">
        <v>168</v>
      </c>
      <c r="M332" s="26" t="n">
        <f>1071</f>
        <v>1071.0</v>
      </c>
      <c r="N332" s="3" t="s">
        <v>552</v>
      </c>
      <c r="O332" s="27" t="n">
        <f>43</f>
        <v>43.0</v>
      </c>
      <c r="P332" s="29" t="s">
        <v>944</v>
      </c>
      <c r="Q332" s="25"/>
      <c r="R332" s="29" t="s">
        <v>262</v>
      </c>
      <c r="S332" s="25" t="n">
        <f>604496006</f>
        <v>6.04496006E8</v>
      </c>
      <c r="T332" s="25" t="str">
        <f>"－"</f>
        <v>－</v>
      </c>
      <c r="U332" s="3" t="s">
        <v>168</v>
      </c>
      <c r="V332" s="27" t="n">
        <f>1848186500</f>
        <v>1.8481865E9</v>
      </c>
      <c r="W332" s="3" t="s">
        <v>552</v>
      </c>
      <c r="X332" s="27" t="n">
        <f>78152900</f>
        <v>7.81529E7</v>
      </c>
      <c r="Y332" s="27"/>
      <c r="Z332" s="25" t="n">
        <f>335</f>
        <v>335.0</v>
      </c>
      <c r="AA332" s="25" t="n">
        <f>568</f>
        <v>568.0</v>
      </c>
      <c r="AB332" s="2" t="s">
        <v>184</v>
      </c>
      <c r="AC332" s="26" t="n">
        <f>1203</f>
        <v>1203.0</v>
      </c>
      <c r="AD332" s="3" t="s">
        <v>248</v>
      </c>
      <c r="AE332" s="27" t="n">
        <f>394</f>
        <v>394.0</v>
      </c>
    </row>
    <row r="333">
      <c r="A333" s="20" t="s">
        <v>941</v>
      </c>
      <c r="B333" s="21" t="s">
        <v>942</v>
      </c>
      <c r="C333" s="22"/>
      <c r="D333" s="23"/>
      <c r="E333" s="24" t="s">
        <v>62</v>
      </c>
      <c r="F333" s="28" t="n">
        <f>123</f>
        <v>123.0</v>
      </c>
      <c r="G333" s="25" t="n">
        <f>33770</f>
        <v>33770.0</v>
      </c>
      <c r="H333" s="25"/>
      <c r="I333" s="25" t="str">
        <f>"－"</f>
        <v>－</v>
      </c>
      <c r="J333" s="25" t="n">
        <f>275</f>
        <v>275.0</v>
      </c>
      <c r="K333" s="25" t="str">
        <f>"－"</f>
        <v>－</v>
      </c>
      <c r="L333" s="2" t="s">
        <v>945</v>
      </c>
      <c r="M333" s="26" t="n">
        <f>1102</f>
        <v>1102.0</v>
      </c>
      <c r="N333" s="3" t="s">
        <v>64</v>
      </c>
      <c r="O333" s="27" t="n">
        <f>25</f>
        <v>25.0</v>
      </c>
      <c r="P333" s="29" t="s">
        <v>946</v>
      </c>
      <c r="Q333" s="25"/>
      <c r="R333" s="29" t="s">
        <v>262</v>
      </c>
      <c r="S333" s="25" t="n">
        <f>471942047</f>
        <v>4.71942047E8</v>
      </c>
      <c r="T333" s="25" t="str">
        <f>"－"</f>
        <v>－</v>
      </c>
      <c r="U333" s="3" t="s">
        <v>945</v>
      </c>
      <c r="V333" s="27" t="n">
        <f>1911487000</f>
        <v>1.911487E9</v>
      </c>
      <c r="W333" s="3" t="s">
        <v>64</v>
      </c>
      <c r="X333" s="27" t="n">
        <f>43455900</f>
        <v>4.34559E7</v>
      </c>
      <c r="Y333" s="27"/>
      <c r="Z333" s="25" t="n">
        <f>447</f>
        <v>447.0</v>
      </c>
      <c r="AA333" s="25" t="n">
        <f>297</f>
        <v>297.0</v>
      </c>
      <c r="AB333" s="2" t="s">
        <v>947</v>
      </c>
      <c r="AC333" s="26" t="n">
        <f>1493</f>
        <v>1493.0</v>
      </c>
      <c r="AD333" s="3" t="s">
        <v>64</v>
      </c>
      <c r="AE333" s="27" t="n">
        <f>272</f>
        <v>272.0</v>
      </c>
    </row>
    <row r="334">
      <c r="A334" s="20" t="s">
        <v>941</v>
      </c>
      <c r="B334" s="21" t="s">
        <v>942</v>
      </c>
      <c r="C334" s="22"/>
      <c r="D334" s="23"/>
      <c r="E334" s="24" t="s">
        <v>69</v>
      </c>
      <c r="F334" s="28" t="n">
        <f>122</f>
        <v>122.0</v>
      </c>
      <c r="G334" s="25" t="n">
        <f>28917</f>
        <v>28917.0</v>
      </c>
      <c r="H334" s="25"/>
      <c r="I334" s="25" t="str">
        <f>"－"</f>
        <v>－</v>
      </c>
      <c r="J334" s="25" t="n">
        <f>237</f>
        <v>237.0</v>
      </c>
      <c r="K334" s="25" t="str">
        <f>"－"</f>
        <v>－</v>
      </c>
      <c r="L334" s="2" t="s">
        <v>458</v>
      </c>
      <c r="M334" s="26" t="n">
        <f>822</f>
        <v>822.0</v>
      </c>
      <c r="N334" s="3" t="s">
        <v>751</v>
      </c>
      <c r="O334" s="27" t="n">
        <f>49</f>
        <v>49.0</v>
      </c>
      <c r="P334" s="29" t="s">
        <v>948</v>
      </c>
      <c r="Q334" s="25"/>
      <c r="R334" s="29" t="s">
        <v>262</v>
      </c>
      <c r="S334" s="25" t="n">
        <f>404830346</f>
        <v>4.04830346E8</v>
      </c>
      <c r="T334" s="25" t="str">
        <f>"－"</f>
        <v>－</v>
      </c>
      <c r="U334" s="3" t="s">
        <v>458</v>
      </c>
      <c r="V334" s="27" t="n">
        <f>1428935900</f>
        <v>1.4289359E9</v>
      </c>
      <c r="W334" s="3" t="s">
        <v>751</v>
      </c>
      <c r="X334" s="27" t="n">
        <f>82561900</f>
        <v>8.25619E7</v>
      </c>
      <c r="Y334" s="27"/>
      <c r="Z334" s="25" t="n">
        <f>472</f>
        <v>472.0</v>
      </c>
      <c r="AA334" s="25" t="n">
        <f>584</f>
        <v>584.0</v>
      </c>
      <c r="AB334" s="2" t="s">
        <v>767</v>
      </c>
      <c r="AC334" s="26" t="n">
        <f>1548</f>
        <v>1548.0</v>
      </c>
      <c r="AD334" s="3" t="s">
        <v>156</v>
      </c>
      <c r="AE334" s="27" t="n">
        <f>289</f>
        <v>289.0</v>
      </c>
    </row>
    <row r="335">
      <c r="A335" s="20" t="s">
        <v>941</v>
      </c>
      <c r="B335" s="21" t="s">
        <v>942</v>
      </c>
      <c r="C335" s="22"/>
      <c r="D335" s="23"/>
      <c r="E335" s="24" t="s">
        <v>76</v>
      </c>
      <c r="F335" s="28" t="n">
        <f>123</f>
        <v>123.0</v>
      </c>
      <c r="G335" s="25" t="n">
        <f>34883</f>
        <v>34883.0</v>
      </c>
      <c r="H335" s="25"/>
      <c r="I335" s="25" t="str">
        <f>"－"</f>
        <v>－</v>
      </c>
      <c r="J335" s="25" t="n">
        <f>284</f>
        <v>284.0</v>
      </c>
      <c r="K335" s="25" t="str">
        <f>"－"</f>
        <v>－</v>
      </c>
      <c r="L335" s="2" t="s">
        <v>350</v>
      </c>
      <c r="M335" s="26" t="n">
        <f>1092</f>
        <v>1092.0</v>
      </c>
      <c r="N335" s="3" t="s">
        <v>138</v>
      </c>
      <c r="O335" s="27" t="n">
        <f>20</f>
        <v>20.0</v>
      </c>
      <c r="P335" s="29" t="s">
        <v>949</v>
      </c>
      <c r="Q335" s="25"/>
      <c r="R335" s="29" t="s">
        <v>262</v>
      </c>
      <c r="S335" s="25" t="n">
        <f>521771855</f>
        <v>5.21771855E8</v>
      </c>
      <c r="T335" s="25" t="str">
        <f>"－"</f>
        <v>－</v>
      </c>
      <c r="U335" s="3" t="s">
        <v>350</v>
      </c>
      <c r="V335" s="27" t="n">
        <f>1978889100</f>
        <v>1.9788891E9</v>
      </c>
      <c r="W335" s="3" t="s">
        <v>138</v>
      </c>
      <c r="X335" s="27" t="n">
        <f>39547400</f>
        <v>3.95474E7</v>
      </c>
      <c r="Y335" s="27"/>
      <c r="Z335" s="25" t="n">
        <f>2880</f>
        <v>2880.0</v>
      </c>
      <c r="AA335" s="25" t="n">
        <f>642</f>
        <v>642.0</v>
      </c>
      <c r="AB335" s="2" t="s">
        <v>197</v>
      </c>
      <c r="AC335" s="26" t="n">
        <f>2373</f>
        <v>2373.0</v>
      </c>
      <c r="AD335" s="3" t="s">
        <v>882</v>
      </c>
      <c r="AE335" s="27" t="n">
        <f>512</f>
        <v>512.0</v>
      </c>
    </row>
    <row r="336">
      <c r="A336" s="20" t="s">
        <v>941</v>
      </c>
      <c r="B336" s="21" t="s">
        <v>942</v>
      </c>
      <c r="C336" s="22"/>
      <c r="D336" s="23"/>
      <c r="E336" s="24" t="s">
        <v>83</v>
      </c>
      <c r="F336" s="28" t="n">
        <f>123</f>
        <v>123.0</v>
      </c>
      <c r="G336" s="25" t="n">
        <f>25951</f>
        <v>25951.0</v>
      </c>
      <c r="H336" s="25"/>
      <c r="I336" s="25" t="str">
        <f>"－"</f>
        <v>－</v>
      </c>
      <c r="J336" s="25" t="n">
        <f>211</f>
        <v>211.0</v>
      </c>
      <c r="K336" s="25" t="str">
        <f>"－"</f>
        <v>－</v>
      </c>
      <c r="L336" s="2" t="s">
        <v>773</v>
      </c>
      <c r="M336" s="26" t="n">
        <f>633</f>
        <v>633.0</v>
      </c>
      <c r="N336" s="3" t="s">
        <v>950</v>
      </c>
      <c r="O336" s="27" t="n">
        <f>21</f>
        <v>21.0</v>
      </c>
      <c r="P336" s="29" t="s">
        <v>951</v>
      </c>
      <c r="Q336" s="25"/>
      <c r="R336" s="29" t="s">
        <v>262</v>
      </c>
      <c r="S336" s="25" t="n">
        <f>435647453</f>
        <v>4.35647453E8</v>
      </c>
      <c r="T336" s="25" t="str">
        <f>"－"</f>
        <v>－</v>
      </c>
      <c r="U336" s="3" t="s">
        <v>773</v>
      </c>
      <c r="V336" s="27" t="n">
        <f>1325405800</f>
        <v>1.3254058E9</v>
      </c>
      <c r="W336" s="3" t="s">
        <v>950</v>
      </c>
      <c r="X336" s="27" t="n">
        <f>43762200</f>
        <v>4.37622E7</v>
      </c>
      <c r="Y336" s="27"/>
      <c r="Z336" s="25" t="n">
        <f>697</f>
        <v>697.0</v>
      </c>
      <c r="AA336" s="25" t="n">
        <f>762</f>
        <v>762.0</v>
      </c>
      <c r="AB336" s="2" t="s">
        <v>314</v>
      </c>
      <c r="AC336" s="26" t="n">
        <f>1505</f>
        <v>1505.0</v>
      </c>
      <c r="AD336" s="3" t="s">
        <v>625</v>
      </c>
      <c r="AE336" s="27" t="n">
        <f>502</f>
        <v>502.0</v>
      </c>
    </row>
    <row r="337">
      <c r="A337" s="20" t="s">
        <v>941</v>
      </c>
      <c r="B337" s="21" t="s">
        <v>942</v>
      </c>
      <c r="C337" s="22"/>
      <c r="D337" s="23"/>
      <c r="E337" s="24" t="s">
        <v>89</v>
      </c>
      <c r="F337" s="28" t="n">
        <f>124</f>
        <v>124.0</v>
      </c>
      <c r="G337" s="25" t="n">
        <f>45243</f>
        <v>45243.0</v>
      </c>
      <c r="H337" s="25"/>
      <c r="I337" s="25" t="str">
        <f>"－"</f>
        <v>－</v>
      </c>
      <c r="J337" s="25" t="n">
        <f>365</f>
        <v>365.0</v>
      </c>
      <c r="K337" s="25" t="str">
        <f>"－"</f>
        <v>－</v>
      </c>
      <c r="L337" s="2" t="s">
        <v>952</v>
      </c>
      <c r="M337" s="26" t="n">
        <f>1669</f>
        <v>1669.0</v>
      </c>
      <c r="N337" s="3" t="s">
        <v>833</v>
      </c>
      <c r="O337" s="27" t="n">
        <f>70</f>
        <v>70.0</v>
      </c>
      <c r="P337" s="29" t="s">
        <v>953</v>
      </c>
      <c r="Q337" s="25"/>
      <c r="R337" s="29" t="s">
        <v>262</v>
      </c>
      <c r="S337" s="25" t="n">
        <f>826468560</f>
        <v>8.2646856E8</v>
      </c>
      <c r="T337" s="25" t="str">
        <f>"－"</f>
        <v>－</v>
      </c>
      <c r="U337" s="3" t="s">
        <v>952</v>
      </c>
      <c r="V337" s="27" t="n">
        <f>3691748000</f>
        <v>3.691748E9</v>
      </c>
      <c r="W337" s="3" t="s">
        <v>891</v>
      </c>
      <c r="X337" s="27" t="n">
        <f>152314700</f>
        <v>1.523147E8</v>
      </c>
      <c r="Y337" s="27"/>
      <c r="Z337" s="25" t="n">
        <f>755</f>
        <v>755.0</v>
      </c>
      <c r="AA337" s="25" t="n">
        <f>1104</f>
        <v>1104.0</v>
      </c>
      <c r="AB337" s="2" t="s">
        <v>947</v>
      </c>
      <c r="AC337" s="26" t="n">
        <f>2596</f>
        <v>2596.0</v>
      </c>
      <c r="AD337" s="3" t="s">
        <v>181</v>
      </c>
      <c r="AE337" s="27" t="n">
        <f>745</f>
        <v>745.0</v>
      </c>
    </row>
    <row r="338">
      <c r="A338" s="20" t="s">
        <v>941</v>
      </c>
      <c r="B338" s="21" t="s">
        <v>942</v>
      </c>
      <c r="C338" s="22"/>
      <c r="D338" s="23"/>
      <c r="E338" s="24" t="s">
        <v>96</v>
      </c>
      <c r="F338" s="28" t="n">
        <f>121</f>
        <v>121.0</v>
      </c>
      <c r="G338" s="25" t="n">
        <f>131188</f>
        <v>131188.0</v>
      </c>
      <c r="H338" s="25"/>
      <c r="I338" s="25" t="str">
        <f>"－"</f>
        <v>－</v>
      </c>
      <c r="J338" s="25" t="n">
        <f>1084</f>
        <v>1084.0</v>
      </c>
      <c r="K338" s="25" t="str">
        <f>"－"</f>
        <v>－</v>
      </c>
      <c r="L338" s="2" t="s">
        <v>358</v>
      </c>
      <c r="M338" s="26" t="n">
        <f>5288</f>
        <v>5288.0</v>
      </c>
      <c r="N338" s="3" t="s">
        <v>273</v>
      </c>
      <c r="O338" s="27" t="n">
        <f>70</f>
        <v>70.0</v>
      </c>
      <c r="P338" s="29" t="s">
        <v>954</v>
      </c>
      <c r="Q338" s="25"/>
      <c r="R338" s="29" t="s">
        <v>262</v>
      </c>
      <c r="S338" s="25" t="n">
        <f>2706274841</f>
        <v>2.706274841E9</v>
      </c>
      <c r="T338" s="25" t="str">
        <f>"－"</f>
        <v>－</v>
      </c>
      <c r="U338" s="3" t="s">
        <v>358</v>
      </c>
      <c r="V338" s="27" t="n">
        <f>13554111800</f>
        <v>1.35541118E10</v>
      </c>
      <c r="W338" s="3" t="s">
        <v>273</v>
      </c>
      <c r="X338" s="27" t="n">
        <f>168658500</f>
        <v>1.686585E8</v>
      </c>
      <c r="Y338" s="27"/>
      <c r="Z338" s="25" t="n">
        <f>228</f>
        <v>228.0</v>
      </c>
      <c r="AA338" s="25" t="n">
        <f>690</f>
        <v>690.0</v>
      </c>
      <c r="AB338" s="2" t="s">
        <v>508</v>
      </c>
      <c r="AC338" s="26" t="n">
        <f>3893</f>
        <v>3893.0</v>
      </c>
      <c r="AD338" s="3" t="s">
        <v>414</v>
      </c>
      <c r="AE338" s="27" t="n">
        <f>474</f>
        <v>474.0</v>
      </c>
    </row>
    <row r="339">
      <c r="A339" s="20" t="s">
        <v>941</v>
      </c>
      <c r="B339" s="21" t="s">
        <v>942</v>
      </c>
      <c r="C339" s="22"/>
      <c r="D339" s="23"/>
      <c r="E339" s="24" t="s">
        <v>102</v>
      </c>
      <c r="F339" s="28" t="n">
        <f>124</f>
        <v>124.0</v>
      </c>
      <c r="G339" s="25" t="n">
        <f>103705</f>
        <v>103705.0</v>
      </c>
      <c r="H339" s="25"/>
      <c r="I339" s="25" t="str">
        <f>"－"</f>
        <v>－</v>
      </c>
      <c r="J339" s="25" t="n">
        <f>836</f>
        <v>836.0</v>
      </c>
      <c r="K339" s="25" t="str">
        <f>"－"</f>
        <v>－</v>
      </c>
      <c r="L339" s="2" t="s">
        <v>549</v>
      </c>
      <c r="M339" s="26" t="n">
        <f>4104</f>
        <v>4104.0</v>
      </c>
      <c r="N339" s="3" t="s">
        <v>331</v>
      </c>
      <c r="O339" s="27" t="n">
        <f>155</f>
        <v>155.0</v>
      </c>
      <c r="P339" s="29" t="s">
        <v>955</v>
      </c>
      <c r="Q339" s="25"/>
      <c r="R339" s="29" t="s">
        <v>262</v>
      </c>
      <c r="S339" s="25" t="n">
        <f>2088830411</f>
        <v>2.088830411E9</v>
      </c>
      <c r="T339" s="25" t="str">
        <f>"－"</f>
        <v>－</v>
      </c>
      <c r="U339" s="3" t="s">
        <v>549</v>
      </c>
      <c r="V339" s="27" t="n">
        <f>10375859500</f>
        <v>1.03758595E10</v>
      </c>
      <c r="W339" s="3" t="s">
        <v>225</v>
      </c>
      <c r="X339" s="27" t="n">
        <f>379124400</f>
        <v>3.791244E8</v>
      </c>
      <c r="Y339" s="27"/>
      <c r="Z339" s="25" t="n">
        <f>372</f>
        <v>372.0</v>
      </c>
      <c r="AA339" s="25" t="n">
        <f>1626</f>
        <v>1626.0</v>
      </c>
      <c r="AB339" s="2" t="s">
        <v>82</v>
      </c>
      <c r="AC339" s="26" t="n">
        <f>1709</f>
        <v>1709.0</v>
      </c>
      <c r="AD339" s="3" t="s">
        <v>744</v>
      </c>
      <c r="AE339" s="27" t="n">
        <f>552</f>
        <v>552.0</v>
      </c>
    </row>
    <row r="340">
      <c r="A340" s="20" t="s">
        <v>941</v>
      </c>
      <c r="B340" s="21" t="s">
        <v>942</v>
      </c>
      <c r="C340" s="22"/>
      <c r="D340" s="23"/>
      <c r="E340" s="24" t="s">
        <v>107</v>
      </c>
      <c r="F340" s="28" t="n">
        <f>117</f>
        <v>117.0</v>
      </c>
      <c r="G340" s="25" t="n">
        <f>118832</f>
        <v>118832.0</v>
      </c>
      <c r="H340" s="25"/>
      <c r="I340" s="25" t="str">
        <f>"－"</f>
        <v>－</v>
      </c>
      <c r="J340" s="25" t="n">
        <f>1016</f>
        <v>1016.0</v>
      </c>
      <c r="K340" s="25" t="str">
        <f>"－"</f>
        <v>－</v>
      </c>
      <c r="L340" s="2" t="s">
        <v>476</v>
      </c>
      <c r="M340" s="26" t="n">
        <f>3405</f>
        <v>3405.0</v>
      </c>
      <c r="N340" s="3" t="s">
        <v>634</v>
      </c>
      <c r="O340" s="27" t="n">
        <f>159</f>
        <v>159.0</v>
      </c>
      <c r="P340" s="29" t="s">
        <v>956</v>
      </c>
      <c r="Q340" s="25"/>
      <c r="R340" s="29" t="s">
        <v>262</v>
      </c>
      <c r="S340" s="25" t="n">
        <f>2589373974</f>
        <v>2.589373974E9</v>
      </c>
      <c r="T340" s="25" t="str">
        <f>"－"</f>
        <v>－</v>
      </c>
      <c r="U340" s="3" t="s">
        <v>476</v>
      </c>
      <c r="V340" s="27" t="n">
        <f>8600531700</f>
        <v>8.6005317E9</v>
      </c>
      <c r="W340" s="3" t="s">
        <v>634</v>
      </c>
      <c r="X340" s="27" t="n">
        <f>407775600</f>
        <v>4.077756E8</v>
      </c>
      <c r="Y340" s="27"/>
      <c r="Z340" s="25" t="str">
        <f>"－"</f>
        <v>－</v>
      </c>
      <c r="AA340" s="25" t="n">
        <f>1848</f>
        <v>1848.0</v>
      </c>
      <c r="AB340" s="2" t="s">
        <v>458</v>
      </c>
      <c r="AC340" s="26" t="n">
        <f>4132</f>
        <v>4132.0</v>
      </c>
      <c r="AD340" s="3" t="s">
        <v>156</v>
      </c>
      <c r="AE340" s="27" t="n">
        <f>890</f>
        <v>890.0</v>
      </c>
    </row>
    <row r="341">
      <c r="A341" s="20" t="s">
        <v>941</v>
      </c>
      <c r="B341" s="21" t="s">
        <v>942</v>
      </c>
      <c r="C341" s="22"/>
      <c r="D341" s="23"/>
      <c r="E341" s="24" t="s">
        <v>113</v>
      </c>
      <c r="F341" s="28" t="n">
        <f>124</f>
        <v>124.0</v>
      </c>
      <c r="G341" s="25" t="n">
        <f>159154</f>
        <v>159154.0</v>
      </c>
      <c r="H341" s="25"/>
      <c r="I341" s="25" t="n">
        <f>5822</f>
        <v>5822.0</v>
      </c>
      <c r="J341" s="25" t="n">
        <f>1284</f>
        <v>1284.0</v>
      </c>
      <c r="K341" s="25" t="n">
        <f>47</f>
        <v>47.0</v>
      </c>
      <c r="L341" s="2" t="s">
        <v>206</v>
      </c>
      <c r="M341" s="26" t="n">
        <f>7417</f>
        <v>7417.0</v>
      </c>
      <c r="N341" s="3" t="s">
        <v>114</v>
      </c>
      <c r="O341" s="27" t="n">
        <f>110</f>
        <v>110.0</v>
      </c>
      <c r="P341" s="29" t="s">
        <v>957</v>
      </c>
      <c r="Q341" s="25"/>
      <c r="R341" s="29" t="s">
        <v>958</v>
      </c>
      <c r="S341" s="25" t="n">
        <f>3423238439</f>
        <v>3.423238439E9</v>
      </c>
      <c r="T341" s="25" t="n">
        <f>128439562</f>
        <v>1.28439562E8</v>
      </c>
      <c r="U341" s="3" t="s">
        <v>206</v>
      </c>
      <c r="V341" s="27" t="n">
        <f>19009649400</f>
        <v>1.90096494E10</v>
      </c>
      <c r="W341" s="3" t="s">
        <v>114</v>
      </c>
      <c r="X341" s="27" t="n">
        <f>313796300</f>
        <v>3.137963E8</v>
      </c>
      <c r="Y341" s="27"/>
      <c r="Z341" s="25" t="n">
        <f>5402</f>
        <v>5402.0</v>
      </c>
      <c r="AA341" s="25" t="n">
        <f>1674</f>
        <v>1674.0</v>
      </c>
      <c r="AB341" s="2" t="s">
        <v>224</v>
      </c>
      <c r="AC341" s="26" t="n">
        <f>3914</f>
        <v>3914.0</v>
      </c>
      <c r="AD341" s="3" t="s">
        <v>869</v>
      </c>
      <c r="AE341" s="27" t="n">
        <f>1212</f>
        <v>1212.0</v>
      </c>
    </row>
    <row r="342">
      <c r="A342" s="20" t="s">
        <v>941</v>
      </c>
      <c r="B342" s="21" t="s">
        <v>942</v>
      </c>
      <c r="C342" s="22"/>
      <c r="D342" s="23"/>
      <c r="E342" s="24" t="s">
        <v>119</v>
      </c>
      <c r="F342" s="28" t="n">
        <f>119</f>
        <v>119.0</v>
      </c>
      <c r="G342" s="25" t="n">
        <f>234597</f>
        <v>234597.0</v>
      </c>
      <c r="H342" s="25"/>
      <c r="I342" s="25" t="n">
        <f>29998</f>
        <v>29998.0</v>
      </c>
      <c r="J342" s="25" t="n">
        <f>1971</f>
        <v>1971.0</v>
      </c>
      <c r="K342" s="25" t="n">
        <f>252</f>
        <v>252.0</v>
      </c>
      <c r="L342" s="2" t="s">
        <v>209</v>
      </c>
      <c r="M342" s="26" t="n">
        <f>9104</f>
        <v>9104.0</v>
      </c>
      <c r="N342" s="3" t="s">
        <v>212</v>
      </c>
      <c r="O342" s="27" t="n">
        <f>227</f>
        <v>227.0</v>
      </c>
      <c r="P342" s="29" t="s">
        <v>959</v>
      </c>
      <c r="Q342" s="25"/>
      <c r="R342" s="29" t="s">
        <v>960</v>
      </c>
      <c r="S342" s="25" t="n">
        <f>5044583175</f>
        <v>5.044583175E9</v>
      </c>
      <c r="T342" s="25" t="n">
        <f>622727097</f>
        <v>6.22727097E8</v>
      </c>
      <c r="U342" s="3" t="s">
        <v>209</v>
      </c>
      <c r="V342" s="27" t="n">
        <f>22897733300</f>
        <v>2.28977333E10</v>
      </c>
      <c r="W342" s="3" t="s">
        <v>212</v>
      </c>
      <c r="X342" s="27" t="n">
        <f>527597900</f>
        <v>5.275979E8</v>
      </c>
      <c r="Y342" s="27"/>
      <c r="Z342" s="25" t="n">
        <f>14118</f>
        <v>14118.0</v>
      </c>
      <c r="AA342" s="25" t="n">
        <f>958</f>
        <v>958.0</v>
      </c>
      <c r="AB342" s="2" t="s">
        <v>290</v>
      </c>
      <c r="AC342" s="26" t="n">
        <f>7675</f>
        <v>7675.0</v>
      </c>
      <c r="AD342" s="3" t="s">
        <v>248</v>
      </c>
      <c r="AE342" s="27" t="n">
        <f>595</f>
        <v>595.0</v>
      </c>
    </row>
    <row r="343">
      <c r="A343" s="20" t="s">
        <v>941</v>
      </c>
      <c r="B343" s="21" t="s">
        <v>942</v>
      </c>
      <c r="C343" s="22"/>
      <c r="D343" s="23"/>
      <c r="E343" s="24" t="s">
        <v>124</v>
      </c>
      <c r="F343" s="28" t="n">
        <f>124</f>
        <v>124.0</v>
      </c>
      <c r="G343" s="25" t="n">
        <f>153867</f>
        <v>153867.0</v>
      </c>
      <c r="H343" s="25"/>
      <c r="I343" s="25" t="n">
        <f>15907</f>
        <v>15907.0</v>
      </c>
      <c r="J343" s="25" t="n">
        <f>1241</f>
        <v>1241.0</v>
      </c>
      <c r="K343" s="25" t="n">
        <f>128</f>
        <v>128.0</v>
      </c>
      <c r="L343" s="2" t="s">
        <v>192</v>
      </c>
      <c r="M343" s="26" t="n">
        <f>3947</f>
        <v>3947.0</v>
      </c>
      <c r="N343" s="3" t="s">
        <v>114</v>
      </c>
      <c r="O343" s="27" t="n">
        <f>133</f>
        <v>133.0</v>
      </c>
      <c r="P343" s="29" t="s">
        <v>961</v>
      </c>
      <c r="Q343" s="25"/>
      <c r="R343" s="29" t="s">
        <v>962</v>
      </c>
      <c r="S343" s="25" t="n">
        <f>3480942427</f>
        <v>3.480942427E9</v>
      </c>
      <c r="T343" s="25" t="n">
        <f>368595594</f>
        <v>3.68595594E8</v>
      </c>
      <c r="U343" s="3" t="s">
        <v>192</v>
      </c>
      <c r="V343" s="27" t="n">
        <f>11575841000</f>
        <v>1.1575841E10</v>
      </c>
      <c r="W343" s="3" t="s">
        <v>114</v>
      </c>
      <c r="X343" s="27" t="n">
        <f>399739700</f>
        <v>3.997397E8</v>
      </c>
      <c r="Y343" s="27"/>
      <c r="Z343" s="25" t="n">
        <f>18557</f>
        <v>18557.0</v>
      </c>
      <c r="AA343" s="25" t="n">
        <f>925</f>
        <v>925.0</v>
      </c>
      <c r="AB343" s="2" t="s">
        <v>64</v>
      </c>
      <c r="AC343" s="26" t="n">
        <f>2870</f>
        <v>2870.0</v>
      </c>
      <c r="AD343" s="3" t="s">
        <v>838</v>
      </c>
      <c r="AE343" s="27" t="n">
        <f>720</f>
        <v>720.0</v>
      </c>
    </row>
    <row r="344">
      <c r="A344" s="20" t="s">
        <v>941</v>
      </c>
      <c r="B344" s="21" t="s">
        <v>942</v>
      </c>
      <c r="C344" s="22"/>
      <c r="D344" s="23"/>
      <c r="E344" s="24" t="s">
        <v>130</v>
      </c>
      <c r="F344" s="28" t="n">
        <f>121</f>
        <v>121.0</v>
      </c>
      <c r="G344" s="25" t="n">
        <f>184047</f>
        <v>184047.0</v>
      </c>
      <c r="H344" s="25"/>
      <c r="I344" s="25" t="n">
        <f>71350</f>
        <v>71350.0</v>
      </c>
      <c r="J344" s="25" t="n">
        <f>1521</f>
        <v>1521.0</v>
      </c>
      <c r="K344" s="25" t="n">
        <f>590</f>
        <v>590.0</v>
      </c>
      <c r="L344" s="2" t="s">
        <v>369</v>
      </c>
      <c r="M344" s="26" t="n">
        <f>6568</f>
        <v>6568.0</v>
      </c>
      <c r="N344" s="3" t="s">
        <v>963</v>
      </c>
      <c r="O344" s="27" t="n">
        <f>227</f>
        <v>227.0</v>
      </c>
      <c r="P344" s="29" t="s">
        <v>964</v>
      </c>
      <c r="Q344" s="25"/>
      <c r="R344" s="29" t="s">
        <v>965</v>
      </c>
      <c r="S344" s="25" t="n">
        <f>4940465361</f>
        <v>4.940465361E9</v>
      </c>
      <c r="T344" s="25" t="n">
        <f>1901896442</f>
        <v>1.901896442E9</v>
      </c>
      <c r="U344" s="3" t="s">
        <v>134</v>
      </c>
      <c r="V344" s="27" t="n">
        <f>20789342000</f>
        <v>2.0789342E10</v>
      </c>
      <c r="W344" s="3" t="s">
        <v>963</v>
      </c>
      <c r="X344" s="27" t="n">
        <f>782662900</f>
        <v>7.826629E8</v>
      </c>
      <c r="Y344" s="27"/>
      <c r="Z344" s="25" t="n">
        <f>31737</f>
        <v>31737.0</v>
      </c>
      <c r="AA344" s="25" t="n">
        <f>3874</f>
        <v>3874.0</v>
      </c>
      <c r="AB344" s="2" t="s">
        <v>314</v>
      </c>
      <c r="AC344" s="26" t="n">
        <f>6034</f>
        <v>6034.0</v>
      </c>
      <c r="AD344" s="3" t="s">
        <v>346</v>
      </c>
      <c r="AE344" s="27" t="n">
        <f>752</f>
        <v>752.0</v>
      </c>
    </row>
    <row r="345">
      <c r="A345" s="20" t="s">
        <v>941</v>
      </c>
      <c r="B345" s="21" t="s">
        <v>942</v>
      </c>
      <c r="C345" s="22"/>
      <c r="D345" s="23"/>
      <c r="E345" s="24" t="s">
        <v>136</v>
      </c>
      <c r="F345" s="28" t="n">
        <f>124</f>
        <v>124.0</v>
      </c>
      <c r="G345" s="25" t="n">
        <f>220980</f>
        <v>220980.0</v>
      </c>
      <c r="H345" s="25"/>
      <c r="I345" s="25" t="n">
        <f>60074</f>
        <v>60074.0</v>
      </c>
      <c r="J345" s="25" t="n">
        <f>1782</f>
        <v>1782.0</v>
      </c>
      <c r="K345" s="25" t="n">
        <f>484</f>
        <v>484.0</v>
      </c>
      <c r="L345" s="2" t="s">
        <v>339</v>
      </c>
      <c r="M345" s="26" t="n">
        <f>5542</f>
        <v>5542.0</v>
      </c>
      <c r="N345" s="3" t="s">
        <v>138</v>
      </c>
      <c r="O345" s="27" t="n">
        <f>149</f>
        <v>149.0</v>
      </c>
      <c r="P345" s="29" t="s">
        <v>966</v>
      </c>
      <c r="Q345" s="25"/>
      <c r="R345" s="29" t="s">
        <v>967</v>
      </c>
      <c r="S345" s="25" t="n">
        <f>6223468600</f>
        <v>6.2234686E9</v>
      </c>
      <c r="T345" s="25" t="n">
        <f>1686897607</f>
        <v>1.686897607E9</v>
      </c>
      <c r="U345" s="3" t="s">
        <v>339</v>
      </c>
      <c r="V345" s="27" t="n">
        <f>19247922800</f>
        <v>1.92479228E10</v>
      </c>
      <c r="W345" s="3" t="s">
        <v>138</v>
      </c>
      <c r="X345" s="27" t="n">
        <f>533034500</f>
        <v>5.330345E8</v>
      </c>
      <c r="Y345" s="27"/>
      <c r="Z345" s="25" t="n">
        <f>37137</f>
        <v>37137.0</v>
      </c>
      <c r="AA345" s="25" t="n">
        <f>2036</f>
        <v>2036.0</v>
      </c>
      <c r="AB345" s="2" t="s">
        <v>968</v>
      </c>
      <c r="AC345" s="26" t="n">
        <f>6402</f>
        <v>6402.0</v>
      </c>
      <c r="AD345" s="3" t="s">
        <v>362</v>
      </c>
      <c r="AE345" s="27" t="n">
        <f>1441</f>
        <v>1441.0</v>
      </c>
    </row>
    <row r="346">
      <c r="A346" s="20" t="s">
        <v>941</v>
      </c>
      <c r="B346" s="21" t="s">
        <v>942</v>
      </c>
      <c r="C346" s="22"/>
      <c r="D346" s="23"/>
      <c r="E346" s="24" t="s">
        <v>142</v>
      </c>
      <c r="F346" s="28" t="n">
        <f>120</f>
        <v>120.0</v>
      </c>
      <c r="G346" s="25" t="n">
        <f>321916</f>
        <v>321916.0</v>
      </c>
      <c r="H346" s="25"/>
      <c r="I346" s="25" t="n">
        <f>29514</f>
        <v>29514.0</v>
      </c>
      <c r="J346" s="25" t="n">
        <f>2683</f>
        <v>2683.0</v>
      </c>
      <c r="K346" s="25" t="n">
        <f>246</f>
        <v>246.0</v>
      </c>
      <c r="L346" s="2" t="s">
        <v>88</v>
      </c>
      <c r="M346" s="26" t="n">
        <f>15804</f>
        <v>15804.0</v>
      </c>
      <c r="N346" s="3" t="s">
        <v>143</v>
      </c>
      <c r="O346" s="27" t="n">
        <f>133</f>
        <v>133.0</v>
      </c>
      <c r="P346" s="29" t="s">
        <v>969</v>
      </c>
      <c r="Q346" s="25"/>
      <c r="R346" s="29" t="s">
        <v>970</v>
      </c>
      <c r="S346" s="25" t="n">
        <f>8892026658</f>
        <v>8.892026658E9</v>
      </c>
      <c r="T346" s="25" t="n">
        <f>832741736</f>
        <v>8.32741736E8</v>
      </c>
      <c r="U346" s="3" t="s">
        <v>88</v>
      </c>
      <c r="V346" s="27" t="n">
        <f>52055481000</f>
        <v>5.2055481E10</v>
      </c>
      <c r="W346" s="3" t="s">
        <v>143</v>
      </c>
      <c r="X346" s="27" t="n">
        <f>455063000</f>
        <v>4.55063E8</v>
      </c>
      <c r="Y346" s="27"/>
      <c r="Z346" s="25" t="n">
        <f>60546</f>
        <v>60546.0</v>
      </c>
      <c r="AA346" s="25" t="n">
        <f>7215</f>
        <v>7215.0</v>
      </c>
      <c r="AB346" s="2" t="s">
        <v>414</v>
      </c>
      <c r="AC346" s="26" t="n">
        <f>9830</f>
        <v>9830.0</v>
      </c>
      <c r="AD346" s="3" t="s">
        <v>971</v>
      </c>
      <c r="AE346" s="27" t="n">
        <f>1035</f>
        <v>1035.0</v>
      </c>
    </row>
    <row r="347">
      <c r="A347" s="20" t="s">
        <v>941</v>
      </c>
      <c r="B347" s="21" t="s">
        <v>942</v>
      </c>
      <c r="C347" s="22"/>
      <c r="D347" s="23"/>
      <c r="E347" s="24" t="s">
        <v>148</v>
      </c>
      <c r="F347" s="28" t="n">
        <f>124</f>
        <v>124.0</v>
      </c>
      <c r="G347" s="25" t="n">
        <f>339723</f>
        <v>339723.0</v>
      </c>
      <c r="H347" s="25"/>
      <c r="I347" s="25" t="n">
        <f>22309</f>
        <v>22309.0</v>
      </c>
      <c r="J347" s="25" t="n">
        <f>2740</f>
        <v>2740.0</v>
      </c>
      <c r="K347" s="25" t="n">
        <f>180</f>
        <v>180.0</v>
      </c>
      <c r="L347" s="2" t="s">
        <v>972</v>
      </c>
      <c r="M347" s="26" t="n">
        <f>10466</f>
        <v>10466.0</v>
      </c>
      <c r="N347" s="3" t="s">
        <v>614</v>
      </c>
      <c r="O347" s="27" t="n">
        <f>305</f>
        <v>305.0</v>
      </c>
      <c r="P347" s="29" t="s">
        <v>973</v>
      </c>
      <c r="Q347" s="25"/>
      <c r="R347" s="29" t="s">
        <v>974</v>
      </c>
      <c r="S347" s="25" t="n">
        <f>8684464922</f>
        <v>8.684464922E9</v>
      </c>
      <c r="T347" s="25" t="n">
        <f>576520979</f>
        <v>5.76520979E8</v>
      </c>
      <c r="U347" s="3" t="s">
        <v>972</v>
      </c>
      <c r="V347" s="27" t="n">
        <f>32299609700</f>
        <v>3.22996097E10</v>
      </c>
      <c r="W347" s="3" t="s">
        <v>614</v>
      </c>
      <c r="X347" s="27" t="n">
        <f>1044130000</f>
        <v>1.04413E9</v>
      </c>
      <c r="Y347" s="27"/>
      <c r="Z347" s="25" t="n">
        <f>62896</f>
        <v>62896.0</v>
      </c>
      <c r="AA347" s="25" t="n">
        <f>7054</f>
        <v>7054.0</v>
      </c>
      <c r="AB347" s="2" t="s">
        <v>975</v>
      </c>
      <c r="AC347" s="26" t="n">
        <f>10718</f>
        <v>10718.0</v>
      </c>
      <c r="AD347" s="3" t="s">
        <v>976</v>
      </c>
      <c r="AE347" s="27" t="n">
        <f>4108</f>
        <v>4108.0</v>
      </c>
    </row>
    <row r="348">
      <c r="A348" s="20" t="s">
        <v>941</v>
      </c>
      <c r="B348" s="21" t="s">
        <v>942</v>
      </c>
      <c r="C348" s="22"/>
      <c r="D348" s="23"/>
      <c r="E348" s="24" t="s">
        <v>151</v>
      </c>
      <c r="F348" s="28" t="n">
        <f>122</f>
        <v>122.0</v>
      </c>
      <c r="G348" s="25" t="n">
        <f>272198</f>
        <v>272198.0</v>
      </c>
      <c r="H348" s="25"/>
      <c r="I348" s="25" t="n">
        <f>35327</f>
        <v>35327.0</v>
      </c>
      <c r="J348" s="25" t="n">
        <f>2231</f>
        <v>2231.0</v>
      </c>
      <c r="K348" s="25" t="n">
        <f>290</f>
        <v>290.0</v>
      </c>
      <c r="L348" s="2" t="s">
        <v>233</v>
      </c>
      <c r="M348" s="26" t="n">
        <f>7341</f>
        <v>7341.0</v>
      </c>
      <c r="N348" s="3" t="s">
        <v>468</v>
      </c>
      <c r="O348" s="27" t="n">
        <f>414</f>
        <v>414.0</v>
      </c>
      <c r="P348" s="29" t="s">
        <v>977</v>
      </c>
      <c r="Q348" s="25"/>
      <c r="R348" s="29" t="s">
        <v>978</v>
      </c>
      <c r="S348" s="25" t="n">
        <f>7443348436</f>
        <v>7.443348436E9</v>
      </c>
      <c r="T348" s="25" t="n">
        <f>973856441</f>
        <v>9.73856441E8</v>
      </c>
      <c r="U348" s="3" t="s">
        <v>233</v>
      </c>
      <c r="V348" s="27" t="n">
        <f>24579041000</f>
        <v>2.4579041E10</v>
      </c>
      <c r="W348" s="3" t="s">
        <v>468</v>
      </c>
      <c r="X348" s="27" t="n">
        <f>1373552800</f>
        <v>1.3735528E9</v>
      </c>
      <c r="Y348" s="27"/>
      <c r="Z348" s="25" t="n">
        <f>43047</f>
        <v>43047.0</v>
      </c>
      <c r="AA348" s="25" t="n">
        <f>8392</f>
        <v>8392.0</v>
      </c>
      <c r="AB348" s="2" t="s">
        <v>168</v>
      </c>
      <c r="AC348" s="26" t="n">
        <f>11813</f>
        <v>11813.0</v>
      </c>
      <c r="AD348" s="3" t="s">
        <v>414</v>
      </c>
      <c r="AE348" s="27" t="n">
        <f>4532</f>
        <v>4532.0</v>
      </c>
    </row>
    <row r="349">
      <c r="A349" s="20" t="s">
        <v>941</v>
      </c>
      <c r="B349" s="21" t="s">
        <v>942</v>
      </c>
      <c r="C349" s="22"/>
      <c r="D349" s="23"/>
      <c r="E349" s="24" t="s">
        <v>157</v>
      </c>
      <c r="F349" s="28" t="n">
        <f>124</f>
        <v>124.0</v>
      </c>
      <c r="G349" s="25" t="n">
        <f>209411</f>
        <v>209411.0</v>
      </c>
      <c r="H349" s="25"/>
      <c r="I349" s="25" t="n">
        <f>2695</f>
        <v>2695.0</v>
      </c>
      <c r="J349" s="25" t="n">
        <f>1689</f>
        <v>1689.0</v>
      </c>
      <c r="K349" s="25" t="n">
        <f>22</f>
        <v>22.0</v>
      </c>
      <c r="L349" s="2" t="s">
        <v>705</v>
      </c>
      <c r="M349" s="26" t="n">
        <f>4922</f>
        <v>4922.0</v>
      </c>
      <c r="N349" s="3" t="s">
        <v>50</v>
      </c>
      <c r="O349" s="27" t="n">
        <f>94</f>
        <v>94.0</v>
      </c>
      <c r="P349" s="29" t="s">
        <v>979</v>
      </c>
      <c r="Q349" s="25"/>
      <c r="R349" s="29" t="s">
        <v>980</v>
      </c>
      <c r="S349" s="25" t="n">
        <f>5873498939</f>
        <v>5.873498939E9</v>
      </c>
      <c r="T349" s="25" t="n">
        <f>76029051</f>
        <v>7.6029051E7</v>
      </c>
      <c r="U349" s="3" t="s">
        <v>705</v>
      </c>
      <c r="V349" s="27" t="n">
        <f>17209115600</f>
        <v>1.72091156E10</v>
      </c>
      <c r="W349" s="3" t="s">
        <v>50</v>
      </c>
      <c r="X349" s="27" t="n">
        <f>354647800</f>
        <v>3.546478E8</v>
      </c>
      <c r="Y349" s="27"/>
      <c r="Z349" s="25" t="n">
        <f>11130</f>
        <v>11130.0</v>
      </c>
      <c r="AA349" s="25" t="n">
        <f>2959</f>
        <v>2959.0</v>
      </c>
      <c r="AB349" s="2" t="s">
        <v>705</v>
      </c>
      <c r="AC349" s="26" t="n">
        <f>11466</f>
        <v>11466.0</v>
      </c>
      <c r="AD349" s="3" t="s">
        <v>288</v>
      </c>
      <c r="AE349" s="27" t="n">
        <f>1940</f>
        <v>1940.0</v>
      </c>
    </row>
    <row r="350">
      <c r="A350" s="20" t="s">
        <v>941</v>
      </c>
      <c r="B350" s="21" t="s">
        <v>942</v>
      </c>
      <c r="C350" s="22"/>
      <c r="D350" s="23"/>
      <c r="E350" s="24" t="s">
        <v>160</v>
      </c>
      <c r="F350" s="28" t="n">
        <f>58</f>
        <v>58.0</v>
      </c>
      <c r="G350" s="25" t="n">
        <f>80078</f>
        <v>80078.0</v>
      </c>
      <c r="H350" s="25"/>
      <c r="I350" s="25" t="n">
        <f>1728</f>
        <v>1728.0</v>
      </c>
      <c r="J350" s="25" t="n">
        <f>1381</f>
        <v>1381.0</v>
      </c>
      <c r="K350" s="25" t="n">
        <f>30</f>
        <v>30.0</v>
      </c>
      <c r="L350" s="2" t="s">
        <v>242</v>
      </c>
      <c r="M350" s="26" t="n">
        <f>6072</f>
        <v>6072.0</v>
      </c>
      <c r="N350" s="3" t="s">
        <v>981</v>
      </c>
      <c r="O350" s="27" t="n">
        <f>135</f>
        <v>135.0</v>
      </c>
      <c r="P350" s="29" t="s">
        <v>982</v>
      </c>
      <c r="Q350" s="25"/>
      <c r="R350" s="29" t="s">
        <v>983</v>
      </c>
      <c r="S350" s="25" t="n">
        <f>5338931214</f>
        <v>5.338931214E9</v>
      </c>
      <c r="T350" s="25" t="n">
        <f>115346764</f>
        <v>1.15346764E8</v>
      </c>
      <c r="U350" s="3" t="s">
        <v>242</v>
      </c>
      <c r="V350" s="27" t="n">
        <f>24115014530</f>
        <v>2.411501453E10</v>
      </c>
      <c r="W350" s="3" t="s">
        <v>981</v>
      </c>
      <c r="X350" s="27" t="n">
        <f>521725100</f>
        <v>5.217251E8</v>
      </c>
      <c r="Y350" s="27"/>
      <c r="Z350" s="25" t="n">
        <f>2617</f>
        <v>2617.0</v>
      </c>
      <c r="AA350" s="25" t="n">
        <f>3533</f>
        <v>3533.0</v>
      </c>
      <c r="AB350" s="2" t="s">
        <v>458</v>
      </c>
      <c r="AC350" s="26" t="n">
        <f>7883</f>
        <v>7883.0</v>
      </c>
      <c r="AD350" s="3" t="s">
        <v>265</v>
      </c>
      <c r="AE350" s="27" t="n">
        <f>2985</f>
        <v>2985.0</v>
      </c>
    </row>
    <row r="351">
      <c r="A351" s="20" t="s">
        <v>984</v>
      </c>
      <c r="B351" s="21" t="s">
        <v>985</v>
      </c>
      <c r="C351" s="22"/>
      <c r="D351" s="23"/>
      <c r="E351" s="24" t="s">
        <v>76</v>
      </c>
      <c r="F351" s="28" t="n">
        <f>112</f>
        <v>112.0</v>
      </c>
      <c r="G351" s="25" t="n">
        <f>204</f>
        <v>204.0</v>
      </c>
      <c r="H351" s="25"/>
      <c r="I351" s="25"/>
      <c r="J351" s="25" t="n">
        <f>2</f>
        <v>2.0</v>
      </c>
      <c r="K351" s="25"/>
      <c r="L351" s="2" t="s">
        <v>986</v>
      </c>
      <c r="M351" s="26" t="n">
        <f>100</f>
        <v>100.0</v>
      </c>
      <c r="N351" s="3" t="s">
        <v>987</v>
      </c>
      <c r="O351" s="27" t="str">
        <f>"－"</f>
        <v>－</v>
      </c>
      <c r="P351" s="29" t="s">
        <v>988</v>
      </c>
      <c r="Q351" s="25"/>
      <c r="R351" s="29"/>
      <c r="S351" s="25" t="n">
        <f>1641083</f>
        <v>1641083.0</v>
      </c>
      <c r="T351" s="25"/>
      <c r="U351" s="3" t="s">
        <v>986</v>
      </c>
      <c r="V351" s="27" t="n">
        <f>88685000</f>
        <v>8.8685E7</v>
      </c>
      <c r="W351" s="3" t="s">
        <v>987</v>
      </c>
      <c r="X351" s="27" t="str">
        <f>"－"</f>
        <v>－</v>
      </c>
      <c r="Y351" s="27"/>
      <c r="Z351" s="25" t="str">
        <f>"－"</f>
        <v>－</v>
      </c>
      <c r="AA351" s="25" t="str">
        <f>"－"</f>
        <v>－</v>
      </c>
      <c r="AB351" s="2" t="s">
        <v>945</v>
      </c>
      <c r="AC351" s="26" t="n">
        <f>52</f>
        <v>52.0</v>
      </c>
      <c r="AD351" s="3" t="s">
        <v>515</v>
      </c>
      <c r="AE351" s="27" t="str">
        <f>"－"</f>
        <v>－</v>
      </c>
    </row>
    <row r="352">
      <c r="A352" s="20" t="s">
        <v>984</v>
      </c>
      <c r="B352" s="21" t="s">
        <v>985</v>
      </c>
      <c r="C352" s="22"/>
      <c r="D352" s="23"/>
      <c r="E352" s="24" t="s">
        <v>83</v>
      </c>
      <c r="F352" s="28" t="n">
        <f>123</f>
        <v>123.0</v>
      </c>
      <c r="G352" s="25" t="n">
        <f>1</f>
        <v>1.0</v>
      </c>
      <c r="H352" s="25"/>
      <c r="I352" s="25"/>
      <c r="J352" s="25" t="n">
        <f>0</f>
        <v>0.0</v>
      </c>
      <c r="K352" s="25"/>
      <c r="L352" s="2" t="s">
        <v>411</v>
      </c>
      <c r="M352" s="26" t="n">
        <f>1</f>
        <v>1.0</v>
      </c>
      <c r="N352" s="3" t="s">
        <v>156</v>
      </c>
      <c r="O352" s="27" t="str">
        <f>"－"</f>
        <v>－</v>
      </c>
      <c r="P352" s="29" t="s">
        <v>989</v>
      </c>
      <c r="Q352" s="25"/>
      <c r="R352" s="29"/>
      <c r="S352" s="25" t="n">
        <f>8293</f>
        <v>8293.0</v>
      </c>
      <c r="T352" s="25"/>
      <c r="U352" s="3" t="s">
        <v>411</v>
      </c>
      <c r="V352" s="27" t="n">
        <f>1020000</f>
        <v>1020000.0</v>
      </c>
      <c r="W352" s="3" t="s">
        <v>156</v>
      </c>
      <c r="X352" s="27" t="str">
        <f>"－"</f>
        <v>－</v>
      </c>
      <c r="Y352" s="27"/>
      <c r="Z352" s="25" t="str">
        <f>"－"</f>
        <v>－</v>
      </c>
      <c r="AA352" s="25" t="str">
        <f>"－"</f>
        <v>－</v>
      </c>
      <c r="AB352" s="2" t="s">
        <v>411</v>
      </c>
      <c r="AC352" s="26" t="n">
        <f>1</f>
        <v>1.0</v>
      </c>
      <c r="AD352" s="3" t="s">
        <v>156</v>
      </c>
      <c r="AE352" s="27" t="str">
        <f>"－"</f>
        <v>－</v>
      </c>
    </row>
    <row r="353">
      <c r="A353" s="20" t="s">
        <v>984</v>
      </c>
      <c r="B353" s="21" t="s">
        <v>985</v>
      </c>
      <c r="C353" s="22"/>
      <c r="D353" s="23"/>
      <c r="E353" s="24" t="s">
        <v>89</v>
      </c>
      <c r="F353" s="28" t="n">
        <f>124</f>
        <v>124.0</v>
      </c>
      <c r="G353" s="25" t="str">
        <f>"－"</f>
        <v>－</v>
      </c>
      <c r="H353" s="25"/>
      <c r="I353" s="25"/>
      <c r="J353" s="25" t="str">
        <f>"－"</f>
        <v>－</v>
      </c>
      <c r="K353" s="25"/>
      <c r="L353" s="2" t="s">
        <v>633</v>
      </c>
      <c r="M353" s="26" t="str">
        <f>"－"</f>
        <v>－</v>
      </c>
      <c r="N353" s="3" t="s">
        <v>633</v>
      </c>
      <c r="O353" s="27" t="str">
        <f>"－"</f>
        <v>－</v>
      </c>
      <c r="P353" s="29" t="s">
        <v>262</v>
      </c>
      <c r="Q353" s="25"/>
      <c r="R353" s="29"/>
      <c r="S353" s="25" t="str">
        <f>"－"</f>
        <v>－</v>
      </c>
      <c r="T353" s="25"/>
      <c r="U353" s="3" t="s">
        <v>633</v>
      </c>
      <c r="V353" s="27" t="str">
        <f>"－"</f>
        <v>－</v>
      </c>
      <c r="W353" s="3" t="s">
        <v>633</v>
      </c>
      <c r="X353" s="27" t="str">
        <f>"－"</f>
        <v>－</v>
      </c>
      <c r="Y353" s="27"/>
      <c r="Z353" s="25" t="str">
        <f>"－"</f>
        <v>－</v>
      </c>
      <c r="AA353" s="25" t="str">
        <f>"－"</f>
        <v>－</v>
      </c>
      <c r="AB353" s="2" t="s">
        <v>633</v>
      </c>
      <c r="AC353" s="26" t="str">
        <f>"－"</f>
        <v>－</v>
      </c>
      <c r="AD353" s="3" t="s">
        <v>633</v>
      </c>
      <c r="AE353" s="27" t="str">
        <f>"－"</f>
        <v>－</v>
      </c>
    </row>
    <row r="354">
      <c r="A354" s="20" t="s">
        <v>984</v>
      </c>
      <c r="B354" s="21" t="s">
        <v>985</v>
      </c>
      <c r="C354" s="22"/>
      <c r="D354" s="23"/>
      <c r="E354" s="24" t="s">
        <v>96</v>
      </c>
      <c r="F354" s="28" t="n">
        <f>121</f>
        <v>121.0</v>
      </c>
      <c r="G354" s="25" t="n">
        <f>24</f>
        <v>24.0</v>
      </c>
      <c r="H354" s="25"/>
      <c r="I354" s="25"/>
      <c r="J354" s="25" t="n">
        <f>0</f>
        <v>0.0</v>
      </c>
      <c r="K354" s="25"/>
      <c r="L354" s="2" t="s">
        <v>212</v>
      </c>
      <c r="M354" s="26" t="n">
        <f>5</f>
        <v>5.0</v>
      </c>
      <c r="N354" s="3" t="s">
        <v>156</v>
      </c>
      <c r="O354" s="27" t="str">
        <f>"－"</f>
        <v>－</v>
      </c>
      <c r="P354" s="29" t="s">
        <v>990</v>
      </c>
      <c r="Q354" s="25"/>
      <c r="R354" s="29"/>
      <c r="S354" s="25" t="n">
        <f>216633</f>
        <v>216633.0</v>
      </c>
      <c r="T354" s="25"/>
      <c r="U354" s="3" t="s">
        <v>482</v>
      </c>
      <c r="V354" s="27" t="n">
        <f>5535600</f>
        <v>5535600.0</v>
      </c>
      <c r="W354" s="3" t="s">
        <v>156</v>
      </c>
      <c r="X354" s="27" t="str">
        <f>"－"</f>
        <v>－</v>
      </c>
      <c r="Y354" s="27"/>
      <c r="Z354" s="25" t="str">
        <f>"－"</f>
        <v>－</v>
      </c>
      <c r="AA354" s="25" t="str">
        <f>"－"</f>
        <v>－</v>
      </c>
      <c r="AB354" s="2" t="s">
        <v>212</v>
      </c>
      <c r="AC354" s="26" t="n">
        <f>1</f>
        <v>1.0</v>
      </c>
      <c r="AD354" s="3" t="s">
        <v>156</v>
      </c>
      <c r="AE354" s="27" t="str">
        <f>"－"</f>
        <v>－</v>
      </c>
    </row>
    <row r="355">
      <c r="A355" s="20" t="s">
        <v>984</v>
      </c>
      <c r="B355" s="21" t="s">
        <v>985</v>
      </c>
      <c r="C355" s="22"/>
      <c r="D355" s="23"/>
      <c r="E355" s="24" t="s">
        <v>102</v>
      </c>
      <c r="F355" s="28" t="n">
        <f>124</f>
        <v>124.0</v>
      </c>
      <c r="G355" s="25" t="n">
        <f>200</f>
        <v>200.0</v>
      </c>
      <c r="H355" s="25"/>
      <c r="I355" s="25"/>
      <c r="J355" s="25" t="n">
        <f>2</f>
        <v>2.0</v>
      </c>
      <c r="K355" s="25"/>
      <c r="L355" s="2" t="s">
        <v>991</v>
      </c>
      <c r="M355" s="26" t="n">
        <f>26</f>
        <v>26.0</v>
      </c>
      <c r="N355" s="3" t="s">
        <v>215</v>
      </c>
      <c r="O355" s="27" t="str">
        <f>"－"</f>
        <v>－</v>
      </c>
      <c r="P355" s="29" t="s">
        <v>992</v>
      </c>
      <c r="Q355" s="25"/>
      <c r="R355" s="29"/>
      <c r="S355" s="25" t="n">
        <f>1605179</f>
        <v>1605179.0</v>
      </c>
      <c r="T355" s="25"/>
      <c r="U355" s="3" t="s">
        <v>991</v>
      </c>
      <c r="V355" s="27" t="n">
        <f>25489800</f>
        <v>2.54898E7</v>
      </c>
      <c r="W355" s="3" t="s">
        <v>215</v>
      </c>
      <c r="X355" s="27" t="str">
        <f>"－"</f>
        <v>－</v>
      </c>
      <c r="Y355" s="27"/>
      <c r="Z355" s="25" t="str">
        <f>"－"</f>
        <v>－</v>
      </c>
      <c r="AA355" s="25" t="str">
        <f>"－"</f>
        <v>－</v>
      </c>
      <c r="AB355" s="2" t="s">
        <v>864</v>
      </c>
      <c r="AC355" s="26" t="n">
        <f>10</f>
        <v>10.0</v>
      </c>
      <c r="AD355" s="3" t="s">
        <v>215</v>
      </c>
      <c r="AE355" s="27" t="str">
        <f>"－"</f>
        <v>－</v>
      </c>
    </row>
    <row r="356">
      <c r="A356" s="20" t="s">
        <v>984</v>
      </c>
      <c r="B356" s="21" t="s">
        <v>985</v>
      </c>
      <c r="C356" s="22"/>
      <c r="D356" s="23"/>
      <c r="E356" s="24" t="s">
        <v>107</v>
      </c>
      <c r="F356" s="28" t="n">
        <f>117</f>
        <v>117.0</v>
      </c>
      <c r="G356" s="25" t="n">
        <f>153</f>
        <v>153.0</v>
      </c>
      <c r="H356" s="25"/>
      <c r="I356" s="25"/>
      <c r="J356" s="25" t="n">
        <f>1</f>
        <v>1.0</v>
      </c>
      <c r="K356" s="25"/>
      <c r="L356" s="2" t="s">
        <v>932</v>
      </c>
      <c r="M356" s="26" t="n">
        <f>25</f>
        <v>25.0</v>
      </c>
      <c r="N356" s="3" t="s">
        <v>156</v>
      </c>
      <c r="O356" s="27" t="str">
        <f>"－"</f>
        <v>－</v>
      </c>
      <c r="P356" s="29" t="s">
        <v>993</v>
      </c>
      <c r="Q356" s="25"/>
      <c r="R356" s="29"/>
      <c r="S356" s="25" t="n">
        <f>1382441</f>
        <v>1382441.0</v>
      </c>
      <c r="T356" s="25"/>
      <c r="U356" s="3" t="s">
        <v>932</v>
      </c>
      <c r="V356" s="27" t="n">
        <f>26521500</f>
        <v>2.65215E7</v>
      </c>
      <c r="W356" s="3" t="s">
        <v>156</v>
      </c>
      <c r="X356" s="27" t="str">
        <f>"－"</f>
        <v>－</v>
      </c>
      <c r="Y356" s="27"/>
      <c r="Z356" s="25" t="str">
        <f>"－"</f>
        <v>－</v>
      </c>
      <c r="AA356" s="25" t="n">
        <f>5</f>
        <v>5.0</v>
      </c>
      <c r="AB356" s="2" t="s">
        <v>876</v>
      </c>
      <c r="AC356" s="26" t="n">
        <f>5</f>
        <v>5.0</v>
      </c>
      <c r="AD356" s="3" t="s">
        <v>156</v>
      </c>
      <c r="AE356" s="27" t="str">
        <f>"－"</f>
        <v>－</v>
      </c>
    </row>
    <row r="357">
      <c r="A357" s="20" t="s">
        <v>984</v>
      </c>
      <c r="B357" s="21" t="s">
        <v>985</v>
      </c>
      <c r="C357" s="22"/>
      <c r="D357" s="23"/>
      <c r="E357" s="24" t="s">
        <v>113</v>
      </c>
      <c r="F357" s="28" t="n">
        <f>124</f>
        <v>124.0</v>
      </c>
      <c r="G357" s="25" t="n">
        <f>89</f>
        <v>89.0</v>
      </c>
      <c r="H357" s="25"/>
      <c r="I357" s="25"/>
      <c r="J357" s="25" t="n">
        <f>1</f>
        <v>1.0</v>
      </c>
      <c r="K357" s="25"/>
      <c r="L357" s="2" t="s">
        <v>994</v>
      </c>
      <c r="M357" s="26" t="n">
        <f>20</f>
        <v>20.0</v>
      </c>
      <c r="N357" s="3" t="s">
        <v>68</v>
      </c>
      <c r="O357" s="27" t="str">
        <f>"－"</f>
        <v>－</v>
      </c>
      <c r="P357" s="29" t="s">
        <v>995</v>
      </c>
      <c r="Q357" s="25"/>
      <c r="R357" s="29"/>
      <c r="S357" s="25" t="n">
        <f>765112</f>
        <v>765112.0</v>
      </c>
      <c r="T357" s="25"/>
      <c r="U357" s="3" t="s">
        <v>994</v>
      </c>
      <c r="V357" s="27" t="n">
        <f>20654000</f>
        <v>2.0654E7</v>
      </c>
      <c r="W357" s="3" t="s">
        <v>68</v>
      </c>
      <c r="X357" s="27" t="str">
        <f>"－"</f>
        <v>－</v>
      </c>
      <c r="Y357" s="27"/>
      <c r="Z357" s="25" t="str">
        <f>"－"</f>
        <v>－</v>
      </c>
      <c r="AA357" s="25" t="str">
        <f>"－"</f>
        <v>－</v>
      </c>
      <c r="AB357" s="2" t="s">
        <v>68</v>
      </c>
      <c r="AC357" s="26" t="n">
        <f>5</f>
        <v>5.0</v>
      </c>
      <c r="AD357" s="3" t="s">
        <v>362</v>
      </c>
      <c r="AE357" s="27" t="str">
        <f>"－"</f>
        <v>－</v>
      </c>
    </row>
    <row r="358">
      <c r="A358" s="20" t="s">
        <v>984</v>
      </c>
      <c r="B358" s="21" t="s">
        <v>985</v>
      </c>
      <c r="C358" s="22"/>
      <c r="D358" s="23"/>
      <c r="E358" s="24" t="s">
        <v>119</v>
      </c>
      <c r="F358" s="28" t="n">
        <f>119</f>
        <v>119.0</v>
      </c>
      <c r="G358" s="25" t="n">
        <f>443</f>
        <v>443.0</v>
      </c>
      <c r="H358" s="25"/>
      <c r="I358" s="25"/>
      <c r="J358" s="25" t="n">
        <f>4</f>
        <v>4.0</v>
      </c>
      <c r="K358" s="25"/>
      <c r="L358" s="2" t="s">
        <v>765</v>
      </c>
      <c r="M358" s="26" t="n">
        <f>61</f>
        <v>61.0</v>
      </c>
      <c r="N358" s="3" t="s">
        <v>369</v>
      </c>
      <c r="O358" s="27" t="str">
        <f>"－"</f>
        <v>－</v>
      </c>
      <c r="P358" s="29" t="s">
        <v>996</v>
      </c>
      <c r="Q358" s="25"/>
      <c r="R358" s="29"/>
      <c r="S358" s="25" t="n">
        <f>3828476</f>
        <v>3828476.0</v>
      </c>
      <c r="T358" s="25"/>
      <c r="U358" s="3" t="s">
        <v>765</v>
      </c>
      <c r="V358" s="27" t="n">
        <f>57902200</f>
        <v>5.79022E7</v>
      </c>
      <c r="W358" s="3" t="s">
        <v>369</v>
      </c>
      <c r="X358" s="27" t="str">
        <f>"－"</f>
        <v>－</v>
      </c>
      <c r="Y358" s="27"/>
      <c r="Z358" s="25" t="str">
        <f>"－"</f>
        <v>－</v>
      </c>
      <c r="AA358" s="25" t="str">
        <f>"－"</f>
        <v>－</v>
      </c>
      <c r="AB358" s="2" t="s">
        <v>290</v>
      </c>
      <c r="AC358" s="26" t="n">
        <f>16</f>
        <v>16.0</v>
      </c>
      <c r="AD358" s="3" t="s">
        <v>328</v>
      </c>
      <c r="AE358" s="27" t="str">
        <f>"－"</f>
        <v>－</v>
      </c>
    </row>
    <row r="359">
      <c r="A359" s="20" t="s">
        <v>984</v>
      </c>
      <c r="B359" s="21" t="s">
        <v>985</v>
      </c>
      <c r="C359" s="22"/>
      <c r="D359" s="23"/>
      <c r="E359" s="24" t="s">
        <v>124</v>
      </c>
      <c r="F359" s="28" t="n">
        <f>124</f>
        <v>124.0</v>
      </c>
      <c r="G359" s="25" t="n">
        <f>348</f>
        <v>348.0</v>
      </c>
      <c r="H359" s="25"/>
      <c r="I359" s="25"/>
      <c r="J359" s="25" t="n">
        <f>3</f>
        <v>3.0</v>
      </c>
      <c r="K359" s="25"/>
      <c r="L359" s="2" t="s">
        <v>240</v>
      </c>
      <c r="M359" s="26" t="n">
        <f>30</f>
        <v>30.0</v>
      </c>
      <c r="N359" s="3" t="s">
        <v>68</v>
      </c>
      <c r="O359" s="27" t="str">
        <f>"－"</f>
        <v>－</v>
      </c>
      <c r="P359" s="29" t="s">
        <v>997</v>
      </c>
      <c r="Q359" s="25"/>
      <c r="R359" s="29"/>
      <c r="S359" s="25" t="n">
        <f>3616748</f>
        <v>3616748.0</v>
      </c>
      <c r="T359" s="25"/>
      <c r="U359" s="3" t="s">
        <v>240</v>
      </c>
      <c r="V359" s="27" t="n">
        <f>37961500</f>
        <v>3.79615E7</v>
      </c>
      <c r="W359" s="3" t="s">
        <v>68</v>
      </c>
      <c r="X359" s="27" t="str">
        <f>"－"</f>
        <v>－</v>
      </c>
      <c r="Y359" s="27"/>
      <c r="Z359" s="25" t="n">
        <f>50</f>
        <v>50.0</v>
      </c>
      <c r="AA359" s="25" t="str">
        <f>"－"</f>
        <v>－</v>
      </c>
      <c r="AB359" s="2" t="s">
        <v>545</v>
      </c>
      <c r="AC359" s="26" t="n">
        <f>5</f>
        <v>5.0</v>
      </c>
      <c r="AD359" s="3" t="s">
        <v>68</v>
      </c>
      <c r="AE359" s="27" t="str">
        <f>"－"</f>
        <v>－</v>
      </c>
    </row>
    <row r="360">
      <c r="A360" s="20" t="s">
        <v>984</v>
      </c>
      <c r="B360" s="21" t="s">
        <v>985</v>
      </c>
      <c r="C360" s="22"/>
      <c r="D360" s="23"/>
      <c r="E360" s="24" t="s">
        <v>130</v>
      </c>
      <c r="F360" s="28" t="n">
        <f>121</f>
        <v>121.0</v>
      </c>
      <c r="G360" s="25" t="n">
        <f>596</f>
        <v>596.0</v>
      </c>
      <c r="H360" s="25"/>
      <c r="I360" s="25"/>
      <c r="J360" s="25" t="n">
        <f>5</f>
        <v>5.0</v>
      </c>
      <c r="K360" s="25"/>
      <c r="L360" s="2" t="s">
        <v>863</v>
      </c>
      <c r="M360" s="26" t="n">
        <f>115</f>
        <v>115.0</v>
      </c>
      <c r="N360" s="3" t="s">
        <v>156</v>
      </c>
      <c r="O360" s="27" t="str">
        <f>"－"</f>
        <v>－</v>
      </c>
      <c r="P360" s="29" t="s">
        <v>998</v>
      </c>
      <c r="Q360" s="25"/>
      <c r="R360" s="29"/>
      <c r="S360" s="25" t="n">
        <f>7765442</f>
        <v>7765442.0</v>
      </c>
      <c r="T360" s="25"/>
      <c r="U360" s="3" t="s">
        <v>863</v>
      </c>
      <c r="V360" s="27" t="n">
        <f>178337000</f>
        <v>1.78337E8</v>
      </c>
      <c r="W360" s="3" t="s">
        <v>156</v>
      </c>
      <c r="X360" s="27" t="str">
        <f>"－"</f>
        <v>－</v>
      </c>
      <c r="Y360" s="27"/>
      <c r="Z360" s="25" t="n">
        <f>455</f>
        <v>455.0</v>
      </c>
      <c r="AA360" s="25" t="str">
        <f>"－"</f>
        <v>－</v>
      </c>
      <c r="AB360" s="2" t="s">
        <v>120</v>
      </c>
      <c r="AC360" s="26" t="n">
        <f>10</f>
        <v>10.0</v>
      </c>
      <c r="AD360" s="3" t="s">
        <v>156</v>
      </c>
      <c r="AE360" s="27" t="str">
        <f>"－"</f>
        <v>－</v>
      </c>
    </row>
    <row r="361">
      <c r="A361" s="20" t="s">
        <v>984</v>
      </c>
      <c r="B361" s="21" t="s">
        <v>985</v>
      </c>
      <c r="C361" s="22"/>
      <c r="D361" s="23"/>
      <c r="E361" s="24" t="s">
        <v>136</v>
      </c>
      <c r="F361" s="28" t="n">
        <f>124</f>
        <v>124.0</v>
      </c>
      <c r="G361" s="25" t="str">
        <f>"－"</f>
        <v>－</v>
      </c>
      <c r="H361" s="25"/>
      <c r="I361" s="25"/>
      <c r="J361" s="25" t="str">
        <f>"－"</f>
        <v>－</v>
      </c>
      <c r="K361" s="25"/>
      <c r="L361" s="2" t="s">
        <v>68</v>
      </c>
      <c r="M361" s="26" t="str">
        <f>"－"</f>
        <v>－</v>
      </c>
      <c r="N361" s="3" t="s">
        <v>68</v>
      </c>
      <c r="O361" s="27" t="str">
        <f>"－"</f>
        <v>－</v>
      </c>
      <c r="P361" s="29" t="s">
        <v>262</v>
      </c>
      <c r="Q361" s="25"/>
      <c r="R361" s="29"/>
      <c r="S361" s="25" t="str">
        <f>"－"</f>
        <v>－</v>
      </c>
      <c r="T361" s="25"/>
      <c r="U361" s="3" t="s">
        <v>68</v>
      </c>
      <c r="V361" s="27" t="str">
        <f>"－"</f>
        <v>－</v>
      </c>
      <c r="W361" s="3" t="s">
        <v>68</v>
      </c>
      <c r="X361" s="27" t="str">
        <f>"－"</f>
        <v>－</v>
      </c>
      <c r="Y361" s="27"/>
      <c r="Z361" s="25" t="str">
        <f>"－"</f>
        <v>－</v>
      </c>
      <c r="AA361" s="25" t="str">
        <f>"－"</f>
        <v>－</v>
      </c>
      <c r="AB361" s="2" t="s">
        <v>68</v>
      </c>
      <c r="AC361" s="26" t="str">
        <f>"－"</f>
        <v>－</v>
      </c>
      <c r="AD361" s="3" t="s">
        <v>68</v>
      </c>
      <c r="AE361" s="27" t="str">
        <f>"－"</f>
        <v>－</v>
      </c>
    </row>
    <row r="362">
      <c r="A362" s="20" t="s">
        <v>984</v>
      </c>
      <c r="B362" s="21" t="s">
        <v>985</v>
      </c>
      <c r="C362" s="22"/>
      <c r="D362" s="23"/>
      <c r="E362" s="24" t="s">
        <v>142</v>
      </c>
      <c r="F362" s="28" t="n">
        <f>120</f>
        <v>120.0</v>
      </c>
      <c r="G362" s="25" t="str">
        <f>"－"</f>
        <v>－</v>
      </c>
      <c r="H362" s="25"/>
      <c r="I362" s="25"/>
      <c r="J362" s="25" t="str">
        <f>"－"</f>
        <v>－</v>
      </c>
      <c r="K362" s="25"/>
      <c r="L362" s="2" t="s">
        <v>156</v>
      </c>
      <c r="M362" s="26" t="str">
        <f>"－"</f>
        <v>－</v>
      </c>
      <c r="N362" s="3" t="s">
        <v>156</v>
      </c>
      <c r="O362" s="27" t="str">
        <f>"－"</f>
        <v>－</v>
      </c>
      <c r="P362" s="29" t="s">
        <v>262</v>
      </c>
      <c r="Q362" s="25"/>
      <c r="R362" s="29"/>
      <c r="S362" s="25" t="str">
        <f>"－"</f>
        <v>－</v>
      </c>
      <c r="T362" s="25"/>
      <c r="U362" s="3" t="s">
        <v>156</v>
      </c>
      <c r="V362" s="27" t="str">
        <f>"－"</f>
        <v>－</v>
      </c>
      <c r="W362" s="3" t="s">
        <v>156</v>
      </c>
      <c r="X362" s="27" t="str">
        <f>"－"</f>
        <v>－</v>
      </c>
      <c r="Y362" s="27"/>
      <c r="Z362" s="25" t="str">
        <f>"－"</f>
        <v>－</v>
      </c>
      <c r="AA362" s="25" t="str">
        <f>"－"</f>
        <v>－</v>
      </c>
      <c r="AB362" s="2" t="s">
        <v>156</v>
      </c>
      <c r="AC362" s="26" t="str">
        <f>"－"</f>
        <v>－</v>
      </c>
      <c r="AD362" s="3" t="s">
        <v>156</v>
      </c>
      <c r="AE362" s="27" t="str">
        <f>"－"</f>
        <v>－</v>
      </c>
    </row>
    <row r="363">
      <c r="A363" s="20" t="s">
        <v>984</v>
      </c>
      <c r="B363" s="21" t="s">
        <v>985</v>
      </c>
      <c r="C363" s="22"/>
      <c r="D363" s="23"/>
      <c r="E363" s="24" t="s">
        <v>148</v>
      </c>
      <c r="F363" s="28" t="n">
        <f>124</f>
        <v>124.0</v>
      </c>
      <c r="G363" s="25" t="str">
        <f>"－"</f>
        <v>－</v>
      </c>
      <c r="H363" s="25"/>
      <c r="I363" s="25"/>
      <c r="J363" s="25" t="str">
        <f>"－"</f>
        <v>－</v>
      </c>
      <c r="K363" s="25"/>
      <c r="L363" s="2" t="s">
        <v>68</v>
      </c>
      <c r="M363" s="26" t="str">
        <f>"－"</f>
        <v>－</v>
      </c>
      <c r="N363" s="3" t="s">
        <v>68</v>
      </c>
      <c r="O363" s="27" t="str">
        <f>"－"</f>
        <v>－</v>
      </c>
      <c r="P363" s="29" t="s">
        <v>262</v>
      </c>
      <c r="Q363" s="25"/>
      <c r="R363" s="29"/>
      <c r="S363" s="25" t="str">
        <f>"－"</f>
        <v>－</v>
      </c>
      <c r="T363" s="25"/>
      <c r="U363" s="3" t="s">
        <v>68</v>
      </c>
      <c r="V363" s="27" t="str">
        <f>"－"</f>
        <v>－</v>
      </c>
      <c r="W363" s="3" t="s">
        <v>68</v>
      </c>
      <c r="X363" s="27" t="str">
        <f>"－"</f>
        <v>－</v>
      </c>
      <c r="Y363" s="27"/>
      <c r="Z363" s="25" t="str">
        <f>"－"</f>
        <v>－</v>
      </c>
      <c r="AA363" s="25" t="str">
        <f>"－"</f>
        <v>－</v>
      </c>
      <c r="AB363" s="2" t="s">
        <v>68</v>
      </c>
      <c r="AC363" s="26" t="str">
        <f>"－"</f>
        <v>－</v>
      </c>
      <c r="AD363" s="3" t="s">
        <v>68</v>
      </c>
      <c r="AE363" s="27" t="str">
        <f>"－"</f>
        <v>－</v>
      </c>
    </row>
    <row r="364">
      <c r="A364" s="20" t="s">
        <v>984</v>
      </c>
      <c r="B364" s="21" t="s">
        <v>985</v>
      </c>
      <c r="C364" s="22"/>
      <c r="D364" s="23"/>
      <c r="E364" s="24" t="s">
        <v>151</v>
      </c>
      <c r="F364" s="28" t="n">
        <f>122</f>
        <v>122.0</v>
      </c>
      <c r="G364" s="25" t="str">
        <f>"－"</f>
        <v>－</v>
      </c>
      <c r="H364" s="25"/>
      <c r="I364" s="25"/>
      <c r="J364" s="25" t="str">
        <f>"－"</f>
        <v>－</v>
      </c>
      <c r="K364" s="25"/>
      <c r="L364" s="2" t="s">
        <v>156</v>
      </c>
      <c r="M364" s="26" t="str">
        <f>"－"</f>
        <v>－</v>
      </c>
      <c r="N364" s="3" t="s">
        <v>156</v>
      </c>
      <c r="O364" s="27" t="str">
        <f>"－"</f>
        <v>－</v>
      </c>
      <c r="P364" s="29" t="s">
        <v>262</v>
      </c>
      <c r="Q364" s="25"/>
      <c r="R364" s="29"/>
      <c r="S364" s="25" t="str">
        <f>"－"</f>
        <v>－</v>
      </c>
      <c r="T364" s="25"/>
      <c r="U364" s="3" t="s">
        <v>156</v>
      </c>
      <c r="V364" s="27" t="str">
        <f>"－"</f>
        <v>－</v>
      </c>
      <c r="W364" s="3" t="s">
        <v>156</v>
      </c>
      <c r="X364" s="27" t="str">
        <f>"－"</f>
        <v>－</v>
      </c>
      <c r="Y364" s="27"/>
      <c r="Z364" s="25" t="str">
        <f>"－"</f>
        <v>－</v>
      </c>
      <c r="AA364" s="25" t="str">
        <f>"－"</f>
        <v>－</v>
      </c>
      <c r="AB364" s="2" t="s">
        <v>156</v>
      </c>
      <c r="AC364" s="26" t="str">
        <f>"－"</f>
        <v>－</v>
      </c>
      <c r="AD364" s="3" t="s">
        <v>156</v>
      </c>
      <c r="AE364" s="27" t="str">
        <f>"－"</f>
        <v>－</v>
      </c>
    </row>
    <row r="365">
      <c r="A365" s="20" t="s">
        <v>984</v>
      </c>
      <c r="B365" s="21" t="s">
        <v>985</v>
      </c>
      <c r="C365" s="22"/>
      <c r="D365" s="23"/>
      <c r="E365" s="24" t="s">
        <v>157</v>
      </c>
      <c r="F365" s="28" t="n">
        <f>124</f>
        <v>124.0</v>
      </c>
      <c r="G365" s="25" t="str">
        <f>"－"</f>
        <v>－</v>
      </c>
      <c r="H365" s="25"/>
      <c r="I365" s="25"/>
      <c r="J365" s="25" t="str">
        <f>"－"</f>
        <v>－</v>
      </c>
      <c r="K365" s="25"/>
      <c r="L365" s="2" t="s">
        <v>633</v>
      </c>
      <c r="M365" s="26" t="str">
        <f>"－"</f>
        <v>－</v>
      </c>
      <c r="N365" s="3" t="s">
        <v>633</v>
      </c>
      <c r="O365" s="27" t="str">
        <f>"－"</f>
        <v>－</v>
      </c>
      <c r="P365" s="29" t="s">
        <v>262</v>
      </c>
      <c r="Q365" s="25"/>
      <c r="R365" s="29"/>
      <c r="S365" s="25" t="str">
        <f>"－"</f>
        <v>－</v>
      </c>
      <c r="T365" s="25"/>
      <c r="U365" s="3" t="s">
        <v>633</v>
      </c>
      <c r="V365" s="27" t="str">
        <f>"－"</f>
        <v>－</v>
      </c>
      <c r="W365" s="3" t="s">
        <v>633</v>
      </c>
      <c r="X365" s="27" t="str">
        <f>"－"</f>
        <v>－</v>
      </c>
      <c r="Y365" s="27"/>
      <c r="Z365" s="25" t="str">
        <f>"－"</f>
        <v>－</v>
      </c>
      <c r="AA365" s="25" t="str">
        <f>"－"</f>
        <v>－</v>
      </c>
      <c r="AB365" s="2" t="s">
        <v>633</v>
      </c>
      <c r="AC365" s="26" t="str">
        <f>"－"</f>
        <v>－</v>
      </c>
      <c r="AD365" s="3" t="s">
        <v>633</v>
      </c>
      <c r="AE365" s="27" t="str">
        <f>"－"</f>
        <v>－</v>
      </c>
    </row>
    <row r="366">
      <c r="A366" s="20" t="s">
        <v>984</v>
      </c>
      <c r="B366" s="21" t="s">
        <v>985</v>
      </c>
      <c r="C366" s="22"/>
      <c r="D366" s="23"/>
      <c r="E366" s="24" t="s">
        <v>160</v>
      </c>
      <c r="F366" s="28" t="n">
        <f>58</f>
        <v>58.0</v>
      </c>
      <c r="G366" s="25" t="str">
        <f>"－"</f>
        <v>－</v>
      </c>
      <c r="H366" s="25"/>
      <c r="I366" s="25"/>
      <c r="J366" s="25" t="str">
        <f>"－"</f>
        <v>－</v>
      </c>
      <c r="K366" s="25"/>
      <c r="L366" s="2" t="s">
        <v>156</v>
      </c>
      <c r="M366" s="26" t="str">
        <f>"－"</f>
        <v>－</v>
      </c>
      <c r="N366" s="3" t="s">
        <v>156</v>
      </c>
      <c r="O366" s="27" t="str">
        <f>"－"</f>
        <v>－</v>
      </c>
      <c r="P366" s="29" t="s">
        <v>262</v>
      </c>
      <c r="Q366" s="25"/>
      <c r="R366" s="29"/>
      <c r="S366" s="25" t="str">
        <f>"－"</f>
        <v>－</v>
      </c>
      <c r="T366" s="25"/>
      <c r="U366" s="3" t="s">
        <v>156</v>
      </c>
      <c r="V366" s="27" t="str">
        <f>"－"</f>
        <v>－</v>
      </c>
      <c r="W366" s="3" t="s">
        <v>156</v>
      </c>
      <c r="X366" s="27" t="str">
        <f>"－"</f>
        <v>－</v>
      </c>
      <c r="Y366" s="27"/>
      <c r="Z366" s="25" t="str">
        <f>"－"</f>
        <v>－</v>
      </c>
      <c r="AA366" s="25" t="str">
        <f>"－"</f>
        <v>－</v>
      </c>
      <c r="AB366" s="2" t="s">
        <v>156</v>
      </c>
      <c r="AC366" s="26" t="str">
        <f>"－"</f>
        <v>－</v>
      </c>
      <c r="AD366" s="3" t="s">
        <v>156</v>
      </c>
      <c r="AE366" s="27" t="str">
        <f>"－"</f>
        <v>－</v>
      </c>
    </row>
    <row r="367">
      <c r="A367" s="20" t="s">
        <v>999</v>
      </c>
      <c r="B367" s="21" t="s">
        <v>1000</v>
      </c>
      <c r="C367" s="22"/>
      <c r="D367" s="23"/>
      <c r="E367" s="24" t="s">
        <v>76</v>
      </c>
      <c r="F367" s="28" t="n">
        <f>112</f>
        <v>112.0</v>
      </c>
      <c r="G367" s="25" t="str">
        <f>"－"</f>
        <v>－</v>
      </c>
      <c r="H367" s="25"/>
      <c r="I367" s="25" t="str">
        <f>"－"</f>
        <v>－</v>
      </c>
      <c r="J367" s="25" t="str">
        <f>"－"</f>
        <v>－</v>
      </c>
      <c r="K367" s="25" t="str">
        <f>"－"</f>
        <v>－</v>
      </c>
      <c r="L367" s="2" t="s">
        <v>224</v>
      </c>
      <c r="M367" s="26" t="str">
        <f>"－"</f>
        <v>－</v>
      </c>
      <c r="N367" s="3" t="s">
        <v>224</v>
      </c>
      <c r="O367" s="27" t="str">
        <f>"－"</f>
        <v>－</v>
      </c>
      <c r="P367" s="29" t="s">
        <v>262</v>
      </c>
      <c r="Q367" s="25"/>
      <c r="R367" s="29" t="s">
        <v>262</v>
      </c>
      <c r="S367" s="25" t="str">
        <f>"－"</f>
        <v>－</v>
      </c>
      <c r="T367" s="25" t="str">
        <f>"－"</f>
        <v>－</v>
      </c>
      <c r="U367" s="3" t="s">
        <v>224</v>
      </c>
      <c r="V367" s="27" t="str">
        <f>"－"</f>
        <v>－</v>
      </c>
      <c r="W367" s="3" t="s">
        <v>224</v>
      </c>
      <c r="X367" s="27" t="str">
        <f>"－"</f>
        <v>－</v>
      </c>
      <c r="Y367" s="27"/>
      <c r="Z367" s="25" t="str">
        <f>"－"</f>
        <v>－</v>
      </c>
      <c r="AA367" s="25" t="str">
        <f>"－"</f>
        <v>－</v>
      </c>
      <c r="AB367" s="2" t="s">
        <v>224</v>
      </c>
      <c r="AC367" s="26" t="str">
        <f>"－"</f>
        <v>－</v>
      </c>
      <c r="AD367" s="3" t="s">
        <v>224</v>
      </c>
      <c r="AE367" s="27" t="str">
        <f>"－"</f>
        <v>－</v>
      </c>
    </row>
    <row r="368">
      <c r="A368" s="20" t="s">
        <v>999</v>
      </c>
      <c r="B368" s="21" t="s">
        <v>1000</v>
      </c>
      <c r="C368" s="22"/>
      <c r="D368" s="23"/>
      <c r="E368" s="24" t="s">
        <v>83</v>
      </c>
      <c r="F368" s="28" t="n">
        <f>123</f>
        <v>123.0</v>
      </c>
      <c r="G368" s="25" t="str">
        <f>"－"</f>
        <v>－</v>
      </c>
      <c r="H368" s="25"/>
      <c r="I368" s="25" t="str">
        <f>"－"</f>
        <v>－</v>
      </c>
      <c r="J368" s="25" t="str">
        <f>"－"</f>
        <v>－</v>
      </c>
      <c r="K368" s="25" t="str">
        <f>"－"</f>
        <v>－</v>
      </c>
      <c r="L368" s="2" t="s">
        <v>156</v>
      </c>
      <c r="M368" s="26" t="str">
        <f>"－"</f>
        <v>－</v>
      </c>
      <c r="N368" s="3" t="s">
        <v>156</v>
      </c>
      <c r="O368" s="27" t="str">
        <f>"－"</f>
        <v>－</v>
      </c>
      <c r="P368" s="29" t="s">
        <v>262</v>
      </c>
      <c r="Q368" s="25"/>
      <c r="R368" s="29" t="s">
        <v>262</v>
      </c>
      <c r="S368" s="25" t="str">
        <f>"－"</f>
        <v>－</v>
      </c>
      <c r="T368" s="25" t="str">
        <f>"－"</f>
        <v>－</v>
      </c>
      <c r="U368" s="3" t="s">
        <v>156</v>
      </c>
      <c r="V368" s="27" t="str">
        <f>"－"</f>
        <v>－</v>
      </c>
      <c r="W368" s="3" t="s">
        <v>156</v>
      </c>
      <c r="X368" s="27" t="str">
        <f>"－"</f>
        <v>－</v>
      </c>
      <c r="Y368" s="27"/>
      <c r="Z368" s="25" t="str">
        <f>"－"</f>
        <v>－</v>
      </c>
      <c r="AA368" s="25" t="str">
        <f>"－"</f>
        <v>－</v>
      </c>
      <c r="AB368" s="2" t="s">
        <v>156</v>
      </c>
      <c r="AC368" s="26" t="str">
        <f>"－"</f>
        <v>－</v>
      </c>
      <c r="AD368" s="3" t="s">
        <v>156</v>
      </c>
      <c r="AE368" s="27" t="str">
        <f>"－"</f>
        <v>－</v>
      </c>
    </row>
    <row r="369">
      <c r="A369" s="20" t="s">
        <v>999</v>
      </c>
      <c r="B369" s="21" t="s">
        <v>1000</v>
      </c>
      <c r="C369" s="22"/>
      <c r="D369" s="23"/>
      <c r="E369" s="24" t="s">
        <v>89</v>
      </c>
      <c r="F369" s="28" t="n">
        <f>124</f>
        <v>124.0</v>
      </c>
      <c r="G369" s="25" t="str">
        <f>"－"</f>
        <v>－</v>
      </c>
      <c r="H369" s="25"/>
      <c r="I369" s="25" t="str">
        <f>"－"</f>
        <v>－</v>
      </c>
      <c r="J369" s="25" t="str">
        <f>"－"</f>
        <v>－</v>
      </c>
      <c r="K369" s="25" t="str">
        <f>"－"</f>
        <v>－</v>
      </c>
      <c r="L369" s="2" t="s">
        <v>633</v>
      </c>
      <c r="M369" s="26" t="str">
        <f>"－"</f>
        <v>－</v>
      </c>
      <c r="N369" s="3" t="s">
        <v>633</v>
      </c>
      <c r="O369" s="27" t="str">
        <f>"－"</f>
        <v>－</v>
      </c>
      <c r="P369" s="29" t="s">
        <v>262</v>
      </c>
      <c r="Q369" s="25"/>
      <c r="R369" s="29" t="s">
        <v>262</v>
      </c>
      <c r="S369" s="25" t="str">
        <f>"－"</f>
        <v>－</v>
      </c>
      <c r="T369" s="25" t="str">
        <f>"－"</f>
        <v>－</v>
      </c>
      <c r="U369" s="3" t="s">
        <v>633</v>
      </c>
      <c r="V369" s="27" t="str">
        <f>"－"</f>
        <v>－</v>
      </c>
      <c r="W369" s="3" t="s">
        <v>633</v>
      </c>
      <c r="X369" s="27" t="str">
        <f>"－"</f>
        <v>－</v>
      </c>
      <c r="Y369" s="27"/>
      <c r="Z369" s="25" t="str">
        <f>"－"</f>
        <v>－</v>
      </c>
      <c r="AA369" s="25" t="str">
        <f>"－"</f>
        <v>－</v>
      </c>
      <c r="AB369" s="2" t="s">
        <v>633</v>
      </c>
      <c r="AC369" s="26" t="str">
        <f>"－"</f>
        <v>－</v>
      </c>
      <c r="AD369" s="3" t="s">
        <v>633</v>
      </c>
      <c r="AE369" s="27" t="str">
        <f>"－"</f>
        <v>－</v>
      </c>
    </row>
    <row r="370">
      <c r="A370" s="20" t="s">
        <v>999</v>
      </c>
      <c r="B370" s="21" t="s">
        <v>1000</v>
      </c>
      <c r="C370" s="22"/>
      <c r="D370" s="23"/>
      <c r="E370" s="24" t="s">
        <v>96</v>
      </c>
      <c r="F370" s="28" t="n">
        <f>121</f>
        <v>121.0</v>
      </c>
      <c r="G370" s="25" t="str">
        <f>"－"</f>
        <v>－</v>
      </c>
      <c r="H370" s="25"/>
      <c r="I370" s="25" t="str">
        <f>"－"</f>
        <v>－</v>
      </c>
      <c r="J370" s="25" t="str">
        <f>"－"</f>
        <v>－</v>
      </c>
      <c r="K370" s="25" t="str">
        <f>"－"</f>
        <v>－</v>
      </c>
      <c r="L370" s="2" t="s">
        <v>156</v>
      </c>
      <c r="M370" s="26" t="str">
        <f>"－"</f>
        <v>－</v>
      </c>
      <c r="N370" s="3" t="s">
        <v>156</v>
      </c>
      <c r="O370" s="27" t="str">
        <f>"－"</f>
        <v>－</v>
      </c>
      <c r="P370" s="29" t="s">
        <v>262</v>
      </c>
      <c r="Q370" s="25"/>
      <c r="R370" s="29" t="s">
        <v>262</v>
      </c>
      <c r="S370" s="25" t="str">
        <f>"－"</f>
        <v>－</v>
      </c>
      <c r="T370" s="25" t="str">
        <f>"－"</f>
        <v>－</v>
      </c>
      <c r="U370" s="3" t="s">
        <v>156</v>
      </c>
      <c r="V370" s="27" t="str">
        <f>"－"</f>
        <v>－</v>
      </c>
      <c r="W370" s="3" t="s">
        <v>156</v>
      </c>
      <c r="X370" s="27" t="str">
        <f>"－"</f>
        <v>－</v>
      </c>
      <c r="Y370" s="27"/>
      <c r="Z370" s="25" t="str">
        <f>"－"</f>
        <v>－</v>
      </c>
      <c r="AA370" s="25" t="str">
        <f>"－"</f>
        <v>－</v>
      </c>
      <c r="AB370" s="2" t="s">
        <v>156</v>
      </c>
      <c r="AC370" s="26" t="str">
        <f>"－"</f>
        <v>－</v>
      </c>
      <c r="AD370" s="3" t="s">
        <v>156</v>
      </c>
      <c r="AE370" s="27" t="str">
        <f>"－"</f>
        <v>－</v>
      </c>
    </row>
    <row r="371">
      <c r="A371" s="20" t="s">
        <v>999</v>
      </c>
      <c r="B371" s="21" t="s">
        <v>1000</v>
      </c>
      <c r="C371" s="22"/>
      <c r="D371" s="23"/>
      <c r="E371" s="24" t="s">
        <v>102</v>
      </c>
      <c r="F371" s="28" t="n">
        <f>124</f>
        <v>124.0</v>
      </c>
      <c r="G371" s="25" t="n">
        <f>4</f>
        <v>4.0</v>
      </c>
      <c r="H371" s="25"/>
      <c r="I371" s="25" t="str">
        <f>"－"</f>
        <v>－</v>
      </c>
      <c r="J371" s="25" t="n">
        <f>0</f>
        <v>0.0</v>
      </c>
      <c r="K371" s="25" t="str">
        <f>"－"</f>
        <v>－</v>
      </c>
      <c r="L371" s="2" t="s">
        <v>373</v>
      </c>
      <c r="M371" s="26" t="n">
        <f>2</f>
        <v>2.0</v>
      </c>
      <c r="N371" s="3" t="s">
        <v>215</v>
      </c>
      <c r="O371" s="27" t="str">
        <f>"－"</f>
        <v>－</v>
      </c>
      <c r="P371" s="29" t="s">
        <v>1001</v>
      </c>
      <c r="Q371" s="25"/>
      <c r="R371" s="29" t="s">
        <v>262</v>
      </c>
      <c r="S371" s="25" t="n">
        <f>62919</f>
        <v>62919.0</v>
      </c>
      <c r="T371" s="25" t="str">
        <f>"－"</f>
        <v>－</v>
      </c>
      <c r="U371" s="3" t="s">
        <v>373</v>
      </c>
      <c r="V371" s="27" t="n">
        <f>4120000</f>
        <v>4120000.0</v>
      </c>
      <c r="W371" s="3" t="s">
        <v>215</v>
      </c>
      <c r="X371" s="27" t="str">
        <f>"－"</f>
        <v>－</v>
      </c>
      <c r="Y371" s="27"/>
      <c r="Z371" s="25" t="str">
        <f>"－"</f>
        <v>－</v>
      </c>
      <c r="AA371" s="25" t="str">
        <f>"－"</f>
        <v>－</v>
      </c>
      <c r="AB371" s="2" t="s">
        <v>373</v>
      </c>
      <c r="AC371" s="26" t="n">
        <f>2</f>
        <v>2.0</v>
      </c>
      <c r="AD371" s="3" t="s">
        <v>215</v>
      </c>
      <c r="AE371" s="27" t="str">
        <f>"－"</f>
        <v>－</v>
      </c>
    </row>
    <row r="372">
      <c r="A372" s="20" t="s">
        <v>999</v>
      </c>
      <c r="B372" s="21" t="s">
        <v>1000</v>
      </c>
      <c r="C372" s="22"/>
      <c r="D372" s="23"/>
      <c r="E372" s="24" t="s">
        <v>107</v>
      </c>
      <c r="F372" s="28" t="n">
        <f>117</f>
        <v>117.0</v>
      </c>
      <c r="G372" s="25" t="str">
        <f>"－"</f>
        <v>－</v>
      </c>
      <c r="H372" s="25"/>
      <c r="I372" s="25" t="str">
        <f>"－"</f>
        <v>－</v>
      </c>
      <c r="J372" s="25" t="str">
        <f>"－"</f>
        <v>－</v>
      </c>
      <c r="K372" s="25" t="str">
        <f>"－"</f>
        <v>－</v>
      </c>
      <c r="L372" s="2" t="s">
        <v>156</v>
      </c>
      <c r="M372" s="26" t="str">
        <f>"－"</f>
        <v>－</v>
      </c>
      <c r="N372" s="3" t="s">
        <v>156</v>
      </c>
      <c r="O372" s="27" t="str">
        <f>"－"</f>
        <v>－</v>
      </c>
      <c r="P372" s="29" t="s">
        <v>262</v>
      </c>
      <c r="Q372" s="25"/>
      <c r="R372" s="29" t="s">
        <v>262</v>
      </c>
      <c r="S372" s="25" t="str">
        <f>"－"</f>
        <v>－</v>
      </c>
      <c r="T372" s="25" t="str">
        <f>"－"</f>
        <v>－</v>
      </c>
      <c r="U372" s="3" t="s">
        <v>156</v>
      </c>
      <c r="V372" s="27" t="str">
        <f>"－"</f>
        <v>－</v>
      </c>
      <c r="W372" s="3" t="s">
        <v>156</v>
      </c>
      <c r="X372" s="27" t="str">
        <f>"－"</f>
        <v>－</v>
      </c>
      <c r="Y372" s="27"/>
      <c r="Z372" s="25" t="str">
        <f>"－"</f>
        <v>－</v>
      </c>
      <c r="AA372" s="25" t="str">
        <f>"－"</f>
        <v>－</v>
      </c>
      <c r="AB372" s="2" t="s">
        <v>156</v>
      </c>
      <c r="AC372" s="26" t="str">
        <f>"－"</f>
        <v>－</v>
      </c>
      <c r="AD372" s="3" t="s">
        <v>156</v>
      </c>
      <c r="AE372" s="27" t="str">
        <f>"－"</f>
        <v>－</v>
      </c>
    </row>
    <row r="373">
      <c r="A373" s="20" t="s">
        <v>999</v>
      </c>
      <c r="B373" s="21" t="s">
        <v>1000</v>
      </c>
      <c r="C373" s="22"/>
      <c r="D373" s="23"/>
      <c r="E373" s="24" t="s">
        <v>113</v>
      </c>
      <c r="F373" s="28" t="n">
        <f>124</f>
        <v>124.0</v>
      </c>
      <c r="G373" s="25" t="n">
        <f>3</f>
        <v>3.0</v>
      </c>
      <c r="H373" s="25"/>
      <c r="I373" s="25" t="str">
        <f>"－"</f>
        <v>－</v>
      </c>
      <c r="J373" s="25" t="n">
        <f>0</f>
        <v>0.0</v>
      </c>
      <c r="K373" s="25" t="str">
        <f>"－"</f>
        <v>－</v>
      </c>
      <c r="L373" s="2" t="s">
        <v>1002</v>
      </c>
      <c r="M373" s="26" t="n">
        <f>2</f>
        <v>2.0</v>
      </c>
      <c r="N373" s="3" t="s">
        <v>68</v>
      </c>
      <c r="O373" s="27" t="str">
        <f>"－"</f>
        <v>－</v>
      </c>
      <c r="P373" s="29" t="s">
        <v>1003</v>
      </c>
      <c r="Q373" s="25"/>
      <c r="R373" s="29" t="s">
        <v>262</v>
      </c>
      <c r="S373" s="25" t="n">
        <f>43516</f>
        <v>43516.0</v>
      </c>
      <c r="T373" s="25" t="str">
        <f>"－"</f>
        <v>－</v>
      </c>
      <c r="U373" s="3" t="s">
        <v>1002</v>
      </c>
      <c r="V373" s="27" t="n">
        <f>3689500</f>
        <v>3689500.0</v>
      </c>
      <c r="W373" s="3" t="s">
        <v>68</v>
      </c>
      <c r="X373" s="27" t="str">
        <f>"－"</f>
        <v>－</v>
      </c>
      <c r="Y373" s="27"/>
      <c r="Z373" s="25" t="str">
        <f>"－"</f>
        <v>－</v>
      </c>
      <c r="AA373" s="25" t="str">
        <f>"－"</f>
        <v>－</v>
      </c>
      <c r="AB373" s="2" t="s">
        <v>1002</v>
      </c>
      <c r="AC373" s="26" t="n">
        <f>1</f>
        <v>1.0</v>
      </c>
      <c r="AD373" s="3" t="s">
        <v>68</v>
      </c>
      <c r="AE373" s="27" t="str">
        <f>"－"</f>
        <v>－</v>
      </c>
    </row>
    <row r="374">
      <c r="A374" s="20" t="s">
        <v>999</v>
      </c>
      <c r="B374" s="21" t="s">
        <v>1000</v>
      </c>
      <c r="C374" s="22"/>
      <c r="D374" s="23"/>
      <c r="E374" s="24" t="s">
        <v>119</v>
      </c>
      <c r="F374" s="28" t="n">
        <f>119</f>
        <v>119.0</v>
      </c>
      <c r="G374" s="25" t="str">
        <f>"－"</f>
        <v>－</v>
      </c>
      <c r="H374" s="25"/>
      <c r="I374" s="25" t="str">
        <f>"－"</f>
        <v>－</v>
      </c>
      <c r="J374" s="25" t="str">
        <f>"－"</f>
        <v>－</v>
      </c>
      <c r="K374" s="25" t="str">
        <f>"－"</f>
        <v>－</v>
      </c>
      <c r="L374" s="2" t="s">
        <v>328</v>
      </c>
      <c r="M374" s="26" t="str">
        <f>"－"</f>
        <v>－</v>
      </c>
      <c r="N374" s="3" t="s">
        <v>328</v>
      </c>
      <c r="O374" s="27" t="str">
        <f>"－"</f>
        <v>－</v>
      </c>
      <c r="P374" s="29" t="s">
        <v>262</v>
      </c>
      <c r="Q374" s="25"/>
      <c r="R374" s="29" t="s">
        <v>262</v>
      </c>
      <c r="S374" s="25" t="str">
        <f>"－"</f>
        <v>－</v>
      </c>
      <c r="T374" s="25" t="str">
        <f>"－"</f>
        <v>－</v>
      </c>
      <c r="U374" s="3" t="s">
        <v>328</v>
      </c>
      <c r="V374" s="27" t="str">
        <f>"－"</f>
        <v>－</v>
      </c>
      <c r="W374" s="3" t="s">
        <v>328</v>
      </c>
      <c r="X374" s="27" t="str">
        <f>"－"</f>
        <v>－</v>
      </c>
      <c r="Y374" s="27"/>
      <c r="Z374" s="25" t="str">
        <f>"－"</f>
        <v>－</v>
      </c>
      <c r="AA374" s="25" t="str">
        <f>"－"</f>
        <v>－</v>
      </c>
      <c r="AB374" s="2" t="s">
        <v>328</v>
      </c>
      <c r="AC374" s="26" t="str">
        <f>"－"</f>
        <v>－</v>
      </c>
      <c r="AD374" s="3" t="s">
        <v>328</v>
      </c>
      <c r="AE374" s="27" t="str">
        <f>"－"</f>
        <v>－</v>
      </c>
    </row>
    <row r="375">
      <c r="A375" s="20" t="s">
        <v>999</v>
      </c>
      <c r="B375" s="21" t="s">
        <v>1000</v>
      </c>
      <c r="C375" s="22"/>
      <c r="D375" s="23"/>
      <c r="E375" s="24" t="s">
        <v>124</v>
      </c>
      <c r="F375" s="28" t="n">
        <f>124</f>
        <v>124.0</v>
      </c>
      <c r="G375" s="25" t="n">
        <f>62</f>
        <v>62.0</v>
      </c>
      <c r="H375" s="25"/>
      <c r="I375" s="25" t="str">
        <f>"－"</f>
        <v>－</v>
      </c>
      <c r="J375" s="25" t="n">
        <f>1</f>
        <v>1.0</v>
      </c>
      <c r="K375" s="25" t="str">
        <f>"－"</f>
        <v>－</v>
      </c>
      <c r="L375" s="2" t="s">
        <v>215</v>
      </c>
      <c r="M375" s="26" t="n">
        <f>11</f>
        <v>11.0</v>
      </c>
      <c r="N375" s="3" t="s">
        <v>68</v>
      </c>
      <c r="O375" s="27" t="str">
        <f>"－"</f>
        <v>－</v>
      </c>
      <c r="P375" s="29" t="s">
        <v>1004</v>
      </c>
      <c r="Q375" s="25"/>
      <c r="R375" s="29" t="s">
        <v>262</v>
      </c>
      <c r="S375" s="25" t="n">
        <f>975194</f>
        <v>975194.0</v>
      </c>
      <c r="T375" s="25" t="str">
        <f>"－"</f>
        <v>－</v>
      </c>
      <c r="U375" s="3" t="s">
        <v>54</v>
      </c>
      <c r="V375" s="27" t="n">
        <f>20292500</f>
        <v>2.02925E7</v>
      </c>
      <c r="W375" s="3" t="s">
        <v>68</v>
      </c>
      <c r="X375" s="27" t="str">
        <f>"－"</f>
        <v>－</v>
      </c>
      <c r="Y375" s="27"/>
      <c r="Z375" s="25" t="str">
        <f>"－"</f>
        <v>－</v>
      </c>
      <c r="AA375" s="25" t="str">
        <f>"－"</f>
        <v>－</v>
      </c>
      <c r="AB375" s="2" t="s">
        <v>215</v>
      </c>
      <c r="AC375" s="26" t="n">
        <f>6</f>
        <v>6.0</v>
      </c>
      <c r="AD375" s="3" t="s">
        <v>68</v>
      </c>
      <c r="AE375" s="27" t="str">
        <f>"－"</f>
        <v>－</v>
      </c>
    </row>
    <row r="376">
      <c r="A376" s="20" t="s">
        <v>999</v>
      </c>
      <c r="B376" s="21" t="s">
        <v>1000</v>
      </c>
      <c r="C376" s="22"/>
      <c r="D376" s="23"/>
      <c r="E376" s="24" t="s">
        <v>130</v>
      </c>
      <c r="F376" s="28" t="n">
        <f>121</f>
        <v>121.0</v>
      </c>
      <c r="G376" s="25" t="n">
        <f>110</f>
        <v>110.0</v>
      </c>
      <c r="H376" s="25"/>
      <c r="I376" s="25" t="str">
        <f>"－"</f>
        <v>－</v>
      </c>
      <c r="J376" s="25" t="n">
        <f>1</f>
        <v>1.0</v>
      </c>
      <c r="K376" s="25" t="str">
        <f>"－"</f>
        <v>－</v>
      </c>
      <c r="L376" s="2" t="s">
        <v>698</v>
      </c>
      <c r="M376" s="26" t="n">
        <f>15</f>
        <v>15.0</v>
      </c>
      <c r="N376" s="3" t="s">
        <v>156</v>
      </c>
      <c r="O376" s="27" t="str">
        <f>"－"</f>
        <v>－</v>
      </c>
      <c r="P376" s="29" t="s">
        <v>1005</v>
      </c>
      <c r="Q376" s="25"/>
      <c r="R376" s="29" t="s">
        <v>262</v>
      </c>
      <c r="S376" s="25" t="n">
        <f>2082202</f>
        <v>2082202.0</v>
      </c>
      <c r="T376" s="25" t="str">
        <f>"－"</f>
        <v>－</v>
      </c>
      <c r="U376" s="3" t="s">
        <v>698</v>
      </c>
      <c r="V376" s="27" t="n">
        <f>34549500</f>
        <v>3.45495E7</v>
      </c>
      <c r="W376" s="3" t="s">
        <v>156</v>
      </c>
      <c r="X376" s="27" t="str">
        <f>"－"</f>
        <v>－</v>
      </c>
      <c r="Y376" s="27"/>
      <c r="Z376" s="25" t="str">
        <f>"－"</f>
        <v>－</v>
      </c>
      <c r="AA376" s="25" t="str">
        <f>"－"</f>
        <v>－</v>
      </c>
      <c r="AB376" s="2" t="s">
        <v>236</v>
      </c>
      <c r="AC376" s="26" t="n">
        <f>30</f>
        <v>30.0</v>
      </c>
      <c r="AD376" s="3" t="s">
        <v>156</v>
      </c>
      <c r="AE376" s="27" t="str">
        <f>"－"</f>
        <v>－</v>
      </c>
    </row>
    <row r="377">
      <c r="A377" s="20" t="s">
        <v>999</v>
      </c>
      <c r="B377" s="21" t="s">
        <v>1000</v>
      </c>
      <c r="C377" s="22"/>
      <c r="D377" s="23"/>
      <c r="E377" s="24" t="s">
        <v>136</v>
      </c>
      <c r="F377" s="28" t="n">
        <f>124</f>
        <v>124.0</v>
      </c>
      <c r="G377" s="25" t="str">
        <f>"－"</f>
        <v>－</v>
      </c>
      <c r="H377" s="25"/>
      <c r="I377" s="25" t="str">
        <f>"－"</f>
        <v>－</v>
      </c>
      <c r="J377" s="25" t="str">
        <f>"－"</f>
        <v>－</v>
      </c>
      <c r="K377" s="25" t="str">
        <f>"－"</f>
        <v>－</v>
      </c>
      <c r="L377" s="2" t="s">
        <v>68</v>
      </c>
      <c r="M377" s="26" t="str">
        <f>"－"</f>
        <v>－</v>
      </c>
      <c r="N377" s="3" t="s">
        <v>68</v>
      </c>
      <c r="O377" s="27" t="str">
        <f>"－"</f>
        <v>－</v>
      </c>
      <c r="P377" s="29" t="s">
        <v>262</v>
      </c>
      <c r="Q377" s="25"/>
      <c r="R377" s="29" t="s">
        <v>262</v>
      </c>
      <c r="S377" s="25" t="str">
        <f>"－"</f>
        <v>－</v>
      </c>
      <c r="T377" s="25" t="str">
        <f>"－"</f>
        <v>－</v>
      </c>
      <c r="U377" s="3" t="s">
        <v>68</v>
      </c>
      <c r="V377" s="27" t="str">
        <f>"－"</f>
        <v>－</v>
      </c>
      <c r="W377" s="3" t="s">
        <v>68</v>
      </c>
      <c r="X377" s="27" t="str">
        <f>"－"</f>
        <v>－</v>
      </c>
      <c r="Y377" s="27"/>
      <c r="Z377" s="25" t="str">
        <f>"－"</f>
        <v>－</v>
      </c>
      <c r="AA377" s="25" t="str">
        <f>"－"</f>
        <v>－</v>
      </c>
      <c r="AB377" s="2" t="s">
        <v>68</v>
      </c>
      <c r="AC377" s="26" t="str">
        <f>"－"</f>
        <v>－</v>
      </c>
      <c r="AD377" s="3" t="s">
        <v>68</v>
      </c>
      <c r="AE377" s="27" t="str">
        <f>"－"</f>
        <v>－</v>
      </c>
    </row>
    <row r="378">
      <c r="A378" s="20" t="s">
        <v>999</v>
      </c>
      <c r="B378" s="21" t="s">
        <v>1000</v>
      </c>
      <c r="C378" s="22"/>
      <c r="D378" s="23"/>
      <c r="E378" s="24" t="s">
        <v>142</v>
      </c>
      <c r="F378" s="28" t="n">
        <f>120</f>
        <v>120.0</v>
      </c>
      <c r="G378" s="25" t="str">
        <f>"－"</f>
        <v>－</v>
      </c>
      <c r="H378" s="25"/>
      <c r="I378" s="25" t="str">
        <f>"－"</f>
        <v>－</v>
      </c>
      <c r="J378" s="25" t="str">
        <f>"－"</f>
        <v>－</v>
      </c>
      <c r="K378" s="25" t="str">
        <f>"－"</f>
        <v>－</v>
      </c>
      <c r="L378" s="2" t="s">
        <v>156</v>
      </c>
      <c r="M378" s="26" t="str">
        <f>"－"</f>
        <v>－</v>
      </c>
      <c r="N378" s="3" t="s">
        <v>156</v>
      </c>
      <c r="O378" s="27" t="str">
        <f>"－"</f>
        <v>－</v>
      </c>
      <c r="P378" s="29" t="s">
        <v>262</v>
      </c>
      <c r="Q378" s="25"/>
      <c r="R378" s="29" t="s">
        <v>262</v>
      </c>
      <c r="S378" s="25" t="str">
        <f>"－"</f>
        <v>－</v>
      </c>
      <c r="T378" s="25" t="str">
        <f>"－"</f>
        <v>－</v>
      </c>
      <c r="U378" s="3" t="s">
        <v>156</v>
      </c>
      <c r="V378" s="27" t="str">
        <f>"－"</f>
        <v>－</v>
      </c>
      <c r="W378" s="3" t="s">
        <v>156</v>
      </c>
      <c r="X378" s="27" t="str">
        <f>"－"</f>
        <v>－</v>
      </c>
      <c r="Y378" s="27"/>
      <c r="Z378" s="25" t="str">
        <f>"－"</f>
        <v>－</v>
      </c>
      <c r="AA378" s="25" t="str">
        <f>"－"</f>
        <v>－</v>
      </c>
      <c r="AB378" s="2" t="s">
        <v>156</v>
      </c>
      <c r="AC378" s="26" t="str">
        <f>"－"</f>
        <v>－</v>
      </c>
      <c r="AD378" s="3" t="s">
        <v>156</v>
      </c>
      <c r="AE378" s="27" t="str">
        <f>"－"</f>
        <v>－</v>
      </c>
    </row>
    <row r="379">
      <c r="A379" s="20" t="s">
        <v>999</v>
      </c>
      <c r="B379" s="21" t="s">
        <v>1000</v>
      </c>
      <c r="C379" s="22"/>
      <c r="D379" s="23"/>
      <c r="E379" s="24" t="s">
        <v>148</v>
      </c>
      <c r="F379" s="28" t="n">
        <f>124</f>
        <v>124.0</v>
      </c>
      <c r="G379" s="25" t="str">
        <f>"－"</f>
        <v>－</v>
      </c>
      <c r="H379" s="25"/>
      <c r="I379" s="25" t="str">
        <f>"－"</f>
        <v>－</v>
      </c>
      <c r="J379" s="25" t="str">
        <f>"－"</f>
        <v>－</v>
      </c>
      <c r="K379" s="25" t="str">
        <f>"－"</f>
        <v>－</v>
      </c>
      <c r="L379" s="2" t="s">
        <v>68</v>
      </c>
      <c r="M379" s="26" t="str">
        <f>"－"</f>
        <v>－</v>
      </c>
      <c r="N379" s="3" t="s">
        <v>68</v>
      </c>
      <c r="O379" s="27" t="str">
        <f>"－"</f>
        <v>－</v>
      </c>
      <c r="P379" s="29" t="s">
        <v>262</v>
      </c>
      <c r="Q379" s="25"/>
      <c r="R379" s="29" t="s">
        <v>262</v>
      </c>
      <c r="S379" s="25" t="str">
        <f>"－"</f>
        <v>－</v>
      </c>
      <c r="T379" s="25" t="str">
        <f>"－"</f>
        <v>－</v>
      </c>
      <c r="U379" s="3" t="s">
        <v>68</v>
      </c>
      <c r="V379" s="27" t="str">
        <f>"－"</f>
        <v>－</v>
      </c>
      <c r="W379" s="3" t="s">
        <v>68</v>
      </c>
      <c r="X379" s="27" t="str">
        <f>"－"</f>
        <v>－</v>
      </c>
      <c r="Y379" s="27"/>
      <c r="Z379" s="25" t="str">
        <f>"－"</f>
        <v>－</v>
      </c>
      <c r="AA379" s="25" t="str">
        <f>"－"</f>
        <v>－</v>
      </c>
      <c r="AB379" s="2" t="s">
        <v>68</v>
      </c>
      <c r="AC379" s="26" t="str">
        <f>"－"</f>
        <v>－</v>
      </c>
      <c r="AD379" s="3" t="s">
        <v>68</v>
      </c>
      <c r="AE379" s="27" t="str">
        <f>"－"</f>
        <v>－</v>
      </c>
    </row>
    <row r="380">
      <c r="A380" s="20" t="s">
        <v>999</v>
      </c>
      <c r="B380" s="21" t="s">
        <v>1000</v>
      </c>
      <c r="C380" s="22"/>
      <c r="D380" s="23"/>
      <c r="E380" s="24" t="s">
        <v>151</v>
      </c>
      <c r="F380" s="28" t="n">
        <f>122</f>
        <v>122.0</v>
      </c>
      <c r="G380" s="25" t="str">
        <f>"－"</f>
        <v>－</v>
      </c>
      <c r="H380" s="25"/>
      <c r="I380" s="25" t="str">
        <f>"－"</f>
        <v>－</v>
      </c>
      <c r="J380" s="25" t="str">
        <f>"－"</f>
        <v>－</v>
      </c>
      <c r="K380" s="25" t="str">
        <f>"－"</f>
        <v>－</v>
      </c>
      <c r="L380" s="2" t="s">
        <v>156</v>
      </c>
      <c r="M380" s="26" t="str">
        <f>"－"</f>
        <v>－</v>
      </c>
      <c r="N380" s="3" t="s">
        <v>156</v>
      </c>
      <c r="O380" s="27" t="str">
        <f>"－"</f>
        <v>－</v>
      </c>
      <c r="P380" s="29" t="s">
        <v>262</v>
      </c>
      <c r="Q380" s="25"/>
      <c r="R380" s="29" t="s">
        <v>262</v>
      </c>
      <c r="S380" s="25" t="str">
        <f>"－"</f>
        <v>－</v>
      </c>
      <c r="T380" s="25" t="str">
        <f>"－"</f>
        <v>－</v>
      </c>
      <c r="U380" s="3" t="s">
        <v>156</v>
      </c>
      <c r="V380" s="27" t="str">
        <f>"－"</f>
        <v>－</v>
      </c>
      <c r="W380" s="3" t="s">
        <v>156</v>
      </c>
      <c r="X380" s="27" t="str">
        <f>"－"</f>
        <v>－</v>
      </c>
      <c r="Y380" s="27"/>
      <c r="Z380" s="25" t="str">
        <f>"－"</f>
        <v>－</v>
      </c>
      <c r="AA380" s="25" t="str">
        <f>"－"</f>
        <v>－</v>
      </c>
      <c r="AB380" s="2" t="s">
        <v>156</v>
      </c>
      <c r="AC380" s="26" t="str">
        <f>"－"</f>
        <v>－</v>
      </c>
      <c r="AD380" s="3" t="s">
        <v>156</v>
      </c>
      <c r="AE380" s="27" t="str">
        <f>"－"</f>
        <v>－</v>
      </c>
    </row>
    <row r="381">
      <c r="A381" s="20" t="s">
        <v>999</v>
      </c>
      <c r="B381" s="21" t="s">
        <v>1000</v>
      </c>
      <c r="C381" s="22"/>
      <c r="D381" s="23"/>
      <c r="E381" s="24" t="s">
        <v>157</v>
      </c>
      <c r="F381" s="28" t="n">
        <f>124</f>
        <v>124.0</v>
      </c>
      <c r="G381" s="25" t="str">
        <f>"－"</f>
        <v>－</v>
      </c>
      <c r="H381" s="25"/>
      <c r="I381" s="25" t="str">
        <f>"－"</f>
        <v>－</v>
      </c>
      <c r="J381" s="25" t="str">
        <f>"－"</f>
        <v>－</v>
      </c>
      <c r="K381" s="25" t="str">
        <f>"－"</f>
        <v>－</v>
      </c>
      <c r="L381" s="2" t="s">
        <v>633</v>
      </c>
      <c r="M381" s="26" t="str">
        <f>"－"</f>
        <v>－</v>
      </c>
      <c r="N381" s="3" t="s">
        <v>633</v>
      </c>
      <c r="O381" s="27" t="str">
        <f>"－"</f>
        <v>－</v>
      </c>
      <c r="P381" s="29" t="s">
        <v>262</v>
      </c>
      <c r="Q381" s="25"/>
      <c r="R381" s="29" t="s">
        <v>262</v>
      </c>
      <c r="S381" s="25" t="str">
        <f>"－"</f>
        <v>－</v>
      </c>
      <c r="T381" s="25" t="str">
        <f>"－"</f>
        <v>－</v>
      </c>
      <c r="U381" s="3" t="s">
        <v>633</v>
      </c>
      <c r="V381" s="27" t="str">
        <f>"－"</f>
        <v>－</v>
      </c>
      <c r="W381" s="3" t="s">
        <v>633</v>
      </c>
      <c r="X381" s="27" t="str">
        <f>"－"</f>
        <v>－</v>
      </c>
      <c r="Y381" s="27"/>
      <c r="Z381" s="25" t="str">
        <f>"－"</f>
        <v>－</v>
      </c>
      <c r="AA381" s="25" t="str">
        <f>"－"</f>
        <v>－</v>
      </c>
      <c r="AB381" s="2" t="s">
        <v>633</v>
      </c>
      <c r="AC381" s="26" t="str">
        <f>"－"</f>
        <v>－</v>
      </c>
      <c r="AD381" s="3" t="s">
        <v>633</v>
      </c>
      <c r="AE381" s="27" t="str">
        <f>"－"</f>
        <v>－</v>
      </c>
    </row>
    <row r="382">
      <c r="A382" s="20" t="s">
        <v>999</v>
      </c>
      <c r="B382" s="21" t="s">
        <v>1000</v>
      </c>
      <c r="C382" s="22"/>
      <c r="D382" s="23"/>
      <c r="E382" s="24" t="s">
        <v>160</v>
      </c>
      <c r="F382" s="28" t="n">
        <f>58</f>
        <v>58.0</v>
      </c>
      <c r="G382" s="25" t="str">
        <f>"－"</f>
        <v>－</v>
      </c>
      <c r="H382" s="25"/>
      <c r="I382" s="25" t="str">
        <f>"－"</f>
        <v>－</v>
      </c>
      <c r="J382" s="25" t="str">
        <f>"－"</f>
        <v>－</v>
      </c>
      <c r="K382" s="25" t="str">
        <f>"－"</f>
        <v>－</v>
      </c>
      <c r="L382" s="2" t="s">
        <v>156</v>
      </c>
      <c r="M382" s="26" t="str">
        <f>"－"</f>
        <v>－</v>
      </c>
      <c r="N382" s="3" t="s">
        <v>156</v>
      </c>
      <c r="O382" s="27" t="str">
        <f>"－"</f>
        <v>－</v>
      </c>
      <c r="P382" s="29" t="s">
        <v>262</v>
      </c>
      <c r="Q382" s="25"/>
      <c r="R382" s="29" t="s">
        <v>262</v>
      </c>
      <c r="S382" s="25" t="str">
        <f>"－"</f>
        <v>－</v>
      </c>
      <c r="T382" s="25" t="str">
        <f>"－"</f>
        <v>－</v>
      </c>
      <c r="U382" s="3" t="s">
        <v>156</v>
      </c>
      <c r="V382" s="27" t="str">
        <f>"－"</f>
        <v>－</v>
      </c>
      <c r="W382" s="3" t="s">
        <v>156</v>
      </c>
      <c r="X382" s="27" t="str">
        <f>"－"</f>
        <v>－</v>
      </c>
      <c r="Y382" s="27"/>
      <c r="Z382" s="25" t="str">
        <f>"－"</f>
        <v>－</v>
      </c>
      <c r="AA382" s="25" t="str">
        <f>"－"</f>
        <v>－</v>
      </c>
      <c r="AB382" s="2" t="s">
        <v>156</v>
      </c>
      <c r="AC382" s="26" t="str">
        <f>"－"</f>
        <v>－</v>
      </c>
      <c r="AD382" s="3" t="s">
        <v>156</v>
      </c>
      <c r="AE382" s="27" t="str">
        <f>"－"</f>
        <v>－</v>
      </c>
    </row>
    <row r="383">
      <c r="A383" s="20" t="s">
        <v>1006</v>
      </c>
      <c r="B383" s="21" t="s">
        <v>1007</v>
      </c>
      <c r="C383" s="22"/>
      <c r="D383" s="23"/>
      <c r="E383" s="24" t="s">
        <v>430</v>
      </c>
      <c r="F383" s="28" t="n">
        <f>108</f>
        <v>108.0</v>
      </c>
      <c r="G383" s="25" t="n">
        <f>19553</f>
        <v>19553.0</v>
      </c>
      <c r="H383" s="25"/>
      <c r="I383" s="25" t="n">
        <f>13301</f>
        <v>13301.0</v>
      </c>
      <c r="J383" s="25" t="n">
        <f>181</f>
        <v>181.0</v>
      </c>
      <c r="K383" s="25" t="n">
        <f>123</f>
        <v>123.0</v>
      </c>
      <c r="L383" s="2" t="s">
        <v>1008</v>
      </c>
      <c r="M383" s="26" t="n">
        <f>5000</f>
        <v>5000.0</v>
      </c>
      <c r="N383" s="3" t="s">
        <v>198</v>
      </c>
      <c r="O383" s="27" t="str">
        <f>"－"</f>
        <v>－</v>
      </c>
      <c r="P383" s="29" t="s">
        <v>1009</v>
      </c>
      <c r="Q383" s="25"/>
      <c r="R383" s="29" t="s">
        <v>1010</v>
      </c>
      <c r="S383" s="25" t="n">
        <f>29867903</f>
        <v>2.9867903E7</v>
      </c>
      <c r="T383" s="25" t="n">
        <f>20052486</f>
        <v>2.0052486E7</v>
      </c>
      <c r="U383" s="3" t="s">
        <v>1008</v>
      </c>
      <c r="V383" s="27" t="n">
        <f>811500000</f>
        <v>8.115E8</v>
      </c>
      <c r="W383" s="3" t="s">
        <v>198</v>
      </c>
      <c r="X383" s="27" t="str">
        <f>"－"</f>
        <v>－</v>
      </c>
      <c r="Y383" s="27"/>
      <c r="Z383" s="25" t="str">
        <f>"－"</f>
        <v>－</v>
      </c>
      <c r="AA383" s="25" t="n">
        <f>13620</f>
        <v>13620.0</v>
      </c>
      <c r="AB383" s="2" t="s">
        <v>1011</v>
      </c>
      <c r="AC383" s="26" t="n">
        <f>13620</f>
        <v>13620.0</v>
      </c>
      <c r="AD383" s="3" t="s">
        <v>393</v>
      </c>
      <c r="AE383" s="27" t="n">
        <f>40</f>
        <v>40.0</v>
      </c>
    </row>
    <row r="384">
      <c r="A384" s="20" t="s">
        <v>1006</v>
      </c>
      <c r="B384" s="21" t="s">
        <v>1007</v>
      </c>
      <c r="C384" s="22"/>
      <c r="D384" s="23"/>
      <c r="E384" s="24" t="s">
        <v>433</v>
      </c>
      <c r="F384" s="28" t="n">
        <f>121</f>
        <v>121.0</v>
      </c>
      <c r="G384" s="25" t="n">
        <f>38300</f>
        <v>38300.0</v>
      </c>
      <c r="H384" s="25"/>
      <c r="I384" s="25" t="n">
        <f>36400</f>
        <v>36400.0</v>
      </c>
      <c r="J384" s="25" t="n">
        <f>317</f>
        <v>317.0</v>
      </c>
      <c r="K384" s="25" t="n">
        <f>301</f>
        <v>301.0</v>
      </c>
      <c r="L384" s="2" t="s">
        <v>751</v>
      </c>
      <c r="M384" s="26" t="n">
        <f>5000</f>
        <v>5000.0</v>
      </c>
      <c r="N384" s="3" t="s">
        <v>156</v>
      </c>
      <c r="O384" s="27" t="str">
        <f>"－"</f>
        <v>－</v>
      </c>
      <c r="P384" s="29" t="s">
        <v>1012</v>
      </c>
      <c r="Q384" s="25"/>
      <c r="R384" s="29" t="s">
        <v>1013</v>
      </c>
      <c r="S384" s="25" t="n">
        <f>57201653</f>
        <v>5.7201653E7</v>
      </c>
      <c r="T384" s="25" t="n">
        <f>54434711</f>
        <v>5.4434711E7</v>
      </c>
      <c r="U384" s="3" t="s">
        <v>751</v>
      </c>
      <c r="V384" s="27" t="n">
        <f>935000000</f>
        <v>9.35E8</v>
      </c>
      <c r="W384" s="3" t="s">
        <v>156</v>
      </c>
      <c r="X384" s="27" t="str">
        <f>"－"</f>
        <v>－</v>
      </c>
      <c r="Y384" s="27"/>
      <c r="Z384" s="25" t="str">
        <f>"－"</f>
        <v>－</v>
      </c>
      <c r="AA384" s="25" t="n">
        <f>28980</f>
        <v>28980.0</v>
      </c>
      <c r="AB384" s="2" t="s">
        <v>312</v>
      </c>
      <c r="AC384" s="26" t="n">
        <f>28980</f>
        <v>28980.0</v>
      </c>
      <c r="AD384" s="3" t="s">
        <v>156</v>
      </c>
      <c r="AE384" s="27" t="n">
        <f>13620</f>
        <v>13620.0</v>
      </c>
    </row>
    <row r="385">
      <c r="A385" s="20" t="s">
        <v>1006</v>
      </c>
      <c r="B385" s="21" t="s">
        <v>1007</v>
      </c>
      <c r="C385" s="22"/>
      <c r="D385" s="23"/>
      <c r="E385" s="24" t="s">
        <v>437</v>
      </c>
      <c r="F385" s="28" t="n">
        <f>124</f>
        <v>124.0</v>
      </c>
      <c r="G385" s="25" t="n">
        <f>22750</f>
        <v>22750.0</v>
      </c>
      <c r="H385" s="25"/>
      <c r="I385" s="25" t="n">
        <f>22750</f>
        <v>22750.0</v>
      </c>
      <c r="J385" s="25" t="n">
        <f>183</f>
        <v>183.0</v>
      </c>
      <c r="K385" s="25" t="n">
        <f>183</f>
        <v>183.0</v>
      </c>
      <c r="L385" s="2" t="s">
        <v>287</v>
      </c>
      <c r="M385" s="26" t="n">
        <f>4000</f>
        <v>4000.0</v>
      </c>
      <c r="N385" s="3" t="s">
        <v>68</v>
      </c>
      <c r="O385" s="27" t="str">
        <f>"－"</f>
        <v>－</v>
      </c>
      <c r="P385" s="29" t="s">
        <v>1014</v>
      </c>
      <c r="Q385" s="25"/>
      <c r="R385" s="29" t="s">
        <v>1014</v>
      </c>
      <c r="S385" s="25" t="n">
        <f>30743952</f>
        <v>3.0743952E7</v>
      </c>
      <c r="T385" s="25" t="n">
        <f>30743952</f>
        <v>3.0743952E7</v>
      </c>
      <c r="U385" s="3" t="s">
        <v>1015</v>
      </c>
      <c r="V385" s="27" t="n">
        <f>690000000</f>
        <v>6.9E8</v>
      </c>
      <c r="W385" s="3" t="s">
        <v>68</v>
      </c>
      <c r="X385" s="27" t="str">
        <f>"－"</f>
        <v>－</v>
      </c>
      <c r="Y385" s="27"/>
      <c r="Z385" s="25" t="n">
        <f>10250</f>
        <v>10250.0</v>
      </c>
      <c r="AA385" s="25" t="n">
        <f>37230</f>
        <v>37230.0</v>
      </c>
      <c r="AB385" s="2" t="s">
        <v>77</v>
      </c>
      <c r="AC385" s="26" t="n">
        <f>37230</f>
        <v>37230.0</v>
      </c>
      <c r="AD385" s="3" t="s">
        <v>879</v>
      </c>
      <c r="AE385" s="27" t="n">
        <f>28480</f>
        <v>28480.0</v>
      </c>
    </row>
    <row r="386">
      <c r="A386" s="20" t="s">
        <v>1006</v>
      </c>
      <c r="B386" s="21" t="s">
        <v>1007</v>
      </c>
      <c r="C386" s="22"/>
      <c r="D386" s="23"/>
      <c r="E386" s="24" t="s">
        <v>440</v>
      </c>
      <c r="F386" s="28" t="n">
        <f>123</f>
        <v>123.0</v>
      </c>
      <c r="G386" s="25" t="n">
        <f>8400</f>
        <v>8400.0</v>
      </c>
      <c r="H386" s="25"/>
      <c r="I386" s="25" t="n">
        <f>7900</f>
        <v>7900.0</v>
      </c>
      <c r="J386" s="25" t="n">
        <f>68</f>
        <v>68.0</v>
      </c>
      <c r="K386" s="25" t="n">
        <f>64</f>
        <v>64.0</v>
      </c>
      <c r="L386" s="2" t="s">
        <v>1016</v>
      </c>
      <c r="M386" s="26" t="n">
        <f>4000</f>
        <v>4000.0</v>
      </c>
      <c r="N386" s="3" t="s">
        <v>156</v>
      </c>
      <c r="O386" s="27" t="str">
        <f>"－"</f>
        <v>－</v>
      </c>
      <c r="P386" s="29" t="s">
        <v>1017</v>
      </c>
      <c r="Q386" s="25"/>
      <c r="R386" s="29" t="s">
        <v>1018</v>
      </c>
      <c r="S386" s="25" t="n">
        <f>12949187</f>
        <v>1.2949187E7</v>
      </c>
      <c r="T386" s="25" t="n">
        <f>12197967</f>
        <v>1.2197967E7</v>
      </c>
      <c r="U386" s="3" t="s">
        <v>1016</v>
      </c>
      <c r="V386" s="27" t="n">
        <f>768000000</f>
        <v>7.68E8</v>
      </c>
      <c r="W386" s="3" t="s">
        <v>156</v>
      </c>
      <c r="X386" s="27" t="str">
        <f>"－"</f>
        <v>－</v>
      </c>
      <c r="Y386" s="27"/>
      <c r="Z386" s="25" t="str">
        <f>"－"</f>
        <v>－</v>
      </c>
      <c r="AA386" s="25" t="n">
        <f>31831</f>
        <v>31831.0</v>
      </c>
      <c r="AB386" s="2" t="s">
        <v>123</v>
      </c>
      <c r="AC386" s="26" t="n">
        <f>37630</f>
        <v>37630.0</v>
      </c>
      <c r="AD386" s="3" t="s">
        <v>1016</v>
      </c>
      <c r="AE386" s="27" t="n">
        <f>28631</f>
        <v>28631.0</v>
      </c>
    </row>
    <row r="387">
      <c r="A387" s="20" t="s">
        <v>1006</v>
      </c>
      <c r="B387" s="21" t="s">
        <v>1007</v>
      </c>
      <c r="C387" s="22"/>
      <c r="D387" s="23"/>
      <c r="E387" s="24" t="s">
        <v>443</v>
      </c>
      <c r="F387" s="28" t="n">
        <f>125</f>
        <v>125.0</v>
      </c>
      <c r="G387" s="25" t="n">
        <f>115112</f>
        <v>115112.0</v>
      </c>
      <c r="H387" s="25"/>
      <c r="I387" s="25" t="n">
        <f>115112</f>
        <v>115112.0</v>
      </c>
      <c r="J387" s="25" t="n">
        <f>921</f>
        <v>921.0</v>
      </c>
      <c r="K387" s="25" t="n">
        <f>921</f>
        <v>921.0</v>
      </c>
      <c r="L387" s="2" t="s">
        <v>671</v>
      </c>
      <c r="M387" s="26" t="n">
        <f>48299</f>
        <v>48299.0</v>
      </c>
      <c r="N387" s="3" t="s">
        <v>215</v>
      </c>
      <c r="O387" s="27" t="str">
        <f>"－"</f>
        <v>－</v>
      </c>
      <c r="P387" s="29" t="s">
        <v>1019</v>
      </c>
      <c r="Q387" s="25"/>
      <c r="R387" s="29" t="s">
        <v>1019</v>
      </c>
      <c r="S387" s="25" t="n">
        <f>183058949</f>
        <v>1.83058949E8</v>
      </c>
      <c r="T387" s="25" t="n">
        <f>183058949</f>
        <v>1.83058949E8</v>
      </c>
      <c r="U387" s="3" t="s">
        <v>671</v>
      </c>
      <c r="V387" s="27" t="n">
        <f>9799867100</f>
        <v>9.7998671E9</v>
      </c>
      <c r="W387" s="3" t="s">
        <v>215</v>
      </c>
      <c r="X387" s="27" t="str">
        <f>"－"</f>
        <v>－</v>
      </c>
      <c r="Y387" s="27"/>
      <c r="Z387" s="25" t="n">
        <f>64406</f>
        <v>64406.0</v>
      </c>
      <c r="AA387" s="25" t="n">
        <f>141350</f>
        <v>141350.0</v>
      </c>
      <c r="AB387" s="2" t="s">
        <v>181</v>
      </c>
      <c r="AC387" s="26" t="n">
        <f>141350</f>
        <v>141350.0</v>
      </c>
      <c r="AD387" s="3" t="s">
        <v>215</v>
      </c>
      <c r="AE387" s="27" t="n">
        <f>31831</f>
        <v>31831.0</v>
      </c>
    </row>
    <row r="388">
      <c r="A388" s="20" t="s">
        <v>1006</v>
      </c>
      <c r="B388" s="21" t="s">
        <v>1007</v>
      </c>
      <c r="C388" s="22"/>
      <c r="D388" s="23"/>
      <c r="E388" s="24" t="s">
        <v>447</v>
      </c>
      <c r="F388" s="28" t="n">
        <f>120</f>
        <v>120.0</v>
      </c>
      <c r="G388" s="25" t="n">
        <f>107169</f>
        <v>107169.0</v>
      </c>
      <c r="H388" s="25"/>
      <c r="I388" s="25" t="n">
        <f>107169</f>
        <v>107169.0</v>
      </c>
      <c r="J388" s="25" t="n">
        <f>893</f>
        <v>893.0</v>
      </c>
      <c r="K388" s="25" t="n">
        <f>893</f>
        <v>893.0</v>
      </c>
      <c r="L388" s="2" t="s">
        <v>746</v>
      </c>
      <c r="M388" s="26" t="n">
        <f>37000</f>
        <v>37000.0</v>
      </c>
      <c r="N388" s="3" t="s">
        <v>156</v>
      </c>
      <c r="O388" s="27" t="str">
        <f>"－"</f>
        <v>－</v>
      </c>
      <c r="P388" s="29" t="s">
        <v>1020</v>
      </c>
      <c r="Q388" s="25"/>
      <c r="R388" s="29" t="s">
        <v>1020</v>
      </c>
      <c r="S388" s="25" t="n">
        <f>211282753</f>
        <v>2.11282753E8</v>
      </c>
      <c r="T388" s="25" t="n">
        <f>211282753</f>
        <v>2.11282753E8</v>
      </c>
      <c r="U388" s="3" t="s">
        <v>546</v>
      </c>
      <c r="V388" s="27" t="n">
        <f>8415305000</f>
        <v>8.415305E9</v>
      </c>
      <c r="W388" s="3" t="s">
        <v>156</v>
      </c>
      <c r="X388" s="27" t="str">
        <f>"－"</f>
        <v>－</v>
      </c>
      <c r="Y388" s="27"/>
      <c r="Z388" s="25" t="n">
        <f>63850</f>
        <v>63850.0</v>
      </c>
      <c r="AA388" s="25" t="n">
        <f>114866</f>
        <v>114866.0</v>
      </c>
      <c r="AB388" s="2" t="s">
        <v>458</v>
      </c>
      <c r="AC388" s="26" t="n">
        <f>176506</f>
        <v>176506.0</v>
      </c>
      <c r="AD388" s="3" t="s">
        <v>546</v>
      </c>
      <c r="AE388" s="27" t="n">
        <f>114866</f>
        <v>114866.0</v>
      </c>
    </row>
    <row r="389">
      <c r="A389" s="20" t="s">
        <v>1006</v>
      </c>
      <c r="B389" s="21" t="s">
        <v>1007</v>
      </c>
      <c r="C389" s="22"/>
      <c r="D389" s="23"/>
      <c r="E389" s="24" t="s">
        <v>451</v>
      </c>
      <c r="F389" s="28" t="n">
        <f>125</f>
        <v>125.0</v>
      </c>
      <c r="G389" s="25" t="n">
        <f>4475</f>
        <v>4475.0</v>
      </c>
      <c r="H389" s="25"/>
      <c r="I389" s="25" t="n">
        <f>4210</f>
        <v>4210.0</v>
      </c>
      <c r="J389" s="25" t="n">
        <f>36</f>
        <v>36.0</v>
      </c>
      <c r="K389" s="25" t="n">
        <f>34</f>
        <v>34.0</v>
      </c>
      <c r="L389" s="2" t="s">
        <v>945</v>
      </c>
      <c r="M389" s="26" t="n">
        <f>3977</f>
        <v>3977.0</v>
      </c>
      <c r="N389" s="3" t="s">
        <v>68</v>
      </c>
      <c r="O389" s="27" t="str">
        <f>"－"</f>
        <v>－</v>
      </c>
      <c r="P389" s="29" t="s">
        <v>1021</v>
      </c>
      <c r="Q389" s="25"/>
      <c r="R389" s="29" t="s">
        <v>1022</v>
      </c>
      <c r="S389" s="25" t="n">
        <f>8199101</f>
        <v>8199101.0</v>
      </c>
      <c r="T389" s="25" t="n">
        <f>7713901</f>
        <v>7713901.0</v>
      </c>
      <c r="U389" s="3" t="s">
        <v>945</v>
      </c>
      <c r="V389" s="27" t="n">
        <f>910216600</f>
        <v>9.102166E8</v>
      </c>
      <c r="W389" s="3" t="s">
        <v>68</v>
      </c>
      <c r="X389" s="27" t="str">
        <f>"－"</f>
        <v>－</v>
      </c>
      <c r="Y389" s="27"/>
      <c r="Z389" s="25" t="str">
        <f>"－"</f>
        <v>－</v>
      </c>
      <c r="AA389" s="25" t="n">
        <f>112801</f>
        <v>112801.0</v>
      </c>
      <c r="AB389" s="2" t="s">
        <v>68</v>
      </c>
      <c r="AC389" s="26" t="n">
        <f>114866</f>
        <v>114866.0</v>
      </c>
      <c r="AD389" s="3" t="s">
        <v>1011</v>
      </c>
      <c r="AE389" s="27" t="n">
        <f>112801</f>
        <v>112801.0</v>
      </c>
    </row>
    <row r="390">
      <c r="A390" s="20" t="s">
        <v>1006</v>
      </c>
      <c r="B390" s="21" t="s">
        <v>1007</v>
      </c>
      <c r="C390" s="22"/>
      <c r="D390" s="23"/>
      <c r="E390" s="24" t="s">
        <v>454</v>
      </c>
      <c r="F390" s="28" t="n">
        <f>120</f>
        <v>120.0</v>
      </c>
      <c r="G390" s="25" t="n">
        <f>5280</f>
        <v>5280.0</v>
      </c>
      <c r="H390" s="25"/>
      <c r="I390" s="25" t="n">
        <f>5280</f>
        <v>5280.0</v>
      </c>
      <c r="J390" s="25" t="n">
        <f>44</f>
        <v>44.0</v>
      </c>
      <c r="K390" s="25" t="n">
        <f>44</f>
        <v>44.0</v>
      </c>
      <c r="L390" s="2" t="s">
        <v>291</v>
      </c>
      <c r="M390" s="26" t="n">
        <f>2950</f>
        <v>2950.0</v>
      </c>
      <c r="N390" s="3" t="s">
        <v>328</v>
      </c>
      <c r="O390" s="27" t="str">
        <f>"－"</f>
        <v>－</v>
      </c>
      <c r="P390" s="29" t="s">
        <v>1023</v>
      </c>
      <c r="Q390" s="25"/>
      <c r="R390" s="29" t="s">
        <v>1023</v>
      </c>
      <c r="S390" s="25" t="n">
        <f>10454000</f>
        <v>1.0454E7</v>
      </c>
      <c r="T390" s="25" t="n">
        <f>10454000</f>
        <v>1.0454E7</v>
      </c>
      <c r="U390" s="3" t="s">
        <v>291</v>
      </c>
      <c r="V390" s="27" t="n">
        <f>705900000</f>
        <v>7.059E8</v>
      </c>
      <c r="W390" s="3" t="s">
        <v>328</v>
      </c>
      <c r="X390" s="27" t="str">
        <f>"－"</f>
        <v>－</v>
      </c>
      <c r="Y390" s="27"/>
      <c r="Z390" s="25" t="str">
        <f>"－"</f>
        <v>－</v>
      </c>
      <c r="AA390" s="25" t="n">
        <f>55971</f>
        <v>55971.0</v>
      </c>
      <c r="AB390" s="2" t="s">
        <v>328</v>
      </c>
      <c r="AC390" s="26" t="n">
        <f>112801</f>
        <v>112801.0</v>
      </c>
      <c r="AD390" s="3" t="s">
        <v>558</v>
      </c>
      <c r="AE390" s="27" t="n">
        <f>55971</f>
        <v>55971.0</v>
      </c>
    </row>
    <row r="391">
      <c r="A391" s="20" t="s">
        <v>1006</v>
      </c>
      <c r="B391" s="21" t="s">
        <v>1007</v>
      </c>
      <c r="C391" s="22"/>
      <c r="D391" s="23"/>
      <c r="E391" s="24" t="s">
        <v>48</v>
      </c>
      <c r="F391" s="28" t="n">
        <f>124</f>
        <v>124.0</v>
      </c>
      <c r="G391" s="25" t="n">
        <f>2560</f>
        <v>2560.0</v>
      </c>
      <c r="H391" s="25"/>
      <c r="I391" s="25" t="n">
        <f>2550</f>
        <v>2550.0</v>
      </c>
      <c r="J391" s="25" t="n">
        <f>21</f>
        <v>21.0</v>
      </c>
      <c r="K391" s="25" t="n">
        <f>21</f>
        <v>21.0</v>
      </c>
      <c r="L391" s="2" t="s">
        <v>1024</v>
      </c>
      <c r="M391" s="26" t="n">
        <f>2180</f>
        <v>2180.0</v>
      </c>
      <c r="N391" s="3" t="s">
        <v>68</v>
      </c>
      <c r="O391" s="27" t="str">
        <f>"－"</f>
        <v>－</v>
      </c>
      <c r="P391" s="29" t="s">
        <v>1025</v>
      </c>
      <c r="Q391" s="25"/>
      <c r="R391" s="29" t="s">
        <v>1026</v>
      </c>
      <c r="S391" s="25" t="n">
        <f>5430516</f>
        <v>5430516.0</v>
      </c>
      <c r="T391" s="25" t="n">
        <f>5405121</f>
        <v>5405121.0</v>
      </c>
      <c r="U391" s="3" t="s">
        <v>1024</v>
      </c>
      <c r="V391" s="27" t="n">
        <f>573776000</f>
        <v>5.73776E8</v>
      </c>
      <c r="W391" s="3" t="s">
        <v>68</v>
      </c>
      <c r="X391" s="27" t="str">
        <f>"－"</f>
        <v>－</v>
      </c>
      <c r="Y391" s="27"/>
      <c r="Z391" s="25" t="str">
        <f>"－"</f>
        <v>－</v>
      </c>
      <c r="AA391" s="25" t="n">
        <f>53431</f>
        <v>53431.0</v>
      </c>
      <c r="AB391" s="2" t="s">
        <v>68</v>
      </c>
      <c r="AC391" s="26" t="n">
        <f>55971</f>
        <v>55971.0</v>
      </c>
      <c r="AD391" s="3" t="s">
        <v>373</v>
      </c>
      <c r="AE391" s="27" t="n">
        <f>53421</f>
        <v>53421.0</v>
      </c>
    </row>
    <row r="392">
      <c r="A392" s="20" t="s">
        <v>1006</v>
      </c>
      <c r="B392" s="21" t="s">
        <v>1007</v>
      </c>
      <c r="C392" s="22"/>
      <c r="D392" s="23"/>
      <c r="E392" s="24" t="s">
        <v>55</v>
      </c>
      <c r="F392" s="28" t="n">
        <f>121</f>
        <v>121.0</v>
      </c>
      <c r="G392" s="25" t="n">
        <f>6262</f>
        <v>6262.0</v>
      </c>
      <c r="H392" s="25"/>
      <c r="I392" s="25" t="n">
        <f>6227</f>
        <v>6227.0</v>
      </c>
      <c r="J392" s="25" t="n">
        <f>52</f>
        <v>52.0</v>
      </c>
      <c r="K392" s="25" t="n">
        <f>51</f>
        <v>51.0</v>
      </c>
      <c r="L392" s="2" t="s">
        <v>1027</v>
      </c>
      <c r="M392" s="26" t="n">
        <f>2103</f>
        <v>2103.0</v>
      </c>
      <c r="N392" s="3" t="s">
        <v>147</v>
      </c>
      <c r="O392" s="27" t="str">
        <f>"－"</f>
        <v>－</v>
      </c>
      <c r="P392" s="29" t="s">
        <v>1028</v>
      </c>
      <c r="Q392" s="25"/>
      <c r="R392" s="29" t="s">
        <v>1029</v>
      </c>
      <c r="S392" s="25" t="n">
        <f>13567550</f>
        <v>1.356755E7</v>
      </c>
      <c r="T392" s="25" t="n">
        <f>13467806</f>
        <v>1.3467806E7</v>
      </c>
      <c r="U392" s="3" t="s">
        <v>1027</v>
      </c>
      <c r="V392" s="27" t="n">
        <f>547831500</f>
        <v>5.478315E8</v>
      </c>
      <c r="W392" s="3" t="s">
        <v>147</v>
      </c>
      <c r="X392" s="27" t="str">
        <f>"－"</f>
        <v>－</v>
      </c>
      <c r="Y392" s="27"/>
      <c r="Z392" s="25" t="str">
        <f>"－"</f>
        <v>－</v>
      </c>
      <c r="AA392" s="25" t="n">
        <f>6560</f>
        <v>6560.0</v>
      </c>
      <c r="AB392" s="2" t="s">
        <v>520</v>
      </c>
      <c r="AC392" s="26" t="n">
        <f>53446</f>
        <v>53446.0</v>
      </c>
      <c r="AD392" s="3" t="s">
        <v>558</v>
      </c>
      <c r="AE392" s="27" t="n">
        <f>6550</f>
        <v>6550.0</v>
      </c>
    </row>
    <row r="393">
      <c r="A393" s="20" t="s">
        <v>1006</v>
      </c>
      <c r="B393" s="21" t="s">
        <v>1007</v>
      </c>
      <c r="C393" s="22"/>
      <c r="D393" s="23"/>
      <c r="E393" s="24" t="s">
        <v>62</v>
      </c>
      <c r="F393" s="28" t="n">
        <f>123</f>
        <v>123.0</v>
      </c>
      <c r="G393" s="25" t="n">
        <f>10</f>
        <v>10.0</v>
      </c>
      <c r="H393" s="25"/>
      <c r="I393" s="25" t="str">
        <f>"－"</f>
        <v>－</v>
      </c>
      <c r="J393" s="25" t="n">
        <f>0</f>
        <v>0.0</v>
      </c>
      <c r="K393" s="25" t="str">
        <f>"－"</f>
        <v>－</v>
      </c>
      <c r="L393" s="2" t="s">
        <v>1030</v>
      </c>
      <c r="M393" s="26" t="n">
        <f>10</f>
        <v>10.0</v>
      </c>
      <c r="N393" s="3" t="s">
        <v>68</v>
      </c>
      <c r="O393" s="27" t="str">
        <f>"－"</f>
        <v>－</v>
      </c>
      <c r="P393" s="29" t="s">
        <v>1031</v>
      </c>
      <c r="Q393" s="25"/>
      <c r="R393" s="29" t="s">
        <v>262</v>
      </c>
      <c r="S393" s="25" t="n">
        <f>30415</f>
        <v>30415.0</v>
      </c>
      <c r="T393" s="25" t="str">
        <f>"－"</f>
        <v>－</v>
      </c>
      <c r="U393" s="3" t="s">
        <v>1030</v>
      </c>
      <c r="V393" s="27" t="n">
        <f>3741000</f>
        <v>3741000.0</v>
      </c>
      <c r="W393" s="3" t="s">
        <v>68</v>
      </c>
      <c r="X393" s="27" t="str">
        <f>"－"</f>
        <v>－</v>
      </c>
      <c r="Y393" s="27"/>
      <c r="Z393" s="25" t="str">
        <f>"－"</f>
        <v>－</v>
      </c>
      <c r="AA393" s="25" t="n">
        <f>6570</f>
        <v>6570.0</v>
      </c>
      <c r="AB393" s="2" t="s">
        <v>1030</v>
      </c>
      <c r="AC393" s="26" t="n">
        <f>6570</f>
        <v>6570.0</v>
      </c>
      <c r="AD393" s="3" t="s">
        <v>68</v>
      </c>
      <c r="AE393" s="27" t="n">
        <f>6560</f>
        <v>6560.0</v>
      </c>
    </row>
    <row r="394">
      <c r="A394" s="20" t="s">
        <v>1006</v>
      </c>
      <c r="B394" s="21" t="s">
        <v>1007</v>
      </c>
      <c r="C394" s="22"/>
      <c r="D394" s="23"/>
      <c r="E394" s="24" t="s">
        <v>69</v>
      </c>
      <c r="F394" s="28" t="n">
        <f>122</f>
        <v>122.0</v>
      </c>
      <c r="G394" s="25" t="n">
        <f>70</f>
        <v>70.0</v>
      </c>
      <c r="H394" s="25"/>
      <c r="I394" s="25" t="str">
        <f>"－"</f>
        <v>－</v>
      </c>
      <c r="J394" s="25" t="n">
        <f>1</f>
        <v>1.0</v>
      </c>
      <c r="K394" s="25" t="str">
        <f>"－"</f>
        <v>－</v>
      </c>
      <c r="L394" s="2" t="s">
        <v>1032</v>
      </c>
      <c r="M394" s="26" t="n">
        <f>55</f>
        <v>55.0</v>
      </c>
      <c r="N394" s="3" t="s">
        <v>156</v>
      </c>
      <c r="O394" s="27" t="str">
        <f>"－"</f>
        <v>－</v>
      </c>
      <c r="P394" s="29" t="s">
        <v>1033</v>
      </c>
      <c r="Q394" s="25"/>
      <c r="R394" s="29" t="s">
        <v>262</v>
      </c>
      <c r="S394" s="25" t="n">
        <f>194922</f>
        <v>194922.0</v>
      </c>
      <c r="T394" s="25" t="str">
        <f>"－"</f>
        <v>－</v>
      </c>
      <c r="U394" s="3" t="s">
        <v>1032</v>
      </c>
      <c r="V394" s="27" t="n">
        <f>18575500</f>
        <v>1.85755E7</v>
      </c>
      <c r="W394" s="3" t="s">
        <v>156</v>
      </c>
      <c r="X394" s="27" t="str">
        <f>"－"</f>
        <v>－</v>
      </c>
      <c r="Y394" s="27"/>
      <c r="Z394" s="25" t="str">
        <f>"－"</f>
        <v>－</v>
      </c>
      <c r="AA394" s="25" t="n">
        <f>3515</f>
        <v>3515.0</v>
      </c>
      <c r="AB394" s="2" t="s">
        <v>156</v>
      </c>
      <c r="AC394" s="26" t="n">
        <f>6570</f>
        <v>6570.0</v>
      </c>
      <c r="AD394" s="3" t="s">
        <v>558</v>
      </c>
      <c r="AE394" s="27" t="n">
        <f>3515</f>
        <v>3515.0</v>
      </c>
    </row>
    <row r="395">
      <c r="A395" s="20" t="s">
        <v>1006</v>
      </c>
      <c r="B395" s="21" t="s">
        <v>1007</v>
      </c>
      <c r="C395" s="22"/>
      <c r="D395" s="23"/>
      <c r="E395" s="24" t="s">
        <v>76</v>
      </c>
      <c r="F395" s="28" t="n">
        <f>123</f>
        <v>123.0</v>
      </c>
      <c r="G395" s="25" t="n">
        <f>19235</f>
        <v>19235.0</v>
      </c>
      <c r="H395" s="25"/>
      <c r="I395" s="25" t="n">
        <f>19235</f>
        <v>19235.0</v>
      </c>
      <c r="J395" s="25" t="n">
        <f>156</f>
        <v>156.0</v>
      </c>
      <c r="K395" s="25" t="n">
        <f>156</f>
        <v>156.0</v>
      </c>
      <c r="L395" s="2" t="s">
        <v>285</v>
      </c>
      <c r="M395" s="26" t="n">
        <f>16300</f>
        <v>16300.0</v>
      </c>
      <c r="N395" s="3" t="s">
        <v>68</v>
      </c>
      <c r="O395" s="27" t="str">
        <f>"－"</f>
        <v>－</v>
      </c>
      <c r="P395" s="29" t="s">
        <v>1034</v>
      </c>
      <c r="Q395" s="25"/>
      <c r="R395" s="29" t="s">
        <v>1034</v>
      </c>
      <c r="S395" s="25" t="n">
        <f>53793171</f>
        <v>5.3793171E7</v>
      </c>
      <c r="T395" s="25" t="n">
        <f>53793171</f>
        <v>5.3793171E7</v>
      </c>
      <c r="U395" s="3" t="s">
        <v>285</v>
      </c>
      <c r="V395" s="27" t="n">
        <f>5553410000</f>
        <v>5.55341E9</v>
      </c>
      <c r="W395" s="3" t="s">
        <v>68</v>
      </c>
      <c r="X395" s="27" t="str">
        <f>"－"</f>
        <v>－</v>
      </c>
      <c r="Y395" s="27"/>
      <c r="Z395" s="25" t="str">
        <f>"－"</f>
        <v>－</v>
      </c>
      <c r="AA395" s="25" t="n">
        <f>16915</f>
        <v>16915.0</v>
      </c>
      <c r="AB395" s="2" t="s">
        <v>285</v>
      </c>
      <c r="AC395" s="26" t="n">
        <f>19815</f>
        <v>19815.0</v>
      </c>
      <c r="AD395" s="3" t="s">
        <v>68</v>
      </c>
      <c r="AE395" s="27" t="n">
        <f>3515</f>
        <v>3515.0</v>
      </c>
    </row>
    <row r="396">
      <c r="A396" s="20" t="s">
        <v>1006</v>
      </c>
      <c r="B396" s="21" t="s">
        <v>1007</v>
      </c>
      <c r="C396" s="22"/>
      <c r="D396" s="23"/>
      <c r="E396" s="24" t="s">
        <v>83</v>
      </c>
      <c r="F396" s="28" t="n">
        <f>123</f>
        <v>123.0</v>
      </c>
      <c r="G396" s="25" t="n">
        <f>4760</f>
        <v>4760.0</v>
      </c>
      <c r="H396" s="25"/>
      <c r="I396" s="25" t="n">
        <f>4760</f>
        <v>4760.0</v>
      </c>
      <c r="J396" s="25" t="n">
        <f>39</f>
        <v>39.0</v>
      </c>
      <c r="K396" s="25" t="n">
        <f>39</f>
        <v>39.0</v>
      </c>
      <c r="L396" s="2" t="s">
        <v>767</v>
      </c>
      <c r="M396" s="26" t="n">
        <f>2800</f>
        <v>2800.0</v>
      </c>
      <c r="N396" s="3" t="s">
        <v>156</v>
      </c>
      <c r="O396" s="27" t="str">
        <f>"－"</f>
        <v>－</v>
      </c>
      <c r="P396" s="29" t="s">
        <v>1035</v>
      </c>
      <c r="Q396" s="25"/>
      <c r="R396" s="29" t="s">
        <v>1035</v>
      </c>
      <c r="S396" s="25" t="n">
        <f>14634390</f>
        <v>1.463439E7</v>
      </c>
      <c r="T396" s="25" t="n">
        <f>14634390</f>
        <v>1.463439E7</v>
      </c>
      <c r="U396" s="3" t="s">
        <v>767</v>
      </c>
      <c r="V396" s="27" t="n">
        <f>1052800000</f>
        <v>1.0528E9</v>
      </c>
      <c r="W396" s="3" t="s">
        <v>156</v>
      </c>
      <c r="X396" s="27" t="str">
        <f>"－"</f>
        <v>－</v>
      </c>
      <c r="Y396" s="27"/>
      <c r="Z396" s="25" t="str">
        <f>"－"</f>
        <v>－</v>
      </c>
      <c r="AA396" s="25" t="n">
        <f>9640</f>
        <v>9640.0</v>
      </c>
      <c r="AB396" s="2" t="s">
        <v>156</v>
      </c>
      <c r="AC396" s="26" t="n">
        <f>16915</f>
        <v>16915.0</v>
      </c>
      <c r="AD396" s="3" t="s">
        <v>194</v>
      </c>
      <c r="AE396" s="27" t="n">
        <f>9640</f>
        <v>9640.0</v>
      </c>
    </row>
    <row r="397">
      <c r="A397" s="20" t="s">
        <v>1006</v>
      </c>
      <c r="B397" s="21" t="s">
        <v>1007</v>
      </c>
      <c r="C397" s="22"/>
      <c r="D397" s="23"/>
      <c r="E397" s="24" t="s">
        <v>89</v>
      </c>
      <c r="F397" s="28" t="n">
        <f>124</f>
        <v>124.0</v>
      </c>
      <c r="G397" s="25" t="n">
        <f>1922</f>
        <v>1922.0</v>
      </c>
      <c r="H397" s="25"/>
      <c r="I397" s="25" t="n">
        <f>1920</f>
        <v>1920.0</v>
      </c>
      <c r="J397" s="25" t="n">
        <f>16</f>
        <v>16.0</v>
      </c>
      <c r="K397" s="25" t="n">
        <f>15</f>
        <v>15.0</v>
      </c>
      <c r="L397" s="2" t="s">
        <v>278</v>
      </c>
      <c r="M397" s="26" t="n">
        <f>1310</f>
        <v>1310.0</v>
      </c>
      <c r="N397" s="3" t="s">
        <v>633</v>
      </c>
      <c r="O397" s="27" t="str">
        <f>"－"</f>
        <v>－</v>
      </c>
      <c r="P397" s="29" t="s">
        <v>1036</v>
      </c>
      <c r="Q397" s="25"/>
      <c r="R397" s="29" t="s">
        <v>1037</v>
      </c>
      <c r="S397" s="25" t="n">
        <f>6210524</f>
        <v>6210524.0</v>
      </c>
      <c r="T397" s="25" t="n">
        <f>6203387</f>
        <v>6203387.0</v>
      </c>
      <c r="U397" s="3" t="s">
        <v>278</v>
      </c>
      <c r="V397" s="27" t="n">
        <f>524000000</f>
        <v>5.24E8</v>
      </c>
      <c r="W397" s="3" t="s">
        <v>633</v>
      </c>
      <c r="X397" s="27" t="str">
        <f>"－"</f>
        <v>－</v>
      </c>
      <c r="Y397" s="27"/>
      <c r="Z397" s="25" t="str">
        <f>"－"</f>
        <v>－</v>
      </c>
      <c r="AA397" s="25" t="n">
        <f>7722</f>
        <v>7722.0</v>
      </c>
      <c r="AB397" s="2" t="s">
        <v>224</v>
      </c>
      <c r="AC397" s="26" t="n">
        <f>9641</f>
        <v>9641.0</v>
      </c>
      <c r="AD397" s="3" t="s">
        <v>278</v>
      </c>
      <c r="AE397" s="27" t="n">
        <f>7721</f>
        <v>7721.0</v>
      </c>
    </row>
    <row r="398">
      <c r="A398" s="20" t="s">
        <v>1006</v>
      </c>
      <c r="B398" s="21" t="s">
        <v>1007</v>
      </c>
      <c r="C398" s="22"/>
      <c r="D398" s="23"/>
      <c r="E398" s="24" t="s">
        <v>96</v>
      </c>
      <c r="F398" s="28" t="n">
        <f>121</f>
        <v>121.0</v>
      </c>
      <c r="G398" s="25" t="n">
        <f>310</f>
        <v>310.0</v>
      </c>
      <c r="H398" s="25"/>
      <c r="I398" s="25" t="n">
        <f>310</f>
        <v>310.0</v>
      </c>
      <c r="J398" s="25" t="n">
        <f>3</f>
        <v>3.0</v>
      </c>
      <c r="K398" s="25" t="n">
        <f>3</f>
        <v>3.0</v>
      </c>
      <c r="L398" s="2" t="s">
        <v>275</v>
      </c>
      <c r="M398" s="26" t="n">
        <f>310</f>
        <v>310.0</v>
      </c>
      <c r="N398" s="3" t="s">
        <v>156</v>
      </c>
      <c r="O398" s="27" t="str">
        <f>"－"</f>
        <v>－</v>
      </c>
      <c r="P398" s="29" t="s">
        <v>1038</v>
      </c>
      <c r="Q398" s="25"/>
      <c r="R398" s="29" t="s">
        <v>1038</v>
      </c>
      <c r="S398" s="25" t="n">
        <f>1096529</f>
        <v>1096529.0</v>
      </c>
      <c r="T398" s="25" t="n">
        <f>1096529</f>
        <v>1096529.0</v>
      </c>
      <c r="U398" s="3" t="s">
        <v>275</v>
      </c>
      <c r="V398" s="27" t="n">
        <f>132680000</f>
        <v>1.3268E8</v>
      </c>
      <c r="W398" s="3" t="s">
        <v>156</v>
      </c>
      <c r="X398" s="27" t="str">
        <f>"－"</f>
        <v>－</v>
      </c>
      <c r="Y398" s="27"/>
      <c r="Z398" s="25" t="str">
        <f>"－"</f>
        <v>－</v>
      </c>
      <c r="AA398" s="25" t="n">
        <f>6412</f>
        <v>6412.0</v>
      </c>
      <c r="AB398" s="2" t="s">
        <v>156</v>
      </c>
      <c r="AC398" s="26" t="n">
        <f>7722</f>
        <v>7722.0</v>
      </c>
      <c r="AD398" s="3" t="s">
        <v>273</v>
      </c>
      <c r="AE398" s="27" t="n">
        <f>6412</f>
        <v>6412.0</v>
      </c>
    </row>
    <row r="399">
      <c r="A399" s="20" t="s">
        <v>1006</v>
      </c>
      <c r="B399" s="21" t="s">
        <v>1007</v>
      </c>
      <c r="C399" s="22"/>
      <c r="D399" s="23"/>
      <c r="E399" s="24" t="s">
        <v>102</v>
      </c>
      <c r="F399" s="28" t="n">
        <f>124</f>
        <v>124.0</v>
      </c>
      <c r="G399" s="25" t="n">
        <f>2616</f>
        <v>2616.0</v>
      </c>
      <c r="H399" s="25"/>
      <c r="I399" s="25" t="n">
        <f>2610</f>
        <v>2610.0</v>
      </c>
      <c r="J399" s="25" t="n">
        <f>21</f>
        <v>21.0</v>
      </c>
      <c r="K399" s="25" t="n">
        <f>21</f>
        <v>21.0</v>
      </c>
      <c r="L399" s="2" t="s">
        <v>224</v>
      </c>
      <c r="M399" s="26" t="n">
        <f>1230</f>
        <v>1230.0</v>
      </c>
      <c r="N399" s="3" t="s">
        <v>215</v>
      </c>
      <c r="O399" s="27" t="str">
        <f>"－"</f>
        <v>－</v>
      </c>
      <c r="P399" s="29" t="s">
        <v>1039</v>
      </c>
      <c r="Q399" s="25"/>
      <c r="R399" s="29" t="s">
        <v>1040</v>
      </c>
      <c r="S399" s="25" t="n">
        <f>9104294</f>
        <v>9104294.0</v>
      </c>
      <c r="T399" s="25" t="n">
        <f>9082258</f>
        <v>9082258.0</v>
      </c>
      <c r="U399" s="3" t="s">
        <v>1041</v>
      </c>
      <c r="V399" s="27" t="n">
        <f>522585000</f>
        <v>5.22585E8</v>
      </c>
      <c r="W399" s="3" t="s">
        <v>215</v>
      </c>
      <c r="X399" s="27" t="str">
        <f>"－"</f>
        <v>－</v>
      </c>
      <c r="Y399" s="27"/>
      <c r="Z399" s="25" t="str">
        <f>"－"</f>
        <v>－</v>
      </c>
      <c r="AA399" s="25" t="n">
        <f>3808</f>
        <v>3808.0</v>
      </c>
      <c r="AB399" s="2" t="s">
        <v>215</v>
      </c>
      <c r="AC399" s="26" t="n">
        <f>6412</f>
        <v>6412.0</v>
      </c>
      <c r="AD399" s="3" t="s">
        <v>1041</v>
      </c>
      <c r="AE399" s="27" t="n">
        <f>3808</f>
        <v>3808.0</v>
      </c>
    </row>
    <row r="400">
      <c r="A400" s="20" t="s">
        <v>1006</v>
      </c>
      <c r="B400" s="21" t="s">
        <v>1007</v>
      </c>
      <c r="C400" s="22"/>
      <c r="D400" s="23"/>
      <c r="E400" s="24" t="s">
        <v>107</v>
      </c>
      <c r="F400" s="28" t="n">
        <f>117</f>
        <v>117.0</v>
      </c>
      <c r="G400" s="25" t="n">
        <f>174</f>
        <v>174.0</v>
      </c>
      <c r="H400" s="25"/>
      <c r="I400" s="25" t="n">
        <f>174</f>
        <v>174.0</v>
      </c>
      <c r="J400" s="25" t="n">
        <f>1</f>
        <v>1.0</v>
      </c>
      <c r="K400" s="25" t="n">
        <f>1</f>
        <v>1.0</v>
      </c>
      <c r="L400" s="2" t="s">
        <v>180</v>
      </c>
      <c r="M400" s="26" t="n">
        <f>174</f>
        <v>174.0</v>
      </c>
      <c r="N400" s="3" t="s">
        <v>156</v>
      </c>
      <c r="O400" s="27" t="str">
        <f>"－"</f>
        <v>－</v>
      </c>
      <c r="P400" s="29" t="s">
        <v>1042</v>
      </c>
      <c r="Q400" s="25"/>
      <c r="R400" s="29" t="s">
        <v>1042</v>
      </c>
      <c r="S400" s="25" t="n">
        <f>660308</f>
        <v>660308.0</v>
      </c>
      <c r="T400" s="25" t="n">
        <f>660308</f>
        <v>660308.0</v>
      </c>
      <c r="U400" s="3" t="s">
        <v>180</v>
      </c>
      <c r="V400" s="27" t="n">
        <f>77256000</f>
        <v>7.7256E7</v>
      </c>
      <c r="W400" s="3" t="s">
        <v>156</v>
      </c>
      <c r="X400" s="27" t="str">
        <f>"－"</f>
        <v>－</v>
      </c>
      <c r="Y400" s="27"/>
      <c r="Z400" s="25" t="str">
        <f>"－"</f>
        <v>－</v>
      </c>
      <c r="AA400" s="25" t="n">
        <f>7</f>
        <v>7.0</v>
      </c>
      <c r="AB400" s="2" t="s">
        <v>156</v>
      </c>
      <c r="AC400" s="26" t="n">
        <f>3808</f>
        <v>3808.0</v>
      </c>
      <c r="AD400" s="3" t="s">
        <v>558</v>
      </c>
      <c r="AE400" s="27" t="n">
        <f>7</f>
        <v>7.0</v>
      </c>
    </row>
    <row r="401">
      <c r="A401" s="20" t="s">
        <v>1006</v>
      </c>
      <c r="B401" s="21" t="s">
        <v>1007</v>
      </c>
      <c r="C401" s="22"/>
      <c r="D401" s="23"/>
      <c r="E401" s="24" t="s">
        <v>113</v>
      </c>
      <c r="F401" s="28" t="n">
        <f>124</f>
        <v>124.0</v>
      </c>
      <c r="G401" s="25" t="n">
        <f>20700</f>
        <v>20700.0</v>
      </c>
      <c r="H401" s="25"/>
      <c r="I401" s="25" t="n">
        <f>20700</f>
        <v>20700.0</v>
      </c>
      <c r="J401" s="25" t="n">
        <f>167</f>
        <v>167.0</v>
      </c>
      <c r="K401" s="25" t="n">
        <f>167</f>
        <v>167.0</v>
      </c>
      <c r="L401" s="2" t="s">
        <v>976</v>
      </c>
      <c r="M401" s="26" t="n">
        <f>10700</f>
        <v>10700.0</v>
      </c>
      <c r="N401" s="3" t="s">
        <v>68</v>
      </c>
      <c r="O401" s="27" t="str">
        <f>"－"</f>
        <v>－</v>
      </c>
      <c r="P401" s="29" t="s">
        <v>1043</v>
      </c>
      <c r="Q401" s="25"/>
      <c r="R401" s="29" t="s">
        <v>1043</v>
      </c>
      <c r="S401" s="25" t="n">
        <f>80097177</f>
        <v>8.0097177E7</v>
      </c>
      <c r="T401" s="25" t="n">
        <f>80097177</f>
        <v>8.0097177E7</v>
      </c>
      <c r="U401" s="3" t="s">
        <v>976</v>
      </c>
      <c r="V401" s="27" t="n">
        <f>5152050000</f>
        <v>5.15205E9</v>
      </c>
      <c r="W401" s="3" t="s">
        <v>68</v>
      </c>
      <c r="X401" s="27" t="str">
        <f>"－"</f>
        <v>－</v>
      </c>
      <c r="Y401" s="27"/>
      <c r="Z401" s="25" t="str">
        <f>"－"</f>
        <v>－</v>
      </c>
      <c r="AA401" s="25" t="n">
        <f>20707</f>
        <v>20707.0</v>
      </c>
      <c r="AB401" s="2" t="s">
        <v>976</v>
      </c>
      <c r="AC401" s="26" t="n">
        <f>20707</f>
        <v>20707.0</v>
      </c>
      <c r="AD401" s="3" t="s">
        <v>68</v>
      </c>
      <c r="AE401" s="27" t="n">
        <f>7</f>
        <v>7.0</v>
      </c>
    </row>
    <row r="402">
      <c r="A402" s="20" t="s">
        <v>1006</v>
      </c>
      <c r="B402" s="21" t="s">
        <v>1007</v>
      </c>
      <c r="C402" s="22"/>
      <c r="D402" s="23"/>
      <c r="E402" s="24" t="s">
        <v>119</v>
      </c>
      <c r="F402" s="28" t="n">
        <f>119</f>
        <v>119.0</v>
      </c>
      <c r="G402" s="25" t="n">
        <f>19959</f>
        <v>19959.0</v>
      </c>
      <c r="H402" s="25"/>
      <c r="I402" s="25" t="n">
        <f>19865</f>
        <v>19865.0</v>
      </c>
      <c r="J402" s="25" t="n">
        <f>168</f>
        <v>168.0</v>
      </c>
      <c r="K402" s="25" t="n">
        <f>167</f>
        <v>167.0</v>
      </c>
      <c r="L402" s="2" t="s">
        <v>97</v>
      </c>
      <c r="M402" s="26" t="n">
        <f>8680</f>
        <v>8680.0</v>
      </c>
      <c r="N402" s="3" t="s">
        <v>328</v>
      </c>
      <c r="O402" s="27" t="str">
        <f>"－"</f>
        <v>－</v>
      </c>
      <c r="P402" s="29" t="s">
        <v>1044</v>
      </c>
      <c r="Q402" s="25"/>
      <c r="R402" s="29" t="s">
        <v>1045</v>
      </c>
      <c r="S402" s="25" t="n">
        <f>73328479</f>
        <v>7.3328479E7</v>
      </c>
      <c r="T402" s="25" t="n">
        <f>73048546</f>
        <v>7.3048546E7</v>
      </c>
      <c r="U402" s="3" t="s">
        <v>97</v>
      </c>
      <c r="V402" s="27" t="n">
        <f>3966760000</f>
        <v>3.96676E9</v>
      </c>
      <c r="W402" s="3" t="s">
        <v>328</v>
      </c>
      <c r="X402" s="27" t="str">
        <f>"－"</f>
        <v>－</v>
      </c>
      <c r="Y402" s="27"/>
      <c r="Z402" s="25" t="str">
        <f>"－"</f>
        <v>－</v>
      </c>
      <c r="AA402" s="25" t="n">
        <f>32380</f>
        <v>32380.0</v>
      </c>
      <c r="AB402" s="2" t="s">
        <v>97</v>
      </c>
      <c r="AC402" s="26" t="n">
        <f>36437</f>
        <v>36437.0</v>
      </c>
      <c r="AD402" s="3" t="s">
        <v>328</v>
      </c>
      <c r="AE402" s="27" t="n">
        <f>20707</f>
        <v>20707.0</v>
      </c>
    </row>
    <row r="403">
      <c r="A403" s="20" t="s">
        <v>1006</v>
      </c>
      <c r="B403" s="21" t="s">
        <v>1007</v>
      </c>
      <c r="C403" s="22"/>
      <c r="D403" s="23"/>
      <c r="E403" s="24" t="s">
        <v>124</v>
      </c>
      <c r="F403" s="28" t="n">
        <f>124</f>
        <v>124.0</v>
      </c>
      <c r="G403" s="25" t="n">
        <f>2070</f>
        <v>2070.0</v>
      </c>
      <c r="H403" s="25"/>
      <c r="I403" s="25" t="n">
        <f>2065</f>
        <v>2065.0</v>
      </c>
      <c r="J403" s="25" t="n">
        <f>17</f>
        <v>17.0</v>
      </c>
      <c r="K403" s="25" t="n">
        <f>17</f>
        <v>17.0</v>
      </c>
      <c r="L403" s="2" t="s">
        <v>388</v>
      </c>
      <c r="M403" s="26" t="n">
        <f>1035</f>
        <v>1035.0</v>
      </c>
      <c r="N403" s="3" t="s">
        <v>68</v>
      </c>
      <c r="O403" s="27" t="str">
        <f>"－"</f>
        <v>－</v>
      </c>
      <c r="P403" s="29" t="s">
        <v>1046</v>
      </c>
      <c r="Q403" s="25"/>
      <c r="R403" s="29" t="s">
        <v>1047</v>
      </c>
      <c r="S403" s="25" t="n">
        <f>6332645</f>
        <v>6332645.0</v>
      </c>
      <c r="T403" s="25" t="n">
        <f>6316516</f>
        <v>6316516.0</v>
      </c>
      <c r="U403" s="3" t="s">
        <v>744</v>
      </c>
      <c r="V403" s="27" t="n">
        <f>392018000</f>
        <v>3.92018E8</v>
      </c>
      <c r="W403" s="3" t="s">
        <v>68</v>
      </c>
      <c r="X403" s="27" t="str">
        <f>"－"</f>
        <v>－</v>
      </c>
      <c r="Y403" s="27"/>
      <c r="Z403" s="25" t="str">
        <f>"－"</f>
        <v>－</v>
      </c>
      <c r="AA403" s="25" t="n">
        <f>30320</f>
        <v>30320.0</v>
      </c>
      <c r="AB403" s="2" t="s">
        <v>68</v>
      </c>
      <c r="AC403" s="26" t="n">
        <f>32380</f>
        <v>32380.0</v>
      </c>
      <c r="AD403" s="3" t="s">
        <v>388</v>
      </c>
      <c r="AE403" s="27" t="n">
        <f>30315</f>
        <v>30315.0</v>
      </c>
    </row>
    <row r="404">
      <c r="A404" s="20" t="s">
        <v>1006</v>
      </c>
      <c r="B404" s="21" t="s">
        <v>1007</v>
      </c>
      <c r="C404" s="22"/>
      <c r="D404" s="23"/>
      <c r="E404" s="24" t="s">
        <v>130</v>
      </c>
      <c r="F404" s="28" t="n">
        <f>121</f>
        <v>121.0</v>
      </c>
      <c r="G404" s="25" t="n">
        <f>8172</f>
        <v>8172.0</v>
      </c>
      <c r="H404" s="25"/>
      <c r="I404" s="25" t="n">
        <f>8147</f>
        <v>8147.0</v>
      </c>
      <c r="J404" s="25" t="n">
        <f>68</f>
        <v>68.0</v>
      </c>
      <c r="K404" s="25" t="n">
        <f>67</f>
        <v>67.0</v>
      </c>
      <c r="L404" s="2" t="s">
        <v>513</v>
      </c>
      <c r="M404" s="26" t="n">
        <f>7062</f>
        <v>7062.0</v>
      </c>
      <c r="N404" s="3" t="s">
        <v>156</v>
      </c>
      <c r="O404" s="27" t="str">
        <f>"－"</f>
        <v>－</v>
      </c>
      <c r="P404" s="29" t="s">
        <v>1048</v>
      </c>
      <c r="Q404" s="25"/>
      <c r="R404" s="29" t="s">
        <v>1049</v>
      </c>
      <c r="S404" s="25" t="n">
        <f>37337802</f>
        <v>3.7337802E7</v>
      </c>
      <c r="T404" s="25" t="n">
        <f>37243921</f>
        <v>3.7243921E7</v>
      </c>
      <c r="U404" s="3" t="s">
        <v>513</v>
      </c>
      <c r="V404" s="27" t="n">
        <f>3997092000</f>
        <v>3.997092E9</v>
      </c>
      <c r="W404" s="3" t="s">
        <v>156</v>
      </c>
      <c r="X404" s="27" t="str">
        <f>"－"</f>
        <v>－</v>
      </c>
      <c r="Y404" s="27"/>
      <c r="Z404" s="25" t="str">
        <f>"－"</f>
        <v>－</v>
      </c>
      <c r="AA404" s="25" t="n">
        <f>36259</f>
        <v>36259.0</v>
      </c>
      <c r="AB404" s="2" t="s">
        <v>513</v>
      </c>
      <c r="AC404" s="26" t="n">
        <f>36269</f>
        <v>36269.0</v>
      </c>
      <c r="AD404" s="3" t="s">
        <v>88</v>
      </c>
      <c r="AE404" s="27" t="n">
        <f>29207</f>
        <v>29207.0</v>
      </c>
    </row>
    <row r="405">
      <c r="A405" s="20" t="s">
        <v>1006</v>
      </c>
      <c r="B405" s="21" t="s">
        <v>1007</v>
      </c>
      <c r="C405" s="22"/>
      <c r="D405" s="23"/>
      <c r="E405" s="24" t="s">
        <v>136</v>
      </c>
      <c r="F405" s="28" t="n">
        <f>124</f>
        <v>124.0</v>
      </c>
      <c r="G405" s="25" t="n">
        <f>1783</f>
        <v>1783.0</v>
      </c>
      <c r="H405" s="25"/>
      <c r="I405" s="25" t="n">
        <f>1783</f>
        <v>1783.0</v>
      </c>
      <c r="J405" s="25" t="n">
        <f>14</f>
        <v>14.0</v>
      </c>
      <c r="K405" s="25" t="n">
        <f>14</f>
        <v>14.0</v>
      </c>
      <c r="L405" s="2" t="s">
        <v>64</v>
      </c>
      <c r="M405" s="26" t="n">
        <f>1045</f>
        <v>1045.0</v>
      </c>
      <c r="N405" s="3" t="s">
        <v>68</v>
      </c>
      <c r="O405" s="27" t="str">
        <f>"－"</f>
        <v>－</v>
      </c>
      <c r="P405" s="29" t="s">
        <v>1050</v>
      </c>
      <c r="Q405" s="25"/>
      <c r="R405" s="29" t="s">
        <v>1050</v>
      </c>
      <c r="S405" s="25" t="n">
        <f>6963067</f>
        <v>6963067.0</v>
      </c>
      <c r="T405" s="25" t="n">
        <f>6963067</f>
        <v>6963067.0</v>
      </c>
      <c r="U405" s="3" t="s">
        <v>64</v>
      </c>
      <c r="V405" s="27" t="n">
        <f>503167500</f>
        <v>5.031675E8</v>
      </c>
      <c r="W405" s="3" t="s">
        <v>68</v>
      </c>
      <c r="X405" s="27" t="str">
        <f>"－"</f>
        <v>－</v>
      </c>
      <c r="Y405" s="27"/>
      <c r="Z405" s="25" t="str">
        <f>"－"</f>
        <v>－</v>
      </c>
      <c r="AA405" s="25" t="n">
        <f>34476</f>
        <v>34476.0</v>
      </c>
      <c r="AB405" s="2" t="s">
        <v>68</v>
      </c>
      <c r="AC405" s="26" t="n">
        <f>36259</f>
        <v>36259.0</v>
      </c>
      <c r="AD405" s="3" t="s">
        <v>64</v>
      </c>
      <c r="AE405" s="27" t="n">
        <f>34476</f>
        <v>34476.0</v>
      </c>
    </row>
    <row r="406">
      <c r="A406" s="20" t="s">
        <v>1006</v>
      </c>
      <c r="B406" s="21" t="s">
        <v>1007</v>
      </c>
      <c r="C406" s="22"/>
      <c r="D406" s="23"/>
      <c r="E406" s="24" t="s">
        <v>142</v>
      </c>
      <c r="F406" s="28" t="n">
        <f>120</f>
        <v>120.0</v>
      </c>
      <c r="G406" s="25" t="n">
        <f>5219</f>
        <v>5219.0</v>
      </c>
      <c r="H406" s="25"/>
      <c r="I406" s="25" t="n">
        <f>5189</f>
        <v>5189.0</v>
      </c>
      <c r="J406" s="25" t="n">
        <f>43</f>
        <v>43.0</v>
      </c>
      <c r="K406" s="25" t="n">
        <f>43</f>
        <v>43.0</v>
      </c>
      <c r="L406" s="2" t="s">
        <v>112</v>
      </c>
      <c r="M406" s="26" t="n">
        <f>5125</f>
        <v>5125.0</v>
      </c>
      <c r="N406" s="3" t="s">
        <v>156</v>
      </c>
      <c r="O406" s="27" t="str">
        <f>"－"</f>
        <v>－</v>
      </c>
      <c r="P406" s="29" t="s">
        <v>1051</v>
      </c>
      <c r="Q406" s="25"/>
      <c r="R406" s="29" t="s">
        <v>1052</v>
      </c>
      <c r="S406" s="25" t="n">
        <f>25318571</f>
        <v>2.5318571E7</v>
      </c>
      <c r="T406" s="25" t="n">
        <f>25188021</f>
        <v>2.5188021E7</v>
      </c>
      <c r="U406" s="3" t="s">
        <v>112</v>
      </c>
      <c r="V406" s="27" t="n">
        <f>2987875000</f>
        <v>2.987875E9</v>
      </c>
      <c r="W406" s="3" t="s">
        <v>156</v>
      </c>
      <c r="X406" s="27" t="str">
        <f>"－"</f>
        <v>－</v>
      </c>
      <c r="Y406" s="27"/>
      <c r="Z406" s="25" t="str">
        <f>"－"</f>
        <v>－</v>
      </c>
      <c r="AA406" s="25" t="n">
        <f>12139</f>
        <v>12139.0</v>
      </c>
      <c r="AB406" s="2" t="s">
        <v>156</v>
      </c>
      <c r="AC406" s="26" t="n">
        <f>34476</f>
        <v>34476.0</v>
      </c>
      <c r="AD406" s="3" t="s">
        <v>558</v>
      </c>
      <c r="AE406" s="27" t="n">
        <f>7014</f>
        <v>7014.0</v>
      </c>
    </row>
    <row r="407">
      <c r="A407" s="20" t="s">
        <v>1006</v>
      </c>
      <c r="B407" s="21" t="s">
        <v>1007</v>
      </c>
      <c r="C407" s="22"/>
      <c r="D407" s="23"/>
      <c r="E407" s="24" t="s">
        <v>148</v>
      </c>
      <c r="F407" s="28" t="n">
        <f>124</f>
        <v>124.0</v>
      </c>
      <c r="G407" s="25" t="n">
        <f>35</f>
        <v>35.0</v>
      </c>
      <c r="H407" s="25"/>
      <c r="I407" s="25" t="n">
        <f>35</f>
        <v>35.0</v>
      </c>
      <c r="J407" s="25" t="n">
        <f>0</f>
        <v>0.0</v>
      </c>
      <c r="K407" s="25" t="n">
        <f>0</f>
        <v>0.0</v>
      </c>
      <c r="L407" s="2" t="s">
        <v>947</v>
      </c>
      <c r="M407" s="26" t="n">
        <f>35</f>
        <v>35.0</v>
      </c>
      <c r="N407" s="3" t="s">
        <v>68</v>
      </c>
      <c r="O407" s="27" t="str">
        <f>"－"</f>
        <v>－</v>
      </c>
      <c r="P407" s="29" t="s">
        <v>1053</v>
      </c>
      <c r="Q407" s="25"/>
      <c r="R407" s="29" t="s">
        <v>1053</v>
      </c>
      <c r="S407" s="25" t="n">
        <f>167379</f>
        <v>167379.0</v>
      </c>
      <c r="T407" s="25" t="n">
        <f>167379</f>
        <v>167379.0</v>
      </c>
      <c r="U407" s="3" t="s">
        <v>947</v>
      </c>
      <c r="V407" s="27" t="n">
        <f>20755000</f>
        <v>2.0755E7</v>
      </c>
      <c r="W407" s="3" t="s">
        <v>68</v>
      </c>
      <c r="X407" s="27" t="str">
        <f>"－"</f>
        <v>－</v>
      </c>
      <c r="Y407" s="27"/>
      <c r="Z407" s="25" t="str">
        <f>"－"</f>
        <v>－</v>
      </c>
      <c r="AA407" s="25" t="n">
        <f>12104</f>
        <v>12104.0</v>
      </c>
      <c r="AB407" s="2" t="s">
        <v>68</v>
      </c>
      <c r="AC407" s="26" t="n">
        <f>12139</f>
        <v>12139.0</v>
      </c>
      <c r="AD407" s="3" t="s">
        <v>947</v>
      </c>
      <c r="AE407" s="27" t="n">
        <f>12104</f>
        <v>12104.0</v>
      </c>
    </row>
    <row r="408">
      <c r="A408" s="20" t="s">
        <v>1006</v>
      </c>
      <c r="B408" s="21" t="s">
        <v>1007</v>
      </c>
      <c r="C408" s="22"/>
      <c r="D408" s="23"/>
      <c r="E408" s="24" t="s">
        <v>151</v>
      </c>
      <c r="F408" s="28" t="n">
        <f>122</f>
        <v>122.0</v>
      </c>
      <c r="G408" s="25" t="n">
        <f>65</f>
        <v>65.0</v>
      </c>
      <c r="H408" s="25"/>
      <c r="I408" s="25" t="n">
        <f>60</f>
        <v>60.0</v>
      </c>
      <c r="J408" s="25" t="n">
        <f>1</f>
        <v>1.0</v>
      </c>
      <c r="K408" s="25" t="n">
        <f>0</f>
        <v>0.0</v>
      </c>
      <c r="L408" s="2" t="s">
        <v>291</v>
      </c>
      <c r="M408" s="26" t="n">
        <f>51</f>
        <v>51.0</v>
      </c>
      <c r="N408" s="3" t="s">
        <v>156</v>
      </c>
      <c r="O408" s="27" t="str">
        <f>"－"</f>
        <v>－</v>
      </c>
      <c r="P408" s="29" t="s">
        <v>1054</v>
      </c>
      <c r="Q408" s="25"/>
      <c r="R408" s="29" t="s">
        <v>1055</v>
      </c>
      <c r="S408" s="25" t="n">
        <f>323246</f>
        <v>323246.0</v>
      </c>
      <c r="T408" s="25" t="n">
        <f>298082</f>
        <v>298082.0</v>
      </c>
      <c r="U408" s="3" t="s">
        <v>291</v>
      </c>
      <c r="V408" s="27" t="n">
        <f>30705000</f>
        <v>3.0705E7</v>
      </c>
      <c r="W408" s="3" t="s">
        <v>156</v>
      </c>
      <c r="X408" s="27" t="str">
        <f>"－"</f>
        <v>－</v>
      </c>
      <c r="Y408" s="27"/>
      <c r="Z408" s="25" t="str">
        <f>"－"</f>
        <v>－</v>
      </c>
      <c r="AA408" s="25" t="n">
        <f>12029</f>
        <v>12029.0</v>
      </c>
      <c r="AB408" s="2" t="s">
        <v>156</v>
      </c>
      <c r="AC408" s="26" t="n">
        <f>12104</f>
        <v>12104.0</v>
      </c>
      <c r="AD408" s="3" t="s">
        <v>131</v>
      </c>
      <c r="AE408" s="27" t="n">
        <f>12029</f>
        <v>12029.0</v>
      </c>
    </row>
    <row r="409">
      <c r="A409" s="20" t="s">
        <v>1006</v>
      </c>
      <c r="B409" s="21" t="s">
        <v>1007</v>
      </c>
      <c r="C409" s="22"/>
      <c r="D409" s="23"/>
      <c r="E409" s="24" t="s">
        <v>157</v>
      </c>
      <c r="F409" s="28" t="n">
        <f>124</f>
        <v>124.0</v>
      </c>
      <c r="G409" s="25" t="n">
        <f>2147</f>
        <v>2147.0</v>
      </c>
      <c r="H409" s="25"/>
      <c r="I409" s="25" t="n">
        <f>2137</f>
        <v>2137.0</v>
      </c>
      <c r="J409" s="25" t="n">
        <f>17</f>
        <v>17.0</v>
      </c>
      <c r="K409" s="25" t="n">
        <f>17</f>
        <v>17.0</v>
      </c>
      <c r="L409" s="2" t="s">
        <v>254</v>
      </c>
      <c r="M409" s="26" t="n">
        <f>1548</f>
        <v>1548.0</v>
      </c>
      <c r="N409" s="3" t="s">
        <v>633</v>
      </c>
      <c r="O409" s="27" t="str">
        <f>"－"</f>
        <v>－</v>
      </c>
      <c r="P409" s="29" t="s">
        <v>1056</v>
      </c>
      <c r="Q409" s="25"/>
      <c r="R409" s="29" t="s">
        <v>1057</v>
      </c>
      <c r="S409" s="25" t="n">
        <f>11041016</f>
        <v>1.1041016E7</v>
      </c>
      <c r="T409" s="25" t="n">
        <f>10990169</f>
        <v>1.0990169E7</v>
      </c>
      <c r="U409" s="3" t="s">
        <v>254</v>
      </c>
      <c r="V409" s="27" t="n">
        <f>992784000</f>
        <v>9.92784E8</v>
      </c>
      <c r="W409" s="3" t="s">
        <v>633</v>
      </c>
      <c r="X409" s="27" t="str">
        <f>"－"</f>
        <v>－</v>
      </c>
      <c r="Y409" s="27"/>
      <c r="Z409" s="25" t="str">
        <f>"－"</f>
        <v>－</v>
      </c>
      <c r="AA409" s="25" t="n">
        <f>13498</f>
        <v>13498.0</v>
      </c>
      <c r="AB409" s="2" t="s">
        <v>254</v>
      </c>
      <c r="AC409" s="26" t="n">
        <f>13577</f>
        <v>13577.0</v>
      </c>
      <c r="AD409" s="3" t="s">
        <v>633</v>
      </c>
      <c r="AE409" s="27" t="n">
        <f>12029</f>
        <v>12029.0</v>
      </c>
    </row>
    <row r="410">
      <c r="A410" s="20" t="s">
        <v>1006</v>
      </c>
      <c r="B410" s="21" t="s">
        <v>1007</v>
      </c>
      <c r="C410" s="22"/>
      <c r="D410" s="23"/>
      <c r="E410" s="24" t="s">
        <v>160</v>
      </c>
      <c r="F410" s="28" t="n">
        <f>58</f>
        <v>58.0</v>
      </c>
      <c r="G410" s="25" t="n">
        <f>1549</f>
        <v>1549.0</v>
      </c>
      <c r="H410" s="25"/>
      <c r="I410" s="25" t="n">
        <f>1549</f>
        <v>1549.0</v>
      </c>
      <c r="J410" s="25" t="n">
        <f>27</f>
        <v>27.0</v>
      </c>
      <c r="K410" s="25" t="n">
        <f>27</f>
        <v>27.0</v>
      </c>
      <c r="L410" s="2" t="s">
        <v>863</v>
      </c>
      <c r="M410" s="26" t="n">
        <f>1448</f>
        <v>1448.0</v>
      </c>
      <c r="N410" s="3" t="s">
        <v>156</v>
      </c>
      <c r="O410" s="27" t="str">
        <f>"－"</f>
        <v>－</v>
      </c>
      <c r="P410" s="29" t="s">
        <v>1058</v>
      </c>
      <c r="Q410" s="25"/>
      <c r="R410" s="29" t="s">
        <v>1058</v>
      </c>
      <c r="S410" s="25" t="n">
        <f>18105552</f>
        <v>1.8105552E7</v>
      </c>
      <c r="T410" s="25" t="n">
        <f>18105552</f>
        <v>1.8105552E7</v>
      </c>
      <c r="U410" s="3" t="s">
        <v>863</v>
      </c>
      <c r="V410" s="27" t="n">
        <f>983312000</f>
        <v>9.83312E8</v>
      </c>
      <c r="W410" s="3" t="s">
        <v>156</v>
      </c>
      <c r="X410" s="27" t="str">
        <f>"－"</f>
        <v>－</v>
      </c>
      <c r="Y410" s="27"/>
      <c r="Z410" s="25" t="str">
        <f>"－"</f>
        <v>－</v>
      </c>
      <c r="AA410" s="25" t="n">
        <f>14845</f>
        <v>14845.0</v>
      </c>
      <c r="AB410" s="2" t="s">
        <v>863</v>
      </c>
      <c r="AC410" s="26" t="n">
        <f>14946</f>
        <v>14946.0</v>
      </c>
      <c r="AD410" s="3" t="s">
        <v>156</v>
      </c>
      <c r="AE410" s="27" t="n">
        <f>13498</f>
        <v>13498.0</v>
      </c>
    </row>
    <row r="411">
      <c r="A411" s="20" t="s">
        <v>1059</v>
      </c>
      <c r="B411" s="21" t="s">
        <v>1060</v>
      </c>
      <c r="C411" s="22"/>
      <c r="D411" s="23"/>
      <c r="E411" s="24" t="s">
        <v>48</v>
      </c>
      <c r="F411" s="28" t="n">
        <f>21</f>
        <v>21.0</v>
      </c>
      <c r="G411" s="25" t="n">
        <f>17166</f>
        <v>17166.0</v>
      </c>
      <c r="H411" s="25"/>
      <c r="I411" s="25" t="n">
        <f>4345</f>
        <v>4345.0</v>
      </c>
      <c r="J411" s="25" t="n">
        <f>817</f>
        <v>817.0</v>
      </c>
      <c r="K411" s="25" t="n">
        <f>207</f>
        <v>207.0</v>
      </c>
      <c r="L411" s="2" t="s">
        <v>269</v>
      </c>
      <c r="M411" s="26" t="n">
        <f>1320</f>
        <v>1320.0</v>
      </c>
      <c r="N411" s="3" t="s">
        <v>93</v>
      </c>
      <c r="O411" s="27" t="n">
        <f>325</f>
        <v>325.0</v>
      </c>
      <c r="P411" s="29" t="s">
        <v>1061</v>
      </c>
      <c r="Q411" s="25"/>
      <c r="R411" s="29" t="s">
        <v>1062</v>
      </c>
      <c r="S411" s="25" t="n">
        <f>215687524</f>
        <v>2.15687524E8</v>
      </c>
      <c r="T411" s="25" t="n">
        <f>54272262</f>
        <v>5.4272262E7</v>
      </c>
      <c r="U411" s="3" t="s">
        <v>49</v>
      </c>
      <c r="V411" s="27" t="n">
        <f>349963000</f>
        <v>3.49963E8</v>
      </c>
      <c r="W411" s="3" t="s">
        <v>93</v>
      </c>
      <c r="X411" s="27" t="n">
        <f>88143500</f>
        <v>8.81435E7</v>
      </c>
      <c r="Y411" s="27"/>
      <c r="Z411" s="25" t="str">
        <f>"－"</f>
        <v>－</v>
      </c>
      <c r="AA411" s="25" t="n">
        <f>7458</f>
        <v>7458.0</v>
      </c>
      <c r="AB411" s="2" t="s">
        <v>129</v>
      </c>
      <c r="AC411" s="26" t="n">
        <f>7458</f>
        <v>7458.0</v>
      </c>
      <c r="AD411" s="3" t="s">
        <v>1063</v>
      </c>
      <c r="AE411" s="27" t="n">
        <f>5500</f>
        <v>5500.0</v>
      </c>
    </row>
    <row r="412">
      <c r="A412" s="20" t="s">
        <v>1059</v>
      </c>
      <c r="B412" s="21" t="s">
        <v>1060</v>
      </c>
      <c r="C412" s="22"/>
      <c r="D412" s="23"/>
      <c r="E412" s="24" t="s">
        <v>55</v>
      </c>
      <c r="F412" s="28" t="n">
        <f>121</f>
        <v>121.0</v>
      </c>
      <c r="G412" s="25" t="n">
        <f>118427</f>
        <v>118427.0</v>
      </c>
      <c r="H412" s="25"/>
      <c r="I412" s="25" t="n">
        <f>68416</f>
        <v>68416.0</v>
      </c>
      <c r="J412" s="25" t="n">
        <f>979</f>
        <v>979.0</v>
      </c>
      <c r="K412" s="25" t="n">
        <f>565</f>
        <v>565.0</v>
      </c>
      <c r="L412" s="2" t="s">
        <v>56</v>
      </c>
      <c r="M412" s="26" t="n">
        <f>2098</f>
        <v>2098.0</v>
      </c>
      <c r="N412" s="3" t="s">
        <v>1064</v>
      </c>
      <c r="O412" s="27" t="n">
        <f>361</f>
        <v>361.0</v>
      </c>
      <c r="P412" s="29" t="s">
        <v>1065</v>
      </c>
      <c r="Q412" s="25"/>
      <c r="R412" s="29" t="s">
        <v>1066</v>
      </c>
      <c r="S412" s="25" t="n">
        <f>213237831</f>
        <v>2.13237831E8</v>
      </c>
      <c r="T412" s="25" t="n">
        <f>122373256</f>
        <v>1.22373256E8</v>
      </c>
      <c r="U412" s="3" t="s">
        <v>56</v>
      </c>
      <c r="V412" s="27" t="n">
        <f>429099500</f>
        <v>4.290995E8</v>
      </c>
      <c r="W412" s="3" t="s">
        <v>1064</v>
      </c>
      <c r="X412" s="27" t="n">
        <f>75751000</f>
        <v>7.5751E7</v>
      </c>
      <c r="Y412" s="27"/>
      <c r="Z412" s="25" t="str">
        <f>"－"</f>
        <v>－</v>
      </c>
      <c r="AA412" s="25" t="n">
        <f>8192</f>
        <v>8192.0</v>
      </c>
      <c r="AB412" s="2" t="s">
        <v>458</v>
      </c>
      <c r="AC412" s="26" t="n">
        <f>11199</f>
        <v>11199.0</v>
      </c>
      <c r="AD412" s="3" t="s">
        <v>171</v>
      </c>
      <c r="AE412" s="27" t="n">
        <f>6208</f>
        <v>6208.0</v>
      </c>
    </row>
    <row r="413">
      <c r="A413" s="20" t="s">
        <v>1059</v>
      </c>
      <c r="B413" s="21" t="s">
        <v>1060</v>
      </c>
      <c r="C413" s="22"/>
      <c r="D413" s="23"/>
      <c r="E413" s="24" t="s">
        <v>62</v>
      </c>
      <c r="F413" s="28" t="n">
        <f>123</f>
        <v>123.0</v>
      </c>
      <c r="G413" s="25" t="n">
        <f>99853</f>
        <v>99853.0</v>
      </c>
      <c r="H413" s="25"/>
      <c r="I413" s="25" t="n">
        <f>13667</f>
        <v>13667.0</v>
      </c>
      <c r="J413" s="25" t="n">
        <f>812</f>
        <v>812.0</v>
      </c>
      <c r="K413" s="25" t="n">
        <f>111</f>
        <v>111.0</v>
      </c>
      <c r="L413" s="2" t="s">
        <v>663</v>
      </c>
      <c r="M413" s="26" t="n">
        <f>1592</f>
        <v>1592.0</v>
      </c>
      <c r="N413" s="3" t="s">
        <v>1067</v>
      </c>
      <c r="O413" s="27" t="n">
        <f>55</f>
        <v>55.0</v>
      </c>
      <c r="P413" s="29" t="s">
        <v>1068</v>
      </c>
      <c r="Q413" s="25"/>
      <c r="R413" s="29" t="s">
        <v>1069</v>
      </c>
      <c r="S413" s="25" t="n">
        <f>193189020</f>
        <v>1.9318902E8</v>
      </c>
      <c r="T413" s="25" t="n">
        <f>24562199</f>
        <v>2.4562199E7</v>
      </c>
      <c r="U413" s="3" t="s">
        <v>280</v>
      </c>
      <c r="V413" s="27" t="n">
        <f>427306500</f>
        <v>4.273065E8</v>
      </c>
      <c r="W413" s="3" t="s">
        <v>1067</v>
      </c>
      <c r="X413" s="27" t="n">
        <f>14354000</f>
        <v>1.4354E7</v>
      </c>
      <c r="Y413" s="27"/>
      <c r="Z413" s="25" t="n">
        <f>8611</f>
        <v>8611.0</v>
      </c>
      <c r="AA413" s="25" t="n">
        <f>4409</f>
        <v>4409.0</v>
      </c>
      <c r="AB413" s="2" t="s">
        <v>68</v>
      </c>
      <c r="AC413" s="26" t="n">
        <f>8113</f>
        <v>8113.0</v>
      </c>
      <c r="AD413" s="3" t="s">
        <v>350</v>
      </c>
      <c r="AE413" s="27" t="n">
        <f>4073</f>
        <v>4073.0</v>
      </c>
    </row>
    <row r="414">
      <c r="A414" s="20" t="s">
        <v>1059</v>
      </c>
      <c r="B414" s="21" t="s">
        <v>1060</v>
      </c>
      <c r="C414" s="22"/>
      <c r="D414" s="23"/>
      <c r="E414" s="24" t="s">
        <v>69</v>
      </c>
      <c r="F414" s="28" t="n">
        <f>122</f>
        <v>122.0</v>
      </c>
      <c r="G414" s="25" t="n">
        <f>60129</f>
        <v>60129.0</v>
      </c>
      <c r="H414" s="25"/>
      <c r="I414" s="25" t="n">
        <f>4007</f>
        <v>4007.0</v>
      </c>
      <c r="J414" s="25" t="n">
        <f>493</f>
        <v>493.0</v>
      </c>
      <c r="K414" s="25" t="n">
        <f>33</f>
        <v>33.0</v>
      </c>
      <c r="L414" s="2" t="s">
        <v>422</v>
      </c>
      <c r="M414" s="26" t="n">
        <f>4109</f>
        <v>4109.0</v>
      </c>
      <c r="N414" s="3" t="s">
        <v>205</v>
      </c>
      <c r="O414" s="27" t="n">
        <f>17</f>
        <v>17.0</v>
      </c>
      <c r="P414" s="29" t="s">
        <v>1070</v>
      </c>
      <c r="Q414" s="25"/>
      <c r="R414" s="29" t="s">
        <v>1071</v>
      </c>
      <c r="S414" s="25" t="n">
        <f>145912090</f>
        <v>1.4591209E8</v>
      </c>
      <c r="T414" s="25" t="n">
        <f>9627918</f>
        <v>9627918.0</v>
      </c>
      <c r="U414" s="3" t="s">
        <v>422</v>
      </c>
      <c r="V414" s="27" t="n">
        <f>1228131000</f>
        <v>1.228131E9</v>
      </c>
      <c r="W414" s="3" t="s">
        <v>205</v>
      </c>
      <c r="X414" s="27" t="n">
        <f>5097000</f>
        <v>5097000.0</v>
      </c>
      <c r="Y414" s="27"/>
      <c r="Z414" s="25" t="n">
        <f>15544</f>
        <v>15544.0</v>
      </c>
      <c r="AA414" s="25" t="n">
        <f>2135</f>
        <v>2135.0</v>
      </c>
      <c r="AB414" s="2" t="s">
        <v>209</v>
      </c>
      <c r="AC414" s="26" t="n">
        <f>6507</f>
        <v>6507.0</v>
      </c>
      <c r="AD414" s="3" t="s">
        <v>670</v>
      </c>
      <c r="AE414" s="27" t="n">
        <f>764</f>
        <v>764.0</v>
      </c>
    </row>
    <row r="415">
      <c r="A415" s="20" t="s">
        <v>1059</v>
      </c>
      <c r="B415" s="21" t="s">
        <v>1060</v>
      </c>
      <c r="C415" s="22"/>
      <c r="D415" s="23"/>
      <c r="E415" s="24" t="s">
        <v>76</v>
      </c>
      <c r="F415" s="28" t="n">
        <f>123</f>
        <v>123.0</v>
      </c>
      <c r="G415" s="25" t="n">
        <f>17959</f>
        <v>17959.0</v>
      </c>
      <c r="H415" s="25"/>
      <c r="I415" s="25" t="n">
        <f>4000</f>
        <v>4000.0</v>
      </c>
      <c r="J415" s="25" t="n">
        <f>146</f>
        <v>146.0</v>
      </c>
      <c r="K415" s="25" t="n">
        <f>33</f>
        <v>33.0</v>
      </c>
      <c r="L415" s="2" t="s">
        <v>1072</v>
      </c>
      <c r="M415" s="26" t="n">
        <f>2102</f>
        <v>2102.0</v>
      </c>
      <c r="N415" s="3" t="s">
        <v>271</v>
      </c>
      <c r="O415" s="27" t="n">
        <f>1</f>
        <v>1.0</v>
      </c>
      <c r="P415" s="29" t="s">
        <v>1073</v>
      </c>
      <c r="Q415" s="25"/>
      <c r="R415" s="29" t="s">
        <v>1074</v>
      </c>
      <c r="S415" s="25" t="n">
        <f>32557691</f>
        <v>3.2557691E7</v>
      </c>
      <c r="T415" s="25" t="n">
        <f>6552846</f>
        <v>6552846.0</v>
      </c>
      <c r="U415" s="3" t="s">
        <v>1072</v>
      </c>
      <c r="V415" s="27" t="n">
        <f>468481500</f>
        <v>4.684815E8</v>
      </c>
      <c r="W415" s="3" t="s">
        <v>271</v>
      </c>
      <c r="X415" s="27" t="n">
        <f>226000</f>
        <v>226000.0</v>
      </c>
      <c r="Y415" s="27"/>
      <c r="Z415" s="25" t="n">
        <f>5320</f>
        <v>5320.0</v>
      </c>
      <c r="AA415" s="25" t="n">
        <f>1510</f>
        <v>1510.0</v>
      </c>
      <c r="AB415" s="2" t="s">
        <v>181</v>
      </c>
      <c r="AC415" s="26" t="n">
        <f>3482</f>
        <v>3482.0</v>
      </c>
      <c r="AD415" s="3" t="s">
        <v>232</v>
      </c>
      <c r="AE415" s="27" t="n">
        <f>108</f>
        <v>108.0</v>
      </c>
    </row>
    <row r="416">
      <c r="A416" s="20" t="s">
        <v>1059</v>
      </c>
      <c r="B416" s="21" t="s">
        <v>1060</v>
      </c>
      <c r="C416" s="22"/>
      <c r="D416" s="23"/>
      <c r="E416" s="24" t="s">
        <v>83</v>
      </c>
      <c r="F416" s="28" t="n">
        <f>123</f>
        <v>123.0</v>
      </c>
      <c r="G416" s="25" t="n">
        <f>9752</f>
        <v>9752.0</v>
      </c>
      <c r="H416" s="25"/>
      <c r="I416" s="25" t="n">
        <f>3000</f>
        <v>3000.0</v>
      </c>
      <c r="J416" s="25" t="n">
        <f>79</f>
        <v>79.0</v>
      </c>
      <c r="K416" s="25" t="n">
        <f>24</f>
        <v>24.0</v>
      </c>
      <c r="L416" s="2" t="s">
        <v>876</v>
      </c>
      <c r="M416" s="26" t="n">
        <f>1019</f>
        <v>1019.0</v>
      </c>
      <c r="N416" s="3" t="s">
        <v>482</v>
      </c>
      <c r="O416" s="27" t="n">
        <f>6</f>
        <v>6.0</v>
      </c>
      <c r="P416" s="29" t="s">
        <v>1075</v>
      </c>
      <c r="Q416" s="25"/>
      <c r="R416" s="29" t="s">
        <v>1076</v>
      </c>
      <c r="S416" s="25" t="n">
        <f>14812683</f>
        <v>1.4812683E7</v>
      </c>
      <c r="T416" s="25" t="n">
        <f>4601626</f>
        <v>4601626.0</v>
      </c>
      <c r="U416" s="3" t="s">
        <v>876</v>
      </c>
      <c r="V416" s="27" t="n">
        <f>208969500</f>
        <v>2.089695E8</v>
      </c>
      <c r="W416" s="3" t="s">
        <v>482</v>
      </c>
      <c r="X416" s="27" t="n">
        <f>886500</f>
        <v>886500.0</v>
      </c>
      <c r="Y416" s="27"/>
      <c r="Z416" s="25" t="n">
        <f>1729</f>
        <v>1729.0</v>
      </c>
      <c r="AA416" s="25" t="n">
        <f>299</f>
        <v>299.0</v>
      </c>
      <c r="AB416" s="2" t="s">
        <v>60</v>
      </c>
      <c r="AC416" s="26" t="n">
        <f>2882</f>
        <v>2882.0</v>
      </c>
      <c r="AD416" s="3" t="s">
        <v>863</v>
      </c>
      <c r="AE416" s="27" t="n">
        <f>159</f>
        <v>159.0</v>
      </c>
    </row>
    <row r="417">
      <c r="A417" s="20" t="s">
        <v>1059</v>
      </c>
      <c r="B417" s="21" t="s">
        <v>1060</v>
      </c>
      <c r="C417" s="22"/>
      <c r="D417" s="23"/>
      <c r="E417" s="24" t="s">
        <v>89</v>
      </c>
      <c r="F417" s="28" t="n">
        <f>124</f>
        <v>124.0</v>
      </c>
      <c r="G417" s="25" t="n">
        <f>7254</f>
        <v>7254.0</v>
      </c>
      <c r="H417" s="25"/>
      <c r="I417" s="25" t="n">
        <f>1197</f>
        <v>1197.0</v>
      </c>
      <c r="J417" s="25" t="n">
        <f>59</f>
        <v>59.0</v>
      </c>
      <c r="K417" s="25" t="n">
        <f>10</f>
        <v>10.0</v>
      </c>
      <c r="L417" s="2" t="s">
        <v>581</v>
      </c>
      <c r="M417" s="26" t="n">
        <f>305</f>
        <v>305.0</v>
      </c>
      <c r="N417" s="3" t="s">
        <v>269</v>
      </c>
      <c r="O417" s="27" t="n">
        <f>5</f>
        <v>5.0</v>
      </c>
      <c r="P417" s="29" t="s">
        <v>1077</v>
      </c>
      <c r="Q417" s="25"/>
      <c r="R417" s="29" t="s">
        <v>1078</v>
      </c>
      <c r="S417" s="25" t="n">
        <f>9394609</f>
        <v>9394609.0</v>
      </c>
      <c r="T417" s="25" t="n">
        <f>1519520</f>
        <v>1519520.0</v>
      </c>
      <c r="U417" s="3" t="s">
        <v>141</v>
      </c>
      <c r="V417" s="27" t="n">
        <f>51731000</f>
        <v>5.1731E7</v>
      </c>
      <c r="W417" s="3" t="s">
        <v>269</v>
      </c>
      <c r="X417" s="27" t="n">
        <f>865500</f>
        <v>865500.0</v>
      </c>
      <c r="Y417" s="27"/>
      <c r="Z417" s="25" t="str">
        <f>"－"</f>
        <v>－</v>
      </c>
      <c r="AA417" s="25" t="n">
        <f>431</f>
        <v>431.0</v>
      </c>
      <c r="AB417" s="2" t="s">
        <v>137</v>
      </c>
      <c r="AC417" s="26" t="n">
        <f>989</f>
        <v>989.0</v>
      </c>
      <c r="AD417" s="3" t="s">
        <v>891</v>
      </c>
      <c r="AE417" s="27" t="n">
        <f>210</f>
        <v>210.0</v>
      </c>
    </row>
    <row r="418">
      <c r="A418" s="20" t="s">
        <v>1059</v>
      </c>
      <c r="B418" s="21" t="s">
        <v>1060</v>
      </c>
      <c r="C418" s="22"/>
      <c r="D418" s="23"/>
      <c r="E418" s="24" t="s">
        <v>96</v>
      </c>
      <c r="F418" s="28" t="n">
        <f>121</f>
        <v>121.0</v>
      </c>
      <c r="G418" s="25" t="n">
        <f>5369</f>
        <v>5369.0</v>
      </c>
      <c r="H418" s="25"/>
      <c r="I418" s="25" t="str">
        <f>"－"</f>
        <v>－</v>
      </c>
      <c r="J418" s="25" t="n">
        <f>44</f>
        <v>44.0</v>
      </c>
      <c r="K418" s="25" t="str">
        <f>"－"</f>
        <v>－</v>
      </c>
      <c r="L418" s="2" t="s">
        <v>172</v>
      </c>
      <c r="M418" s="26" t="n">
        <f>320</f>
        <v>320.0</v>
      </c>
      <c r="N418" s="3" t="s">
        <v>1079</v>
      </c>
      <c r="O418" s="27" t="n">
        <f>1</f>
        <v>1.0</v>
      </c>
      <c r="P418" s="29" t="s">
        <v>1080</v>
      </c>
      <c r="Q418" s="25"/>
      <c r="R418" s="29" t="s">
        <v>262</v>
      </c>
      <c r="S418" s="25" t="n">
        <f>8313438</f>
        <v>8313438.0</v>
      </c>
      <c r="T418" s="25" t="str">
        <f>"－"</f>
        <v>－</v>
      </c>
      <c r="U418" s="3" t="s">
        <v>172</v>
      </c>
      <c r="V418" s="27" t="n">
        <f>50093500</f>
        <v>5.00935E7</v>
      </c>
      <c r="W418" s="3" t="s">
        <v>767</v>
      </c>
      <c r="X418" s="27" t="n">
        <f>174000</f>
        <v>174000.0</v>
      </c>
      <c r="Y418" s="27"/>
      <c r="Z418" s="25" t="str">
        <f>"－"</f>
        <v>－</v>
      </c>
      <c r="AA418" s="25" t="n">
        <f>688</f>
        <v>688.0</v>
      </c>
      <c r="AB418" s="2" t="s">
        <v>146</v>
      </c>
      <c r="AC418" s="26" t="n">
        <f>730</f>
        <v>730.0</v>
      </c>
      <c r="AD418" s="3" t="s">
        <v>201</v>
      </c>
      <c r="AE418" s="27" t="n">
        <f>126</f>
        <v>126.0</v>
      </c>
    </row>
    <row r="419">
      <c r="A419" s="20" t="s">
        <v>1059</v>
      </c>
      <c r="B419" s="21" t="s">
        <v>1060</v>
      </c>
      <c r="C419" s="22"/>
      <c r="D419" s="23"/>
      <c r="E419" s="24" t="s">
        <v>102</v>
      </c>
      <c r="F419" s="28" t="n">
        <f>124</f>
        <v>124.0</v>
      </c>
      <c r="G419" s="25" t="n">
        <f>4651</f>
        <v>4651.0</v>
      </c>
      <c r="H419" s="25"/>
      <c r="I419" s="25" t="str">
        <f>"－"</f>
        <v>－</v>
      </c>
      <c r="J419" s="25" t="n">
        <f>38</f>
        <v>38.0</v>
      </c>
      <c r="K419" s="25" t="str">
        <f>"－"</f>
        <v>－</v>
      </c>
      <c r="L419" s="2" t="s">
        <v>50</v>
      </c>
      <c r="M419" s="26" t="n">
        <f>144</f>
        <v>144.0</v>
      </c>
      <c r="N419" s="3" t="s">
        <v>331</v>
      </c>
      <c r="O419" s="27" t="str">
        <f>"－"</f>
        <v>－</v>
      </c>
      <c r="P419" s="29" t="s">
        <v>1081</v>
      </c>
      <c r="Q419" s="25"/>
      <c r="R419" s="29" t="s">
        <v>262</v>
      </c>
      <c r="S419" s="25" t="n">
        <f>7176827</f>
        <v>7176827.0</v>
      </c>
      <c r="T419" s="25" t="str">
        <f>"－"</f>
        <v>－</v>
      </c>
      <c r="U419" s="3" t="s">
        <v>50</v>
      </c>
      <c r="V419" s="27" t="n">
        <f>42547500</f>
        <v>4.25475E7</v>
      </c>
      <c r="W419" s="3" t="s">
        <v>331</v>
      </c>
      <c r="X419" s="27" t="str">
        <f>"－"</f>
        <v>－</v>
      </c>
      <c r="Y419" s="27"/>
      <c r="Z419" s="25" t="str">
        <f>"－"</f>
        <v>－</v>
      </c>
      <c r="AA419" s="25" t="n">
        <f>364</f>
        <v>364.0</v>
      </c>
      <c r="AB419" s="2" t="s">
        <v>854</v>
      </c>
      <c r="AC419" s="26" t="n">
        <f>812</f>
        <v>812.0</v>
      </c>
      <c r="AD419" s="3" t="s">
        <v>1082</v>
      </c>
      <c r="AE419" s="27" t="n">
        <f>76</f>
        <v>76.0</v>
      </c>
    </row>
    <row r="420">
      <c r="A420" s="20" t="s">
        <v>1059</v>
      </c>
      <c r="B420" s="21" t="s">
        <v>1060</v>
      </c>
      <c r="C420" s="22"/>
      <c r="D420" s="23"/>
      <c r="E420" s="24" t="s">
        <v>107</v>
      </c>
      <c r="F420" s="28" t="n">
        <f>117</f>
        <v>117.0</v>
      </c>
      <c r="G420" s="25" t="n">
        <f>8596</f>
        <v>8596.0</v>
      </c>
      <c r="H420" s="25"/>
      <c r="I420" s="25" t="str">
        <f>"－"</f>
        <v>－</v>
      </c>
      <c r="J420" s="25" t="n">
        <f>73</f>
        <v>73.0</v>
      </c>
      <c r="K420" s="25" t="str">
        <f>"－"</f>
        <v>－</v>
      </c>
      <c r="L420" s="2" t="s">
        <v>60</v>
      </c>
      <c r="M420" s="26" t="n">
        <f>328</f>
        <v>328.0</v>
      </c>
      <c r="N420" s="3" t="s">
        <v>161</v>
      </c>
      <c r="O420" s="27" t="str">
        <f>"－"</f>
        <v>－</v>
      </c>
      <c r="P420" s="29" t="s">
        <v>1083</v>
      </c>
      <c r="Q420" s="25"/>
      <c r="R420" s="29" t="s">
        <v>262</v>
      </c>
      <c r="S420" s="25" t="n">
        <f>13239667</f>
        <v>1.3239667E7</v>
      </c>
      <c r="T420" s="25" t="str">
        <f>"－"</f>
        <v>－</v>
      </c>
      <c r="U420" s="3" t="s">
        <v>60</v>
      </c>
      <c r="V420" s="27" t="n">
        <f>57414000</f>
        <v>5.7414E7</v>
      </c>
      <c r="W420" s="3" t="s">
        <v>161</v>
      </c>
      <c r="X420" s="27" t="str">
        <f>"－"</f>
        <v>－</v>
      </c>
      <c r="Y420" s="27"/>
      <c r="Z420" s="25" t="str">
        <f>"－"</f>
        <v>－</v>
      </c>
      <c r="AA420" s="25" t="n">
        <f>1036</f>
        <v>1036.0</v>
      </c>
      <c r="AB420" s="2" t="s">
        <v>201</v>
      </c>
      <c r="AC420" s="26" t="n">
        <f>1432</f>
        <v>1432.0</v>
      </c>
      <c r="AD420" s="3" t="s">
        <v>411</v>
      </c>
      <c r="AE420" s="27" t="n">
        <f>94</f>
        <v>94.0</v>
      </c>
    </row>
    <row r="421">
      <c r="A421" s="20" t="s">
        <v>1059</v>
      </c>
      <c r="B421" s="21" t="s">
        <v>1060</v>
      </c>
      <c r="C421" s="22"/>
      <c r="D421" s="23"/>
      <c r="E421" s="24" t="s">
        <v>113</v>
      </c>
      <c r="F421" s="28" t="n">
        <f>124</f>
        <v>124.0</v>
      </c>
      <c r="G421" s="25" t="n">
        <f>21907</f>
        <v>21907.0</v>
      </c>
      <c r="H421" s="25"/>
      <c r="I421" s="25" t="str">
        <f>"－"</f>
        <v>－</v>
      </c>
      <c r="J421" s="25" t="n">
        <f>177</f>
        <v>177.0</v>
      </c>
      <c r="K421" s="25" t="str">
        <f>"－"</f>
        <v>－</v>
      </c>
      <c r="L421" s="2" t="s">
        <v>1002</v>
      </c>
      <c r="M421" s="26" t="n">
        <f>722</f>
        <v>722.0</v>
      </c>
      <c r="N421" s="3" t="s">
        <v>1084</v>
      </c>
      <c r="O421" s="27" t="n">
        <f>9</f>
        <v>9.0</v>
      </c>
      <c r="P421" s="29" t="s">
        <v>1085</v>
      </c>
      <c r="Q421" s="25"/>
      <c r="R421" s="29" t="s">
        <v>262</v>
      </c>
      <c r="S421" s="25" t="n">
        <f>28384625</f>
        <v>2.8384625E7</v>
      </c>
      <c r="T421" s="25" t="str">
        <f>"－"</f>
        <v>－</v>
      </c>
      <c r="U421" s="3" t="s">
        <v>206</v>
      </c>
      <c r="V421" s="27" t="n">
        <f>127336500</f>
        <v>1.273365E8</v>
      </c>
      <c r="W421" s="3" t="s">
        <v>1084</v>
      </c>
      <c r="X421" s="27" t="n">
        <f>1642000</f>
        <v>1642000.0</v>
      </c>
      <c r="Y421" s="27"/>
      <c r="Z421" s="25" t="str">
        <f>"－"</f>
        <v>－</v>
      </c>
      <c r="AA421" s="25" t="n">
        <f>2361</f>
        <v>2361.0</v>
      </c>
      <c r="AB421" s="2" t="s">
        <v>562</v>
      </c>
      <c r="AC421" s="26" t="n">
        <f>2854</f>
        <v>2854.0</v>
      </c>
      <c r="AD421" s="3" t="s">
        <v>197</v>
      </c>
      <c r="AE421" s="27" t="n">
        <f>186</f>
        <v>186.0</v>
      </c>
    </row>
    <row r="422">
      <c r="A422" s="20" t="s">
        <v>1059</v>
      </c>
      <c r="B422" s="21" t="s">
        <v>1060</v>
      </c>
      <c r="C422" s="22"/>
      <c r="D422" s="23"/>
      <c r="E422" s="24" t="s">
        <v>119</v>
      </c>
      <c r="F422" s="28" t="n">
        <f>119</f>
        <v>119.0</v>
      </c>
      <c r="G422" s="25" t="n">
        <f>18791</f>
        <v>18791.0</v>
      </c>
      <c r="H422" s="25"/>
      <c r="I422" s="25" t="str">
        <f>"－"</f>
        <v>－</v>
      </c>
      <c r="J422" s="25" t="n">
        <f>158</f>
        <v>158.0</v>
      </c>
      <c r="K422" s="25" t="str">
        <f>"－"</f>
        <v>－</v>
      </c>
      <c r="L422" s="2" t="s">
        <v>74</v>
      </c>
      <c r="M422" s="26" t="n">
        <f>777</f>
        <v>777.0</v>
      </c>
      <c r="N422" s="3" t="s">
        <v>963</v>
      </c>
      <c r="O422" s="27" t="n">
        <f>4</f>
        <v>4.0</v>
      </c>
      <c r="P422" s="29" t="s">
        <v>1086</v>
      </c>
      <c r="Q422" s="25"/>
      <c r="R422" s="29" t="s">
        <v>262</v>
      </c>
      <c r="S422" s="25" t="n">
        <f>47383147</f>
        <v>4.7383147E7</v>
      </c>
      <c r="T422" s="25" t="str">
        <f>"－"</f>
        <v>－</v>
      </c>
      <c r="U422" s="3" t="s">
        <v>74</v>
      </c>
      <c r="V422" s="27" t="n">
        <f>335720500</f>
        <v>3.357205E8</v>
      </c>
      <c r="W422" s="3" t="s">
        <v>963</v>
      </c>
      <c r="X422" s="27" t="n">
        <f>1110000</f>
        <v>1110000.0</v>
      </c>
      <c r="Y422" s="27"/>
      <c r="Z422" s="25" t="str">
        <f>"－"</f>
        <v>－</v>
      </c>
      <c r="AA422" s="25" t="n">
        <f>356</f>
        <v>356.0</v>
      </c>
      <c r="AB422" s="2" t="s">
        <v>565</v>
      </c>
      <c r="AC422" s="26" t="n">
        <f>2499</f>
        <v>2499.0</v>
      </c>
      <c r="AD422" s="3" t="s">
        <v>101</v>
      </c>
      <c r="AE422" s="27" t="n">
        <f>133</f>
        <v>133.0</v>
      </c>
    </row>
    <row r="423">
      <c r="A423" s="20" t="s">
        <v>1059</v>
      </c>
      <c r="B423" s="21" t="s">
        <v>1060</v>
      </c>
      <c r="C423" s="22"/>
      <c r="D423" s="23"/>
      <c r="E423" s="24" t="s">
        <v>124</v>
      </c>
      <c r="F423" s="28" t="n">
        <f>124</f>
        <v>124.0</v>
      </c>
      <c r="G423" s="25" t="n">
        <f>13265</f>
        <v>13265.0</v>
      </c>
      <c r="H423" s="25"/>
      <c r="I423" s="25" t="str">
        <f>"－"</f>
        <v>－</v>
      </c>
      <c r="J423" s="25" t="n">
        <f>107</f>
        <v>107.0</v>
      </c>
      <c r="K423" s="25" t="str">
        <f>"－"</f>
        <v>－</v>
      </c>
      <c r="L423" s="2" t="s">
        <v>1087</v>
      </c>
      <c r="M423" s="26" t="n">
        <f>476</f>
        <v>476.0</v>
      </c>
      <c r="N423" s="3" t="s">
        <v>923</v>
      </c>
      <c r="O423" s="27" t="n">
        <f>8</f>
        <v>8.0</v>
      </c>
      <c r="P423" s="29" t="s">
        <v>1088</v>
      </c>
      <c r="Q423" s="25"/>
      <c r="R423" s="29" t="s">
        <v>262</v>
      </c>
      <c r="S423" s="25" t="n">
        <f>24267294</f>
        <v>2.4267294E7</v>
      </c>
      <c r="T423" s="25" t="str">
        <f>"－"</f>
        <v>－</v>
      </c>
      <c r="U423" s="3" t="s">
        <v>1087</v>
      </c>
      <c r="V423" s="27" t="n">
        <f>100453000</f>
        <v>1.00453E8</v>
      </c>
      <c r="W423" s="3" t="s">
        <v>923</v>
      </c>
      <c r="X423" s="27" t="n">
        <f>1991000</f>
        <v>1991000.0</v>
      </c>
      <c r="Y423" s="27"/>
      <c r="Z423" s="25" t="str">
        <f>"－"</f>
        <v>－</v>
      </c>
      <c r="AA423" s="25" t="n">
        <f>1066</f>
        <v>1066.0</v>
      </c>
      <c r="AB423" s="2" t="s">
        <v>137</v>
      </c>
      <c r="AC423" s="26" t="n">
        <f>1189</f>
        <v>1189.0</v>
      </c>
      <c r="AD423" s="3" t="s">
        <v>1011</v>
      </c>
      <c r="AE423" s="27" t="n">
        <f>120</f>
        <v>120.0</v>
      </c>
    </row>
    <row r="424">
      <c r="A424" s="20" t="s">
        <v>1059</v>
      </c>
      <c r="B424" s="21" t="s">
        <v>1060</v>
      </c>
      <c r="C424" s="22"/>
      <c r="D424" s="23"/>
      <c r="E424" s="24" t="s">
        <v>130</v>
      </c>
      <c r="F424" s="28" t="n">
        <f>121</f>
        <v>121.0</v>
      </c>
      <c r="G424" s="25" t="n">
        <f>27800</f>
        <v>27800.0</v>
      </c>
      <c r="H424" s="25"/>
      <c r="I424" s="25" t="str">
        <f>"－"</f>
        <v>－</v>
      </c>
      <c r="J424" s="25" t="n">
        <f>230</f>
        <v>230.0</v>
      </c>
      <c r="K424" s="25" t="str">
        <f>"－"</f>
        <v>－</v>
      </c>
      <c r="L424" s="2" t="s">
        <v>1089</v>
      </c>
      <c r="M424" s="26" t="n">
        <f>769</f>
        <v>769.0</v>
      </c>
      <c r="N424" s="3" t="s">
        <v>565</v>
      </c>
      <c r="O424" s="27" t="n">
        <f>21</f>
        <v>21.0</v>
      </c>
      <c r="P424" s="29" t="s">
        <v>1090</v>
      </c>
      <c r="Q424" s="25"/>
      <c r="R424" s="29" t="s">
        <v>262</v>
      </c>
      <c r="S424" s="25" t="n">
        <f>50830467</f>
        <v>5.0830467E7</v>
      </c>
      <c r="T424" s="25" t="str">
        <f>"－"</f>
        <v>－</v>
      </c>
      <c r="U424" s="3" t="s">
        <v>1091</v>
      </c>
      <c r="V424" s="27" t="n">
        <f>180194500</f>
        <v>1.801945E8</v>
      </c>
      <c r="W424" s="3" t="s">
        <v>565</v>
      </c>
      <c r="X424" s="27" t="n">
        <f>4540500</f>
        <v>4540500.0</v>
      </c>
      <c r="Y424" s="27"/>
      <c r="Z424" s="25" t="str">
        <f>"－"</f>
        <v>－</v>
      </c>
      <c r="AA424" s="25" t="n">
        <f>975</f>
        <v>975.0</v>
      </c>
      <c r="AB424" s="2" t="s">
        <v>528</v>
      </c>
      <c r="AC424" s="26" t="n">
        <f>1604</f>
        <v>1604.0</v>
      </c>
      <c r="AD424" s="3" t="s">
        <v>134</v>
      </c>
      <c r="AE424" s="27" t="n">
        <f>134</f>
        <v>134.0</v>
      </c>
    </row>
    <row r="425">
      <c r="A425" s="20" t="s">
        <v>1059</v>
      </c>
      <c r="B425" s="21" t="s">
        <v>1060</v>
      </c>
      <c r="C425" s="22"/>
      <c r="D425" s="23"/>
      <c r="E425" s="24" t="s">
        <v>136</v>
      </c>
      <c r="F425" s="28" t="n">
        <f>124</f>
        <v>124.0</v>
      </c>
      <c r="G425" s="25" t="n">
        <f>22597</f>
        <v>22597.0</v>
      </c>
      <c r="H425" s="25"/>
      <c r="I425" s="25" t="str">
        <f>"－"</f>
        <v>－</v>
      </c>
      <c r="J425" s="25" t="n">
        <f>182</f>
        <v>182.0</v>
      </c>
      <c r="K425" s="25" t="str">
        <f>"－"</f>
        <v>－</v>
      </c>
      <c r="L425" s="2" t="s">
        <v>68</v>
      </c>
      <c r="M425" s="26" t="n">
        <f>805</f>
        <v>805.0</v>
      </c>
      <c r="N425" s="3" t="s">
        <v>1092</v>
      </c>
      <c r="O425" s="27" t="n">
        <f>9</f>
        <v>9.0</v>
      </c>
      <c r="P425" s="29" t="s">
        <v>1093</v>
      </c>
      <c r="Q425" s="25"/>
      <c r="R425" s="29" t="s">
        <v>262</v>
      </c>
      <c r="S425" s="25" t="n">
        <f>37549323</f>
        <v>3.7549323E7</v>
      </c>
      <c r="T425" s="25" t="str">
        <f>"－"</f>
        <v>－</v>
      </c>
      <c r="U425" s="3" t="s">
        <v>854</v>
      </c>
      <c r="V425" s="27" t="n">
        <f>148775000</f>
        <v>1.48775E8</v>
      </c>
      <c r="W425" s="3" t="s">
        <v>1092</v>
      </c>
      <c r="X425" s="27" t="n">
        <f>1780500</f>
        <v>1780500.0</v>
      </c>
      <c r="Y425" s="27"/>
      <c r="Z425" s="25" t="str">
        <f>"－"</f>
        <v>－</v>
      </c>
      <c r="AA425" s="25" t="n">
        <f>504</f>
        <v>504.0</v>
      </c>
      <c r="AB425" s="2" t="s">
        <v>90</v>
      </c>
      <c r="AC425" s="26" t="n">
        <f>2704</f>
        <v>2704.0</v>
      </c>
      <c r="AD425" s="3" t="s">
        <v>761</v>
      </c>
      <c r="AE425" s="27" t="n">
        <f>167</f>
        <v>167.0</v>
      </c>
    </row>
    <row r="426">
      <c r="A426" s="20" t="s">
        <v>1059</v>
      </c>
      <c r="B426" s="21" t="s">
        <v>1060</v>
      </c>
      <c r="C426" s="22"/>
      <c r="D426" s="23"/>
      <c r="E426" s="24" t="s">
        <v>142</v>
      </c>
      <c r="F426" s="28" t="n">
        <f>120</f>
        <v>120.0</v>
      </c>
      <c r="G426" s="25" t="n">
        <f>8894</f>
        <v>8894.0</v>
      </c>
      <c r="H426" s="25"/>
      <c r="I426" s="25" t="str">
        <f>"－"</f>
        <v>－</v>
      </c>
      <c r="J426" s="25" t="n">
        <f>74</f>
        <v>74.0</v>
      </c>
      <c r="K426" s="25" t="str">
        <f>"－"</f>
        <v>－</v>
      </c>
      <c r="L426" s="2" t="s">
        <v>743</v>
      </c>
      <c r="M426" s="26" t="n">
        <f>374</f>
        <v>374.0</v>
      </c>
      <c r="N426" s="3" t="s">
        <v>1094</v>
      </c>
      <c r="O426" s="27" t="n">
        <f>1</f>
        <v>1.0</v>
      </c>
      <c r="P426" s="29" t="s">
        <v>1095</v>
      </c>
      <c r="Q426" s="25"/>
      <c r="R426" s="29" t="s">
        <v>262</v>
      </c>
      <c r="S426" s="25" t="n">
        <f>17445038</f>
        <v>1.7445038E7</v>
      </c>
      <c r="T426" s="25" t="str">
        <f>"－"</f>
        <v>－</v>
      </c>
      <c r="U426" s="3" t="s">
        <v>743</v>
      </c>
      <c r="V426" s="27" t="n">
        <f>86046500</f>
        <v>8.60465E7</v>
      </c>
      <c r="W426" s="3" t="s">
        <v>737</v>
      </c>
      <c r="X426" s="27" t="n">
        <f>236500</f>
        <v>236500.0</v>
      </c>
      <c r="Y426" s="27"/>
      <c r="Z426" s="25" t="str">
        <f>"－"</f>
        <v>－</v>
      </c>
      <c r="AA426" s="25" t="n">
        <f>271</f>
        <v>271.0</v>
      </c>
      <c r="AB426" s="2" t="s">
        <v>1096</v>
      </c>
      <c r="AC426" s="26" t="n">
        <f>789</f>
        <v>789.0</v>
      </c>
      <c r="AD426" s="3" t="s">
        <v>468</v>
      </c>
      <c r="AE426" s="27" t="n">
        <f>148</f>
        <v>148.0</v>
      </c>
    </row>
    <row r="427">
      <c r="A427" s="20" t="s">
        <v>1059</v>
      </c>
      <c r="B427" s="21" t="s">
        <v>1060</v>
      </c>
      <c r="C427" s="22"/>
      <c r="D427" s="23"/>
      <c r="E427" s="24" t="s">
        <v>148</v>
      </c>
      <c r="F427" s="28" t="n">
        <f>124</f>
        <v>124.0</v>
      </c>
      <c r="G427" s="25" t="n">
        <f>2494</f>
        <v>2494.0</v>
      </c>
      <c r="H427" s="25"/>
      <c r="I427" s="25" t="str">
        <f>"－"</f>
        <v>－</v>
      </c>
      <c r="J427" s="25" t="n">
        <f>20</f>
        <v>20.0</v>
      </c>
      <c r="K427" s="25" t="str">
        <f>"－"</f>
        <v>－</v>
      </c>
      <c r="L427" s="2" t="s">
        <v>536</v>
      </c>
      <c r="M427" s="26" t="n">
        <f>103</f>
        <v>103.0</v>
      </c>
      <c r="N427" s="3" t="s">
        <v>1097</v>
      </c>
      <c r="O427" s="27" t="str">
        <f>"－"</f>
        <v>－</v>
      </c>
      <c r="P427" s="29" t="s">
        <v>1098</v>
      </c>
      <c r="Q427" s="25"/>
      <c r="R427" s="29" t="s">
        <v>262</v>
      </c>
      <c r="S427" s="25" t="n">
        <f>4337819</f>
        <v>4337819.0</v>
      </c>
      <c r="T427" s="25" t="str">
        <f>"－"</f>
        <v>－</v>
      </c>
      <c r="U427" s="3" t="s">
        <v>536</v>
      </c>
      <c r="V427" s="27" t="n">
        <f>20770500</f>
        <v>2.07705E7</v>
      </c>
      <c r="W427" s="3" t="s">
        <v>1097</v>
      </c>
      <c r="X427" s="27" t="str">
        <f>"－"</f>
        <v>－</v>
      </c>
      <c r="Y427" s="27"/>
      <c r="Z427" s="25" t="n">
        <f>1</f>
        <v>1.0</v>
      </c>
      <c r="AA427" s="25" t="n">
        <f>75</f>
        <v>75.0</v>
      </c>
      <c r="AB427" s="2" t="s">
        <v>872</v>
      </c>
      <c r="AC427" s="26" t="n">
        <f>472</f>
        <v>472.0</v>
      </c>
      <c r="AD427" s="3" t="s">
        <v>192</v>
      </c>
      <c r="AE427" s="27" t="n">
        <f>36</f>
        <v>36.0</v>
      </c>
    </row>
    <row r="428">
      <c r="A428" s="20" t="s">
        <v>1059</v>
      </c>
      <c r="B428" s="21" t="s">
        <v>1060</v>
      </c>
      <c r="C428" s="22"/>
      <c r="D428" s="23"/>
      <c r="E428" s="24" t="s">
        <v>151</v>
      </c>
      <c r="F428" s="28" t="n">
        <f>122</f>
        <v>122.0</v>
      </c>
      <c r="G428" s="25" t="n">
        <f>1852</f>
        <v>1852.0</v>
      </c>
      <c r="H428" s="25"/>
      <c r="I428" s="25" t="str">
        <f>"－"</f>
        <v>－</v>
      </c>
      <c r="J428" s="25" t="n">
        <f>15</f>
        <v>15.0</v>
      </c>
      <c r="K428" s="25" t="str">
        <f>"－"</f>
        <v>－</v>
      </c>
      <c r="L428" s="2" t="s">
        <v>75</v>
      </c>
      <c r="M428" s="26" t="n">
        <f>86</f>
        <v>86.0</v>
      </c>
      <c r="N428" s="3" t="s">
        <v>863</v>
      </c>
      <c r="O428" s="27" t="str">
        <f>"－"</f>
        <v>－</v>
      </c>
      <c r="P428" s="29" t="s">
        <v>1099</v>
      </c>
      <c r="Q428" s="25"/>
      <c r="R428" s="29" t="s">
        <v>262</v>
      </c>
      <c r="S428" s="25" t="n">
        <f>2804189</f>
        <v>2804189.0</v>
      </c>
      <c r="T428" s="25" t="str">
        <f>"－"</f>
        <v>－</v>
      </c>
      <c r="U428" s="3" t="s">
        <v>75</v>
      </c>
      <c r="V428" s="27" t="n">
        <f>17152500</f>
        <v>1.71525E7</v>
      </c>
      <c r="W428" s="3" t="s">
        <v>863</v>
      </c>
      <c r="X428" s="27" t="str">
        <f>"－"</f>
        <v>－</v>
      </c>
      <c r="Y428" s="27"/>
      <c r="Z428" s="25" t="n">
        <f>1</f>
        <v>1.0</v>
      </c>
      <c r="AA428" s="25" t="n">
        <f>70</f>
        <v>70.0</v>
      </c>
      <c r="AB428" s="2" t="s">
        <v>1079</v>
      </c>
      <c r="AC428" s="26" t="n">
        <f>327</f>
        <v>327.0</v>
      </c>
      <c r="AD428" s="3" t="s">
        <v>172</v>
      </c>
      <c r="AE428" s="27" t="n">
        <f>34</f>
        <v>34.0</v>
      </c>
    </row>
    <row r="429">
      <c r="A429" s="20" t="s">
        <v>1059</v>
      </c>
      <c r="B429" s="21" t="s">
        <v>1060</v>
      </c>
      <c r="C429" s="22"/>
      <c r="D429" s="23"/>
      <c r="E429" s="24" t="s">
        <v>157</v>
      </c>
      <c r="F429" s="28" t="n">
        <f>124</f>
        <v>124.0</v>
      </c>
      <c r="G429" s="25" t="n">
        <f>1584</f>
        <v>1584.0</v>
      </c>
      <c r="H429" s="25"/>
      <c r="I429" s="25" t="str">
        <f>"－"</f>
        <v>－</v>
      </c>
      <c r="J429" s="25" t="n">
        <f>13</f>
        <v>13.0</v>
      </c>
      <c r="K429" s="25" t="str">
        <f>"－"</f>
        <v>－</v>
      </c>
      <c r="L429" s="2" t="s">
        <v>529</v>
      </c>
      <c r="M429" s="26" t="n">
        <f>109</f>
        <v>109.0</v>
      </c>
      <c r="N429" s="3" t="s">
        <v>1100</v>
      </c>
      <c r="O429" s="27" t="str">
        <f>"－"</f>
        <v>－</v>
      </c>
      <c r="P429" s="29" t="s">
        <v>1101</v>
      </c>
      <c r="Q429" s="25"/>
      <c r="R429" s="29" t="s">
        <v>262</v>
      </c>
      <c r="S429" s="25" t="n">
        <f>2535758</f>
        <v>2535758.0</v>
      </c>
      <c r="T429" s="25" t="str">
        <f>"－"</f>
        <v>－</v>
      </c>
      <c r="U429" s="3" t="s">
        <v>529</v>
      </c>
      <c r="V429" s="27" t="n">
        <f>21638500</f>
        <v>2.16385E7</v>
      </c>
      <c r="W429" s="3" t="s">
        <v>1100</v>
      </c>
      <c r="X429" s="27" t="str">
        <f>"－"</f>
        <v>－</v>
      </c>
      <c r="Y429" s="27"/>
      <c r="Z429" s="25" t="str">
        <f>"－"</f>
        <v>－</v>
      </c>
      <c r="AA429" s="25" t="n">
        <f>86</f>
        <v>86.0</v>
      </c>
      <c r="AB429" s="2" t="s">
        <v>1102</v>
      </c>
      <c r="AC429" s="26" t="n">
        <f>335</f>
        <v>335.0</v>
      </c>
      <c r="AD429" s="3" t="s">
        <v>947</v>
      </c>
      <c r="AE429" s="27" t="n">
        <f>30</f>
        <v>30.0</v>
      </c>
    </row>
    <row r="430">
      <c r="A430" s="20" t="s">
        <v>1059</v>
      </c>
      <c r="B430" s="21" t="s">
        <v>1060</v>
      </c>
      <c r="C430" s="22"/>
      <c r="D430" s="23"/>
      <c r="E430" s="24" t="s">
        <v>160</v>
      </c>
      <c r="F430" s="28" t="n">
        <f>58</f>
        <v>58.0</v>
      </c>
      <c r="G430" s="25" t="n">
        <f>628</f>
        <v>628.0</v>
      </c>
      <c r="H430" s="25"/>
      <c r="I430" s="25" t="str">
        <f>"－"</f>
        <v>－</v>
      </c>
      <c r="J430" s="25" t="n">
        <f>11</f>
        <v>11.0</v>
      </c>
      <c r="K430" s="25" t="str">
        <f>"－"</f>
        <v>－</v>
      </c>
      <c r="L430" s="2" t="s">
        <v>156</v>
      </c>
      <c r="M430" s="26" t="n">
        <f>37</f>
        <v>37.0</v>
      </c>
      <c r="N430" s="3" t="s">
        <v>185</v>
      </c>
      <c r="O430" s="27" t="str">
        <f>"－"</f>
        <v>－</v>
      </c>
      <c r="P430" s="29" t="s">
        <v>1103</v>
      </c>
      <c r="Q430" s="25"/>
      <c r="R430" s="29" t="s">
        <v>262</v>
      </c>
      <c r="S430" s="25" t="n">
        <f>2227060</f>
        <v>2227060.0</v>
      </c>
      <c r="T430" s="25" t="str">
        <f>"－"</f>
        <v>－</v>
      </c>
      <c r="U430" s="3" t="s">
        <v>156</v>
      </c>
      <c r="V430" s="27" t="n">
        <f>7166500</f>
        <v>7166500.0</v>
      </c>
      <c r="W430" s="3" t="s">
        <v>185</v>
      </c>
      <c r="X430" s="27" t="str">
        <f>"－"</f>
        <v>－</v>
      </c>
      <c r="Y430" s="27"/>
      <c r="Z430" s="25" t="str">
        <f>"－"</f>
        <v>－</v>
      </c>
      <c r="AA430" s="25" t="n">
        <f>83</f>
        <v>83.0</v>
      </c>
      <c r="AB430" s="2" t="s">
        <v>1027</v>
      </c>
      <c r="AC430" s="26" t="n">
        <f>111</f>
        <v>111.0</v>
      </c>
      <c r="AD430" s="3" t="s">
        <v>265</v>
      </c>
      <c r="AE430" s="27" t="n">
        <f>48</f>
        <v>48.0</v>
      </c>
    </row>
    <row r="431">
      <c r="A431" s="20" t="s">
        <v>1104</v>
      </c>
      <c r="B431" s="21" t="s">
        <v>1105</v>
      </c>
      <c r="C431" s="22"/>
      <c r="D431" s="23"/>
      <c r="E431" s="24"/>
      <c r="F431" s="28"/>
      <c r="G431" s="25"/>
      <c r="H431" s="25"/>
      <c r="I431" s="25"/>
      <c r="J431" s="25"/>
      <c r="K431" s="25"/>
      <c r="L431" s="2"/>
      <c r="M431" s="26"/>
      <c r="N431" s="3"/>
      <c r="O431" s="27"/>
      <c r="P431" s="29"/>
      <c r="Q431" s="25"/>
      <c r="R431" s="29"/>
      <c r="S431" s="25"/>
      <c r="T431" s="25"/>
      <c r="U431" s="3"/>
      <c r="V431" s="27"/>
      <c r="W431" s="3"/>
      <c r="X431" s="27"/>
      <c r="Y431" s="27"/>
      <c r="Z431" s="25"/>
      <c r="AA431" s="25"/>
      <c r="AB431" s="2"/>
      <c r="AC431" s="26"/>
      <c r="AD431" s="3"/>
      <c r="AE431" s="27"/>
    </row>
    <row r="432">
      <c r="A432" s="20" t="s">
        <v>1106</v>
      </c>
      <c r="B432" s="21" t="s">
        <v>1107</v>
      </c>
      <c r="C432" s="22"/>
      <c r="D432" s="23"/>
      <c r="E432" s="24" t="s">
        <v>151</v>
      </c>
      <c r="F432" s="28" t="n">
        <f>25</f>
        <v>25.0</v>
      </c>
      <c r="G432" s="25" t="str">
        <f>"－"</f>
        <v>－</v>
      </c>
      <c r="H432" s="25"/>
      <c r="I432" s="25" t="str">
        <f>"－"</f>
        <v>－</v>
      </c>
      <c r="J432" s="25" t="str">
        <f>"－"</f>
        <v>－</v>
      </c>
      <c r="K432" s="25" t="str">
        <f>"－"</f>
        <v>－</v>
      </c>
      <c r="L432" s="2" t="s">
        <v>249</v>
      </c>
      <c r="M432" s="26" t="str">
        <f>"－"</f>
        <v>－</v>
      </c>
      <c r="N432" s="3" t="s">
        <v>249</v>
      </c>
      <c r="O432" s="27" t="str">
        <f>"－"</f>
        <v>－</v>
      </c>
      <c r="P432" s="29" t="s">
        <v>262</v>
      </c>
      <c r="Q432" s="25"/>
      <c r="R432" s="29" t="s">
        <v>262</v>
      </c>
      <c r="S432" s="25" t="str">
        <f>"－"</f>
        <v>－</v>
      </c>
      <c r="T432" s="25" t="str">
        <f>"－"</f>
        <v>－</v>
      </c>
      <c r="U432" s="3" t="s">
        <v>249</v>
      </c>
      <c r="V432" s="27" t="str">
        <f>"－"</f>
        <v>－</v>
      </c>
      <c r="W432" s="3" t="s">
        <v>249</v>
      </c>
      <c r="X432" s="27" t="str">
        <f>"－"</f>
        <v>－</v>
      </c>
      <c r="Y432" s="27"/>
      <c r="Z432" s="25" t="str">
        <f>"－"</f>
        <v>－</v>
      </c>
      <c r="AA432" s="25" t="str">
        <f>"－"</f>
        <v>－</v>
      </c>
      <c r="AB432" s="2" t="s">
        <v>249</v>
      </c>
      <c r="AC432" s="26" t="str">
        <f>"－"</f>
        <v>－</v>
      </c>
      <c r="AD432" s="3" t="s">
        <v>249</v>
      </c>
      <c r="AE432" s="27" t="str">
        <f>"－"</f>
        <v>－</v>
      </c>
    </row>
    <row r="433">
      <c r="A433" s="20" t="s">
        <v>1106</v>
      </c>
      <c r="B433" s="21" t="s">
        <v>1107</v>
      </c>
      <c r="C433" s="22"/>
      <c r="D433" s="23"/>
      <c r="E433" s="24" t="s">
        <v>157</v>
      </c>
      <c r="F433" s="28" t="n">
        <f>124</f>
        <v>124.0</v>
      </c>
      <c r="G433" s="25" t="str">
        <f>"－"</f>
        <v>－</v>
      </c>
      <c r="H433" s="25"/>
      <c r="I433" s="25" t="str">
        <f>"－"</f>
        <v>－</v>
      </c>
      <c r="J433" s="25" t="str">
        <f>"－"</f>
        <v>－</v>
      </c>
      <c r="K433" s="25" t="str">
        <f>"－"</f>
        <v>－</v>
      </c>
      <c r="L433" s="2" t="s">
        <v>633</v>
      </c>
      <c r="M433" s="26" t="str">
        <f>"－"</f>
        <v>－</v>
      </c>
      <c r="N433" s="3" t="s">
        <v>633</v>
      </c>
      <c r="O433" s="27" t="str">
        <f>"－"</f>
        <v>－</v>
      </c>
      <c r="P433" s="29" t="s">
        <v>262</v>
      </c>
      <c r="Q433" s="25"/>
      <c r="R433" s="29" t="s">
        <v>262</v>
      </c>
      <c r="S433" s="25" t="str">
        <f>"－"</f>
        <v>－</v>
      </c>
      <c r="T433" s="25" t="str">
        <f>"－"</f>
        <v>－</v>
      </c>
      <c r="U433" s="3" t="s">
        <v>633</v>
      </c>
      <c r="V433" s="27" t="str">
        <f>"－"</f>
        <v>－</v>
      </c>
      <c r="W433" s="3" t="s">
        <v>633</v>
      </c>
      <c r="X433" s="27" t="str">
        <f>"－"</f>
        <v>－</v>
      </c>
      <c r="Y433" s="27"/>
      <c r="Z433" s="25" t="str">
        <f>"－"</f>
        <v>－</v>
      </c>
      <c r="AA433" s="25" t="str">
        <f>"－"</f>
        <v>－</v>
      </c>
      <c r="AB433" s="2" t="s">
        <v>633</v>
      </c>
      <c r="AC433" s="26" t="str">
        <f>"－"</f>
        <v>－</v>
      </c>
      <c r="AD433" s="3" t="s">
        <v>633</v>
      </c>
      <c r="AE433" s="27" t="str">
        <f>"－"</f>
        <v>－</v>
      </c>
    </row>
    <row r="434">
      <c r="A434" s="20" t="s">
        <v>1106</v>
      </c>
      <c r="B434" s="21" t="s">
        <v>1107</v>
      </c>
      <c r="C434" s="22"/>
      <c r="D434" s="23"/>
      <c r="E434" s="24" t="s">
        <v>160</v>
      </c>
      <c r="F434" s="28" t="n">
        <f>58</f>
        <v>58.0</v>
      </c>
      <c r="G434" s="25" t="str">
        <f>"－"</f>
        <v>－</v>
      </c>
      <c r="H434" s="25"/>
      <c r="I434" s="25" t="str">
        <f>"－"</f>
        <v>－</v>
      </c>
      <c r="J434" s="25" t="str">
        <f>"－"</f>
        <v>－</v>
      </c>
      <c r="K434" s="25" t="str">
        <f>"－"</f>
        <v>－</v>
      </c>
      <c r="L434" s="2" t="s">
        <v>156</v>
      </c>
      <c r="M434" s="26" t="str">
        <f>"－"</f>
        <v>－</v>
      </c>
      <c r="N434" s="3" t="s">
        <v>156</v>
      </c>
      <c r="O434" s="27" t="str">
        <f>"－"</f>
        <v>－</v>
      </c>
      <c r="P434" s="29" t="s">
        <v>262</v>
      </c>
      <c r="Q434" s="25"/>
      <c r="R434" s="29" t="s">
        <v>262</v>
      </c>
      <c r="S434" s="25" t="str">
        <f>"－"</f>
        <v>－</v>
      </c>
      <c r="T434" s="25" t="str">
        <f>"－"</f>
        <v>－</v>
      </c>
      <c r="U434" s="3" t="s">
        <v>156</v>
      </c>
      <c r="V434" s="27" t="str">
        <f>"－"</f>
        <v>－</v>
      </c>
      <c r="W434" s="3" t="s">
        <v>156</v>
      </c>
      <c r="X434" s="27" t="str">
        <f>"－"</f>
        <v>－</v>
      </c>
      <c r="Y434" s="27"/>
      <c r="Z434" s="25" t="str">
        <f>"－"</f>
        <v>－</v>
      </c>
      <c r="AA434" s="25" t="str">
        <f>"－"</f>
        <v>－</v>
      </c>
      <c r="AB434" s="2" t="s">
        <v>156</v>
      </c>
      <c r="AC434" s="26" t="str">
        <f>"－"</f>
        <v>－</v>
      </c>
      <c r="AD434" s="3" t="s">
        <v>156</v>
      </c>
      <c r="AE434" s="27" t="str">
        <f>"－"</f>
        <v>－</v>
      </c>
    </row>
    <row r="435">
      <c r="A435" s="20" t="s">
        <v>1108</v>
      </c>
      <c r="B435" s="21" t="s">
        <v>1109</v>
      </c>
      <c r="C435" s="22"/>
      <c r="D435" s="23"/>
      <c r="E435" s="24" t="s">
        <v>151</v>
      </c>
      <c r="F435" s="28" t="n">
        <f>25</f>
        <v>25.0</v>
      </c>
      <c r="G435" s="25" t="str">
        <f>"－"</f>
        <v>－</v>
      </c>
      <c r="H435" s="25"/>
      <c r="I435" s="25" t="str">
        <f>"－"</f>
        <v>－</v>
      </c>
      <c r="J435" s="25" t="str">
        <f>"－"</f>
        <v>－</v>
      </c>
      <c r="K435" s="25" t="str">
        <f>"－"</f>
        <v>－</v>
      </c>
      <c r="L435" s="2" t="s">
        <v>249</v>
      </c>
      <c r="M435" s="26" t="str">
        <f>"－"</f>
        <v>－</v>
      </c>
      <c r="N435" s="3" t="s">
        <v>249</v>
      </c>
      <c r="O435" s="27" t="str">
        <f>"－"</f>
        <v>－</v>
      </c>
      <c r="P435" s="29" t="s">
        <v>262</v>
      </c>
      <c r="Q435" s="25"/>
      <c r="R435" s="29" t="s">
        <v>262</v>
      </c>
      <c r="S435" s="25" t="str">
        <f>"－"</f>
        <v>－</v>
      </c>
      <c r="T435" s="25" t="str">
        <f>"－"</f>
        <v>－</v>
      </c>
      <c r="U435" s="3" t="s">
        <v>249</v>
      </c>
      <c r="V435" s="27" t="str">
        <f>"－"</f>
        <v>－</v>
      </c>
      <c r="W435" s="3" t="s">
        <v>249</v>
      </c>
      <c r="X435" s="27" t="str">
        <f>"－"</f>
        <v>－</v>
      </c>
      <c r="Y435" s="27"/>
      <c r="Z435" s="25" t="str">
        <f>"－"</f>
        <v>－</v>
      </c>
      <c r="AA435" s="25" t="str">
        <f>"－"</f>
        <v>－</v>
      </c>
      <c r="AB435" s="2" t="s">
        <v>249</v>
      </c>
      <c r="AC435" s="26" t="str">
        <f>"－"</f>
        <v>－</v>
      </c>
      <c r="AD435" s="3" t="s">
        <v>249</v>
      </c>
      <c r="AE435" s="27" t="str">
        <f>"－"</f>
        <v>－</v>
      </c>
    </row>
    <row r="436">
      <c r="A436" s="20" t="s">
        <v>1108</v>
      </c>
      <c r="B436" s="21" t="s">
        <v>1109</v>
      </c>
      <c r="C436" s="22"/>
      <c r="D436" s="23"/>
      <c r="E436" s="24" t="s">
        <v>157</v>
      </c>
      <c r="F436" s="28" t="n">
        <f>124</f>
        <v>124.0</v>
      </c>
      <c r="G436" s="25" t="str">
        <f>"－"</f>
        <v>－</v>
      </c>
      <c r="H436" s="25"/>
      <c r="I436" s="25" t="str">
        <f>"－"</f>
        <v>－</v>
      </c>
      <c r="J436" s="25" t="str">
        <f>"－"</f>
        <v>－</v>
      </c>
      <c r="K436" s="25" t="str">
        <f>"－"</f>
        <v>－</v>
      </c>
      <c r="L436" s="2" t="s">
        <v>633</v>
      </c>
      <c r="M436" s="26" t="str">
        <f>"－"</f>
        <v>－</v>
      </c>
      <c r="N436" s="3" t="s">
        <v>633</v>
      </c>
      <c r="O436" s="27" t="str">
        <f>"－"</f>
        <v>－</v>
      </c>
      <c r="P436" s="29" t="s">
        <v>262</v>
      </c>
      <c r="Q436" s="25"/>
      <c r="R436" s="29" t="s">
        <v>262</v>
      </c>
      <c r="S436" s="25" t="str">
        <f>"－"</f>
        <v>－</v>
      </c>
      <c r="T436" s="25" t="str">
        <f>"－"</f>
        <v>－</v>
      </c>
      <c r="U436" s="3" t="s">
        <v>633</v>
      </c>
      <c r="V436" s="27" t="str">
        <f>"－"</f>
        <v>－</v>
      </c>
      <c r="W436" s="3" t="s">
        <v>633</v>
      </c>
      <c r="X436" s="27" t="str">
        <f>"－"</f>
        <v>－</v>
      </c>
      <c r="Y436" s="27"/>
      <c r="Z436" s="25" t="str">
        <f>"－"</f>
        <v>－</v>
      </c>
      <c r="AA436" s="25" t="str">
        <f>"－"</f>
        <v>－</v>
      </c>
      <c r="AB436" s="2" t="s">
        <v>633</v>
      </c>
      <c r="AC436" s="26" t="str">
        <f>"－"</f>
        <v>－</v>
      </c>
      <c r="AD436" s="3" t="s">
        <v>633</v>
      </c>
      <c r="AE436" s="27" t="str">
        <f>"－"</f>
        <v>－</v>
      </c>
    </row>
    <row r="437">
      <c r="A437" s="20" t="s">
        <v>1108</v>
      </c>
      <c r="B437" s="21" t="s">
        <v>1109</v>
      </c>
      <c r="C437" s="22"/>
      <c r="D437" s="23"/>
      <c r="E437" s="24" t="s">
        <v>160</v>
      </c>
      <c r="F437" s="28" t="n">
        <f>58</f>
        <v>58.0</v>
      </c>
      <c r="G437" s="25" t="str">
        <f>"－"</f>
        <v>－</v>
      </c>
      <c r="H437" s="25"/>
      <c r="I437" s="25" t="str">
        <f>"－"</f>
        <v>－</v>
      </c>
      <c r="J437" s="25" t="str">
        <f>"－"</f>
        <v>－</v>
      </c>
      <c r="K437" s="25" t="str">
        <f>"－"</f>
        <v>－</v>
      </c>
      <c r="L437" s="2" t="s">
        <v>156</v>
      </c>
      <c r="M437" s="26" t="str">
        <f>"－"</f>
        <v>－</v>
      </c>
      <c r="N437" s="3" t="s">
        <v>156</v>
      </c>
      <c r="O437" s="27" t="str">
        <f>"－"</f>
        <v>－</v>
      </c>
      <c r="P437" s="29" t="s">
        <v>262</v>
      </c>
      <c r="Q437" s="25"/>
      <c r="R437" s="29" t="s">
        <v>262</v>
      </c>
      <c r="S437" s="25" t="str">
        <f>"－"</f>
        <v>－</v>
      </c>
      <c r="T437" s="25" t="str">
        <f>"－"</f>
        <v>－</v>
      </c>
      <c r="U437" s="3" t="s">
        <v>156</v>
      </c>
      <c r="V437" s="27" t="str">
        <f>"－"</f>
        <v>－</v>
      </c>
      <c r="W437" s="3" t="s">
        <v>156</v>
      </c>
      <c r="X437" s="27" t="str">
        <f>"－"</f>
        <v>－</v>
      </c>
      <c r="Y437" s="27"/>
      <c r="Z437" s="25" t="str">
        <f>"－"</f>
        <v>－</v>
      </c>
      <c r="AA437" s="25" t="str">
        <f>"－"</f>
        <v>－</v>
      </c>
      <c r="AB437" s="2" t="s">
        <v>156</v>
      </c>
      <c r="AC437" s="26" t="str">
        <f>"－"</f>
        <v>－</v>
      </c>
      <c r="AD437" s="3" t="s">
        <v>156</v>
      </c>
      <c r="AE437" s="27" t="str">
        <f>"－"</f>
        <v>－</v>
      </c>
    </row>
    <row r="438">
      <c r="A438" s="20" t="s">
        <v>1110</v>
      </c>
      <c r="B438" s="21" t="s">
        <v>1111</v>
      </c>
      <c r="C438" s="22"/>
      <c r="D438" s="23"/>
      <c r="E438" s="24" t="s">
        <v>151</v>
      </c>
      <c r="F438" s="28" t="n">
        <f>25</f>
        <v>25.0</v>
      </c>
      <c r="G438" s="25" t="str">
        <f>"－"</f>
        <v>－</v>
      </c>
      <c r="H438" s="25"/>
      <c r="I438" s="25" t="str">
        <f>"－"</f>
        <v>－</v>
      </c>
      <c r="J438" s="25" t="str">
        <f>"－"</f>
        <v>－</v>
      </c>
      <c r="K438" s="25" t="str">
        <f>"－"</f>
        <v>－</v>
      </c>
      <c r="L438" s="2" t="s">
        <v>249</v>
      </c>
      <c r="M438" s="26" t="str">
        <f>"－"</f>
        <v>－</v>
      </c>
      <c r="N438" s="3" t="s">
        <v>249</v>
      </c>
      <c r="O438" s="27" t="str">
        <f>"－"</f>
        <v>－</v>
      </c>
      <c r="P438" s="29" t="s">
        <v>262</v>
      </c>
      <c r="Q438" s="25"/>
      <c r="R438" s="29" t="s">
        <v>262</v>
      </c>
      <c r="S438" s="25" t="str">
        <f>"－"</f>
        <v>－</v>
      </c>
      <c r="T438" s="25" t="str">
        <f>"－"</f>
        <v>－</v>
      </c>
      <c r="U438" s="3" t="s">
        <v>249</v>
      </c>
      <c r="V438" s="27" t="str">
        <f>"－"</f>
        <v>－</v>
      </c>
      <c r="W438" s="3" t="s">
        <v>249</v>
      </c>
      <c r="X438" s="27" t="str">
        <f>"－"</f>
        <v>－</v>
      </c>
      <c r="Y438" s="27"/>
      <c r="Z438" s="25" t="str">
        <f>"－"</f>
        <v>－</v>
      </c>
      <c r="AA438" s="25" t="str">
        <f>"－"</f>
        <v>－</v>
      </c>
      <c r="AB438" s="2" t="s">
        <v>249</v>
      </c>
      <c r="AC438" s="26" t="str">
        <f>"－"</f>
        <v>－</v>
      </c>
      <c r="AD438" s="3" t="s">
        <v>249</v>
      </c>
      <c r="AE438" s="27" t="str">
        <f>"－"</f>
        <v>－</v>
      </c>
    </row>
    <row r="439">
      <c r="A439" s="20" t="s">
        <v>1110</v>
      </c>
      <c r="B439" s="21" t="s">
        <v>1111</v>
      </c>
      <c r="C439" s="22"/>
      <c r="D439" s="23"/>
      <c r="E439" s="24" t="s">
        <v>157</v>
      </c>
      <c r="F439" s="28" t="n">
        <f>124</f>
        <v>124.0</v>
      </c>
      <c r="G439" s="25" t="str">
        <f>"－"</f>
        <v>－</v>
      </c>
      <c r="H439" s="25"/>
      <c r="I439" s="25" t="str">
        <f>"－"</f>
        <v>－</v>
      </c>
      <c r="J439" s="25" t="str">
        <f>"－"</f>
        <v>－</v>
      </c>
      <c r="K439" s="25" t="str">
        <f>"－"</f>
        <v>－</v>
      </c>
      <c r="L439" s="2" t="s">
        <v>633</v>
      </c>
      <c r="M439" s="26" t="str">
        <f>"－"</f>
        <v>－</v>
      </c>
      <c r="N439" s="3" t="s">
        <v>633</v>
      </c>
      <c r="O439" s="27" t="str">
        <f>"－"</f>
        <v>－</v>
      </c>
      <c r="P439" s="29" t="s">
        <v>262</v>
      </c>
      <c r="Q439" s="25"/>
      <c r="R439" s="29" t="s">
        <v>262</v>
      </c>
      <c r="S439" s="25" t="str">
        <f>"－"</f>
        <v>－</v>
      </c>
      <c r="T439" s="25" t="str">
        <f>"－"</f>
        <v>－</v>
      </c>
      <c r="U439" s="3" t="s">
        <v>633</v>
      </c>
      <c r="V439" s="27" t="str">
        <f>"－"</f>
        <v>－</v>
      </c>
      <c r="W439" s="3" t="s">
        <v>633</v>
      </c>
      <c r="X439" s="27" t="str">
        <f>"－"</f>
        <v>－</v>
      </c>
      <c r="Y439" s="27"/>
      <c r="Z439" s="25" t="str">
        <f>"－"</f>
        <v>－</v>
      </c>
      <c r="AA439" s="25" t="str">
        <f>"－"</f>
        <v>－</v>
      </c>
      <c r="AB439" s="2" t="s">
        <v>633</v>
      </c>
      <c r="AC439" s="26" t="str">
        <f>"－"</f>
        <v>－</v>
      </c>
      <c r="AD439" s="3" t="s">
        <v>633</v>
      </c>
      <c r="AE439" s="27" t="str">
        <f>"－"</f>
        <v>－</v>
      </c>
    </row>
    <row r="440">
      <c r="A440" s="20" t="s">
        <v>1110</v>
      </c>
      <c r="B440" s="21" t="s">
        <v>1111</v>
      </c>
      <c r="C440" s="22"/>
      <c r="D440" s="23"/>
      <c r="E440" s="24" t="s">
        <v>160</v>
      </c>
      <c r="F440" s="28" t="n">
        <f>58</f>
        <v>58.0</v>
      </c>
      <c r="G440" s="25" t="str">
        <f>"－"</f>
        <v>－</v>
      </c>
      <c r="H440" s="25"/>
      <c r="I440" s="25" t="str">
        <f>"－"</f>
        <v>－</v>
      </c>
      <c r="J440" s="25" t="str">
        <f>"－"</f>
        <v>－</v>
      </c>
      <c r="K440" s="25" t="str">
        <f>"－"</f>
        <v>－</v>
      </c>
      <c r="L440" s="2" t="s">
        <v>156</v>
      </c>
      <c r="M440" s="26" t="str">
        <f>"－"</f>
        <v>－</v>
      </c>
      <c r="N440" s="3" t="s">
        <v>156</v>
      </c>
      <c r="O440" s="27" t="str">
        <f>"－"</f>
        <v>－</v>
      </c>
      <c r="P440" s="29" t="s">
        <v>262</v>
      </c>
      <c r="Q440" s="25"/>
      <c r="R440" s="29" t="s">
        <v>262</v>
      </c>
      <c r="S440" s="25" t="str">
        <f>"－"</f>
        <v>－</v>
      </c>
      <c r="T440" s="25" t="str">
        <f>"－"</f>
        <v>－</v>
      </c>
      <c r="U440" s="3" t="s">
        <v>156</v>
      </c>
      <c r="V440" s="27" t="str">
        <f>"－"</f>
        <v>－</v>
      </c>
      <c r="W440" s="3" t="s">
        <v>156</v>
      </c>
      <c r="X440" s="27" t="str">
        <f>"－"</f>
        <v>－</v>
      </c>
      <c r="Y440" s="27"/>
      <c r="Z440" s="25" t="str">
        <f>"－"</f>
        <v>－</v>
      </c>
      <c r="AA440" s="25" t="str">
        <f>"－"</f>
        <v>－</v>
      </c>
      <c r="AB440" s="2" t="s">
        <v>156</v>
      </c>
      <c r="AC440" s="26" t="str">
        <f>"－"</f>
        <v>－</v>
      </c>
      <c r="AD440" s="3" t="s">
        <v>156</v>
      </c>
      <c r="AE440" s="27" t="str">
        <f>"－"</f>
        <v>－</v>
      </c>
    </row>
    <row r="441">
      <c r="A441" s="20" t="s">
        <v>1112</v>
      </c>
      <c r="B441" s="21" t="s">
        <v>1113</v>
      </c>
      <c r="C441" s="22"/>
      <c r="D441" s="23"/>
      <c r="E441" s="24" t="s">
        <v>322</v>
      </c>
      <c r="F441" s="28" t="n">
        <f>92</f>
        <v>92.0</v>
      </c>
      <c r="G441" s="25" t="n">
        <f>167799</f>
        <v>167799.0</v>
      </c>
      <c r="H441" s="25"/>
      <c r="I441" s="25" t="str">
        <f>"－"</f>
        <v>－</v>
      </c>
      <c r="J441" s="25" t="n">
        <f>1824</f>
        <v>1824.0</v>
      </c>
      <c r="K441" s="25" t="str">
        <f>"－"</f>
        <v>－</v>
      </c>
      <c r="L441" s="2" t="s">
        <v>1114</v>
      </c>
      <c r="M441" s="26" t="n">
        <f>18458</f>
        <v>18458.0</v>
      </c>
      <c r="N441" s="3" t="s">
        <v>366</v>
      </c>
      <c r="O441" s="27" t="n">
        <f>607</f>
        <v>607.0</v>
      </c>
      <c r="P441" s="29" t="s">
        <v>1115</v>
      </c>
      <c r="Q441" s="25"/>
      <c r="R441" s="29" t="s">
        <v>262</v>
      </c>
      <c r="S441" s="25" t="n">
        <f>204774942717</f>
        <v>2.04774942717E11</v>
      </c>
      <c r="T441" s="25" t="str">
        <f>"－"</f>
        <v>－</v>
      </c>
      <c r="U441" s="3" t="s">
        <v>1114</v>
      </c>
      <c r="V441" s="27" t="n">
        <f>2068805920000</f>
        <v>2.06880592E12</v>
      </c>
      <c r="W441" s="3" t="s">
        <v>366</v>
      </c>
      <c r="X441" s="27" t="n">
        <f>67835830000</f>
        <v>6.783583E10</v>
      </c>
      <c r="Y441" s="27"/>
      <c r="Z441" s="25" t="str">
        <f>"－"</f>
        <v>－</v>
      </c>
      <c r="AA441" s="25" t="n">
        <f>8165</f>
        <v>8165.0</v>
      </c>
      <c r="AB441" s="2" t="s">
        <v>378</v>
      </c>
      <c r="AC441" s="26" t="n">
        <f>21126</f>
        <v>21126.0</v>
      </c>
      <c r="AD441" s="3" t="s">
        <v>146</v>
      </c>
      <c r="AE441" s="27" t="n">
        <f>5740</f>
        <v>5740.0</v>
      </c>
    </row>
    <row r="442">
      <c r="A442" s="20" t="s">
        <v>1112</v>
      </c>
      <c r="B442" s="21" t="s">
        <v>1113</v>
      </c>
      <c r="C442" s="22"/>
      <c r="D442" s="23"/>
      <c r="E442" s="24" t="s">
        <v>325</v>
      </c>
      <c r="F442" s="28" t="n">
        <f>126</f>
        <v>126.0</v>
      </c>
      <c r="G442" s="25" t="n">
        <f>93373</f>
        <v>93373.0</v>
      </c>
      <c r="H442" s="25"/>
      <c r="I442" s="25" t="str">
        <f>"－"</f>
        <v>－</v>
      </c>
      <c r="J442" s="25" t="n">
        <f>741</f>
        <v>741.0</v>
      </c>
      <c r="K442" s="25" t="str">
        <f>"－"</f>
        <v>－</v>
      </c>
      <c r="L442" s="2" t="s">
        <v>90</v>
      </c>
      <c r="M442" s="26" t="n">
        <f>2839</f>
        <v>2839.0</v>
      </c>
      <c r="N442" s="3" t="s">
        <v>1116</v>
      </c>
      <c r="O442" s="27" t="n">
        <f>261</f>
        <v>261.0</v>
      </c>
      <c r="P442" s="29" t="s">
        <v>1117</v>
      </c>
      <c r="Q442" s="25"/>
      <c r="R442" s="29" t="s">
        <v>262</v>
      </c>
      <c r="S442" s="25" t="n">
        <f>84068276429</f>
        <v>8.4068276429E10</v>
      </c>
      <c r="T442" s="25" t="str">
        <f>"－"</f>
        <v>－</v>
      </c>
      <c r="U442" s="3" t="s">
        <v>90</v>
      </c>
      <c r="V442" s="27" t="n">
        <f>322472160000</f>
        <v>3.2247216E11</v>
      </c>
      <c r="W442" s="3" t="s">
        <v>1116</v>
      </c>
      <c r="X442" s="27" t="n">
        <f>29882190000</f>
        <v>2.988219E10</v>
      </c>
      <c r="Y442" s="27"/>
      <c r="Z442" s="25" t="str">
        <f>"－"</f>
        <v>－</v>
      </c>
      <c r="AA442" s="25" t="n">
        <f>2412</f>
        <v>2412.0</v>
      </c>
      <c r="AB442" s="2" t="s">
        <v>393</v>
      </c>
      <c r="AC442" s="26" t="n">
        <f>9915</f>
        <v>9915.0</v>
      </c>
      <c r="AD442" s="3" t="s">
        <v>81</v>
      </c>
      <c r="AE442" s="27" t="n">
        <f>2373</f>
        <v>2373.0</v>
      </c>
    </row>
    <row r="443">
      <c r="A443" s="20" t="s">
        <v>1112</v>
      </c>
      <c r="B443" s="21" t="s">
        <v>1113</v>
      </c>
      <c r="C443" s="22"/>
      <c r="D443" s="23"/>
      <c r="E443" s="24" t="s">
        <v>327</v>
      </c>
      <c r="F443" s="28" t="n">
        <f>121</f>
        <v>121.0</v>
      </c>
      <c r="G443" s="25" t="n">
        <f>66175</f>
        <v>66175.0</v>
      </c>
      <c r="H443" s="25"/>
      <c r="I443" s="25" t="str">
        <f>"－"</f>
        <v>－</v>
      </c>
      <c r="J443" s="25" t="n">
        <f>547</f>
        <v>547.0</v>
      </c>
      <c r="K443" s="25" t="str">
        <f>"－"</f>
        <v>－</v>
      </c>
      <c r="L443" s="2" t="s">
        <v>84</v>
      </c>
      <c r="M443" s="26" t="n">
        <f>1879</f>
        <v>1879.0</v>
      </c>
      <c r="N443" s="3" t="s">
        <v>328</v>
      </c>
      <c r="O443" s="27" t="n">
        <f>138</f>
        <v>138.0</v>
      </c>
      <c r="P443" s="29" t="s">
        <v>1118</v>
      </c>
      <c r="Q443" s="25"/>
      <c r="R443" s="29" t="s">
        <v>262</v>
      </c>
      <c r="S443" s="25" t="n">
        <f>62430391240</f>
        <v>6.243039124E10</v>
      </c>
      <c r="T443" s="25" t="str">
        <f>"－"</f>
        <v>－</v>
      </c>
      <c r="U443" s="3" t="s">
        <v>84</v>
      </c>
      <c r="V443" s="27" t="n">
        <f>215792270000</f>
        <v>2.1579227E11</v>
      </c>
      <c r="W443" s="3" t="s">
        <v>328</v>
      </c>
      <c r="X443" s="27" t="n">
        <f>15702060000</f>
        <v>1.570206E10</v>
      </c>
      <c r="Y443" s="27"/>
      <c r="Z443" s="25" t="str">
        <f>"－"</f>
        <v>－</v>
      </c>
      <c r="AA443" s="25" t="n">
        <f>1677</f>
        <v>1677.0</v>
      </c>
      <c r="AB443" s="2" t="s">
        <v>743</v>
      </c>
      <c r="AC443" s="26" t="n">
        <f>4929</f>
        <v>4929.0</v>
      </c>
      <c r="AD443" s="3" t="s">
        <v>242</v>
      </c>
      <c r="AE443" s="27" t="n">
        <f>1088</f>
        <v>1088.0</v>
      </c>
    </row>
    <row r="444">
      <c r="A444" s="20" t="s">
        <v>1112</v>
      </c>
      <c r="B444" s="21" t="s">
        <v>1113</v>
      </c>
      <c r="C444" s="22"/>
      <c r="D444" s="23"/>
      <c r="E444" s="24" t="s">
        <v>330</v>
      </c>
      <c r="F444" s="28" t="n">
        <f>124</f>
        <v>124.0</v>
      </c>
      <c r="G444" s="25" t="n">
        <f>52272</f>
        <v>52272.0</v>
      </c>
      <c r="H444" s="25"/>
      <c r="I444" s="25" t="str">
        <f>"－"</f>
        <v>－</v>
      </c>
      <c r="J444" s="25" t="n">
        <f>422</f>
        <v>422.0</v>
      </c>
      <c r="K444" s="25" t="str">
        <f>"－"</f>
        <v>－</v>
      </c>
      <c r="L444" s="2" t="s">
        <v>302</v>
      </c>
      <c r="M444" s="26" t="n">
        <f>1038</f>
        <v>1038.0</v>
      </c>
      <c r="N444" s="3" t="s">
        <v>633</v>
      </c>
      <c r="O444" s="27" t="n">
        <f>137</f>
        <v>137.0</v>
      </c>
      <c r="P444" s="29" t="s">
        <v>1119</v>
      </c>
      <c r="Q444" s="25"/>
      <c r="R444" s="29" t="s">
        <v>262</v>
      </c>
      <c r="S444" s="25" t="n">
        <f>48328476855</f>
        <v>4.8328476855E10</v>
      </c>
      <c r="T444" s="25" t="str">
        <f>"－"</f>
        <v>－</v>
      </c>
      <c r="U444" s="3" t="s">
        <v>302</v>
      </c>
      <c r="V444" s="27" t="n">
        <f>119381060000</f>
        <v>1.1938106E11</v>
      </c>
      <c r="W444" s="3" t="s">
        <v>633</v>
      </c>
      <c r="X444" s="27" t="n">
        <f>15559180000</f>
        <v>1.555918E10</v>
      </c>
      <c r="Y444" s="27"/>
      <c r="Z444" s="25" t="str">
        <f>"－"</f>
        <v>－</v>
      </c>
      <c r="AA444" s="25" t="n">
        <f>2649</f>
        <v>2649.0</v>
      </c>
      <c r="AB444" s="2" t="s">
        <v>1024</v>
      </c>
      <c r="AC444" s="26" t="n">
        <f>3789</f>
        <v>3789.0</v>
      </c>
      <c r="AD444" s="3" t="s">
        <v>259</v>
      </c>
      <c r="AE444" s="27" t="n">
        <f>950</f>
        <v>950.0</v>
      </c>
    </row>
    <row r="445">
      <c r="A445" s="20" t="s">
        <v>1112</v>
      </c>
      <c r="B445" s="21" t="s">
        <v>1113</v>
      </c>
      <c r="C445" s="22"/>
      <c r="D445" s="23"/>
      <c r="E445" s="24" t="s">
        <v>336</v>
      </c>
      <c r="F445" s="28" t="n">
        <f>122</f>
        <v>122.0</v>
      </c>
      <c r="G445" s="25" t="n">
        <f>87958</f>
        <v>87958.0</v>
      </c>
      <c r="H445" s="25"/>
      <c r="I445" s="25" t="str">
        <f>"－"</f>
        <v>－</v>
      </c>
      <c r="J445" s="25" t="n">
        <f>721</f>
        <v>721.0</v>
      </c>
      <c r="K445" s="25" t="str">
        <f>"－"</f>
        <v>－</v>
      </c>
      <c r="L445" s="2" t="s">
        <v>97</v>
      </c>
      <c r="M445" s="26" t="n">
        <f>1303</f>
        <v>1303.0</v>
      </c>
      <c r="N445" s="3" t="s">
        <v>147</v>
      </c>
      <c r="O445" s="27" t="n">
        <f>232</f>
        <v>232.0</v>
      </c>
      <c r="P445" s="29" t="s">
        <v>1120</v>
      </c>
      <c r="Q445" s="25"/>
      <c r="R445" s="29" t="s">
        <v>262</v>
      </c>
      <c r="S445" s="25" t="n">
        <f>83020792295</f>
        <v>8.3020792295E10</v>
      </c>
      <c r="T445" s="25" t="str">
        <f>"－"</f>
        <v>－</v>
      </c>
      <c r="U445" s="3" t="s">
        <v>97</v>
      </c>
      <c r="V445" s="27" t="n">
        <f>149825930000</f>
        <v>1.4982593E11</v>
      </c>
      <c r="W445" s="3" t="s">
        <v>147</v>
      </c>
      <c r="X445" s="27" t="n">
        <f>26659870000</f>
        <v>2.665987E10</v>
      </c>
      <c r="Y445" s="27"/>
      <c r="Z445" s="25" t="str">
        <f>"－"</f>
        <v>－</v>
      </c>
      <c r="AA445" s="25" t="n">
        <f>3263</f>
        <v>3263.0</v>
      </c>
      <c r="AB445" s="2" t="s">
        <v>849</v>
      </c>
      <c r="AC445" s="26" t="n">
        <f>3623</f>
        <v>3623.0</v>
      </c>
      <c r="AD445" s="3" t="s">
        <v>1121</v>
      </c>
      <c r="AE445" s="27" t="n">
        <f>1980</f>
        <v>1980.0</v>
      </c>
    </row>
    <row r="446">
      <c r="A446" s="20" t="s">
        <v>1112</v>
      </c>
      <c r="B446" s="21" t="s">
        <v>1113</v>
      </c>
      <c r="C446" s="22"/>
      <c r="D446" s="23"/>
      <c r="E446" s="24" t="s">
        <v>338</v>
      </c>
      <c r="F446" s="28" t="n">
        <f>125</f>
        <v>125.0</v>
      </c>
      <c r="G446" s="25" t="n">
        <f>107249</f>
        <v>107249.0</v>
      </c>
      <c r="H446" s="25"/>
      <c r="I446" s="25" t="str">
        <f>"－"</f>
        <v>－</v>
      </c>
      <c r="J446" s="25" t="n">
        <f>858</f>
        <v>858.0</v>
      </c>
      <c r="K446" s="25" t="str">
        <f>"－"</f>
        <v>－</v>
      </c>
      <c r="L446" s="2" t="s">
        <v>302</v>
      </c>
      <c r="M446" s="26" t="n">
        <f>1776</f>
        <v>1776.0</v>
      </c>
      <c r="N446" s="3" t="s">
        <v>1122</v>
      </c>
      <c r="O446" s="27" t="n">
        <f>472</f>
        <v>472.0</v>
      </c>
      <c r="P446" s="29" t="s">
        <v>1123</v>
      </c>
      <c r="Q446" s="25"/>
      <c r="R446" s="29" t="s">
        <v>262</v>
      </c>
      <c r="S446" s="25" t="n">
        <f>99444781760</f>
        <v>9.944478176E10</v>
      </c>
      <c r="T446" s="25" t="str">
        <f>"－"</f>
        <v>－</v>
      </c>
      <c r="U446" s="3" t="s">
        <v>302</v>
      </c>
      <c r="V446" s="27" t="n">
        <f>206051010000</f>
        <v>2.0605101E11</v>
      </c>
      <c r="W446" s="3" t="s">
        <v>1122</v>
      </c>
      <c r="X446" s="27" t="n">
        <f>54656700000</f>
        <v>5.46567E10</v>
      </c>
      <c r="Y446" s="27"/>
      <c r="Z446" s="25" t="str">
        <f>"－"</f>
        <v>－</v>
      </c>
      <c r="AA446" s="25" t="n">
        <f>3523</f>
        <v>3523.0</v>
      </c>
      <c r="AB446" s="2" t="s">
        <v>1015</v>
      </c>
      <c r="AC446" s="26" t="n">
        <f>4455</f>
        <v>4455.0</v>
      </c>
      <c r="AD446" s="3" t="s">
        <v>521</v>
      </c>
      <c r="AE446" s="27" t="n">
        <f>1921</f>
        <v>1921.0</v>
      </c>
    </row>
    <row r="447">
      <c r="A447" s="20" t="s">
        <v>1112</v>
      </c>
      <c r="B447" s="21" t="s">
        <v>1113</v>
      </c>
      <c r="C447" s="22"/>
      <c r="D447" s="23"/>
      <c r="E447" s="24" t="s">
        <v>342</v>
      </c>
      <c r="F447" s="28" t="n">
        <f>121</f>
        <v>121.0</v>
      </c>
      <c r="G447" s="25" t="n">
        <f>79669</f>
        <v>79669.0</v>
      </c>
      <c r="H447" s="25"/>
      <c r="I447" s="25" t="str">
        <f>"－"</f>
        <v>－</v>
      </c>
      <c r="J447" s="25" t="n">
        <f>658</f>
        <v>658.0</v>
      </c>
      <c r="K447" s="25" t="str">
        <f>"－"</f>
        <v>－</v>
      </c>
      <c r="L447" s="2" t="s">
        <v>751</v>
      </c>
      <c r="M447" s="26" t="n">
        <f>2004</f>
        <v>2004.0</v>
      </c>
      <c r="N447" s="3" t="s">
        <v>180</v>
      </c>
      <c r="O447" s="27" t="n">
        <f>4</f>
        <v>4.0</v>
      </c>
      <c r="P447" s="29" t="s">
        <v>1124</v>
      </c>
      <c r="Q447" s="25"/>
      <c r="R447" s="29" t="s">
        <v>262</v>
      </c>
      <c r="S447" s="25" t="n">
        <f>76463354215</f>
        <v>7.6463354215E10</v>
      </c>
      <c r="T447" s="25" t="str">
        <f>"－"</f>
        <v>－</v>
      </c>
      <c r="U447" s="3" t="s">
        <v>751</v>
      </c>
      <c r="V447" s="27" t="n">
        <f>233140440000</f>
        <v>2.3314044E11</v>
      </c>
      <c r="W447" s="3" t="s">
        <v>180</v>
      </c>
      <c r="X447" s="27" t="n">
        <f>459720000</f>
        <v>4.5972E8</v>
      </c>
      <c r="Y447" s="27"/>
      <c r="Z447" s="25" t="str">
        <f>"－"</f>
        <v>－</v>
      </c>
      <c r="AA447" s="25" t="n">
        <f>5838</f>
        <v>5838.0</v>
      </c>
      <c r="AB447" s="2" t="s">
        <v>112</v>
      </c>
      <c r="AC447" s="26" t="n">
        <f>5935</f>
        <v>5935.0</v>
      </c>
      <c r="AD447" s="3" t="s">
        <v>204</v>
      </c>
      <c r="AE447" s="27" t="n">
        <f>1438</f>
        <v>1438.0</v>
      </c>
    </row>
    <row r="448">
      <c r="A448" s="20" t="s">
        <v>1112</v>
      </c>
      <c r="B448" s="21" t="s">
        <v>1113</v>
      </c>
      <c r="C448" s="22"/>
      <c r="D448" s="23"/>
      <c r="E448" s="24" t="s">
        <v>347</v>
      </c>
      <c r="F448" s="28" t="n">
        <f>124</f>
        <v>124.0</v>
      </c>
      <c r="G448" s="25" t="n">
        <f>32306</f>
        <v>32306.0</v>
      </c>
      <c r="H448" s="25"/>
      <c r="I448" s="25" t="str">
        <f>"－"</f>
        <v>－</v>
      </c>
      <c r="J448" s="25" t="n">
        <f>261</f>
        <v>261.0</v>
      </c>
      <c r="K448" s="25" t="str">
        <f>"－"</f>
        <v>－</v>
      </c>
      <c r="L448" s="2" t="s">
        <v>897</v>
      </c>
      <c r="M448" s="26" t="n">
        <f>706</f>
        <v>706.0</v>
      </c>
      <c r="N448" s="3" t="s">
        <v>138</v>
      </c>
      <c r="O448" s="27" t="n">
        <f>20</f>
        <v>20.0</v>
      </c>
      <c r="P448" s="29" t="s">
        <v>1125</v>
      </c>
      <c r="Q448" s="25"/>
      <c r="R448" s="29" t="s">
        <v>262</v>
      </c>
      <c r="S448" s="25" t="n">
        <f>30229098145</f>
        <v>3.0229098145E10</v>
      </c>
      <c r="T448" s="25" t="str">
        <f>"－"</f>
        <v>－</v>
      </c>
      <c r="U448" s="3" t="s">
        <v>897</v>
      </c>
      <c r="V448" s="27" t="n">
        <f>81727350000</f>
        <v>8.172735E10</v>
      </c>
      <c r="W448" s="3" t="s">
        <v>138</v>
      </c>
      <c r="X448" s="27" t="n">
        <f>2326000000</f>
        <v>2.326E9</v>
      </c>
      <c r="Y448" s="27"/>
      <c r="Z448" s="25" t="str">
        <f>"－"</f>
        <v>－</v>
      </c>
      <c r="AA448" s="25" t="n">
        <f>882</f>
        <v>882.0</v>
      </c>
      <c r="AB448" s="2" t="s">
        <v>198</v>
      </c>
      <c r="AC448" s="26" t="n">
        <f>6738</f>
        <v>6738.0</v>
      </c>
      <c r="AD448" s="3" t="s">
        <v>542</v>
      </c>
      <c r="AE448" s="27" t="n">
        <f>237</f>
        <v>237.0</v>
      </c>
    </row>
    <row r="449">
      <c r="A449" s="20" t="s">
        <v>1112</v>
      </c>
      <c r="B449" s="21" t="s">
        <v>1113</v>
      </c>
      <c r="C449" s="22"/>
      <c r="D449" s="23"/>
      <c r="E449" s="24" t="s">
        <v>351</v>
      </c>
      <c r="F449" s="28" t="n">
        <f>123</f>
        <v>123.0</v>
      </c>
      <c r="G449" s="25" t="n">
        <f>52738</f>
        <v>52738.0</v>
      </c>
      <c r="H449" s="25"/>
      <c r="I449" s="25" t="str">
        <f>"－"</f>
        <v>－</v>
      </c>
      <c r="J449" s="25" t="n">
        <f>429</f>
        <v>429.0</v>
      </c>
      <c r="K449" s="25" t="str">
        <f>"－"</f>
        <v>－</v>
      </c>
      <c r="L449" s="2" t="s">
        <v>184</v>
      </c>
      <c r="M449" s="26" t="n">
        <f>2664</f>
        <v>2664.0</v>
      </c>
      <c r="N449" s="3" t="s">
        <v>60</v>
      </c>
      <c r="O449" s="27" t="str">
        <f>"－"</f>
        <v>－</v>
      </c>
      <c r="P449" s="29" t="s">
        <v>1126</v>
      </c>
      <c r="Q449" s="25"/>
      <c r="R449" s="29" t="s">
        <v>262</v>
      </c>
      <c r="S449" s="25" t="n">
        <f>46669533252</f>
        <v>4.6669533252E10</v>
      </c>
      <c r="T449" s="25" t="str">
        <f>"－"</f>
        <v>－</v>
      </c>
      <c r="U449" s="3" t="s">
        <v>184</v>
      </c>
      <c r="V449" s="27" t="n">
        <f>288549120000</f>
        <v>2.8854912E11</v>
      </c>
      <c r="W449" s="3" t="s">
        <v>60</v>
      </c>
      <c r="X449" s="27" t="str">
        <f>"－"</f>
        <v>－</v>
      </c>
      <c r="Y449" s="27"/>
      <c r="Z449" s="25" t="str">
        <f>"－"</f>
        <v>－</v>
      </c>
      <c r="AA449" s="25" t="n">
        <f>9982</f>
        <v>9982.0</v>
      </c>
      <c r="AB449" s="2" t="s">
        <v>85</v>
      </c>
      <c r="AC449" s="26" t="n">
        <f>10479</f>
        <v>10479.0</v>
      </c>
      <c r="AD449" s="3" t="s">
        <v>397</v>
      </c>
      <c r="AE449" s="27" t="n">
        <f>2</f>
        <v>2.0</v>
      </c>
    </row>
    <row r="450">
      <c r="A450" s="20" t="s">
        <v>1112</v>
      </c>
      <c r="B450" s="21" t="s">
        <v>1113</v>
      </c>
      <c r="C450" s="22"/>
      <c r="D450" s="23"/>
      <c r="E450" s="24" t="s">
        <v>354</v>
      </c>
      <c r="F450" s="28" t="n">
        <f>125</f>
        <v>125.0</v>
      </c>
      <c r="G450" s="25" t="n">
        <f>59488</f>
        <v>59488.0</v>
      </c>
      <c r="H450" s="25"/>
      <c r="I450" s="25" t="str">
        <f>"－"</f>
        <v>－</v>
      </c>
      <c r="J450" s="25" t="n">
        <f>476</f>
        <v>476.0</v>
      </c>
      <c r="K450" s="25" t="str">
        <f>"－"</f>
        <v>－</v>
      </c>
      <c r="L450" s="2" t="s">
        <v>388</v>
      </c>
      <c r="M450" s="26" t="n">
        <f>3802</f>
        <v>3802.0</v>
      </c>
      <c r="N450" s="3" t="s">
        <v>50</v>
      </c>
      <c r="O450" s="27" t="n">
        <f>1</f>
        <v>1.0</v>
      </c>
      <c r="P450" s="29" t="s">
        <v>1127</v>
      </c>
      <c r="Q450" s="25"/>
      <c r="R450" s="29" t="s">
        <v>262</v>
      </c>
      <c r="S450" s="25" t="n">
        <f>51661289920</f>
        <v>5.166128992E10</v>
      </c>
      <c r="T450" s="25" t="str">
        <f>"－"</f>
        <v>－</v>
      </c>
      <c r="U450" s="3" t="s">
        <v>388</v>
      </c>
      <c r="V450" s="27" t="n">
        <f>411039450000</f>
        <v>4.1103945E11</v>
      </c>
      <c r="W450" s="3" t="s">
        <v>50</v>
      </c>
      <c r="X450" s="27" t="n">
        <f>108590000</f>
        <v>1.0859E8</v>
      </c>
      <c r="Y450" s="27"/>
      <c r="Z450" s="25" t="str">
        <f>"－"</f>
        <v>－</v>
      </c>
      <c r="AA450" s="25" t="n">
        <f>547</f>
        <v>547.0</v>
      </c>
      <c r="AB450" s="2" t="s">
        <v>393</v>
      </c>
      <c r="AC450" s="26" t="n">
        <f>10265</f>
        <v>10265.0</v>
      </c>
      <c r="AD450" s="3" t="s">
        <v>976</v>
      </c>
      <c r="AE450" s="27" t="n">
        <f>295</f>
        <v>295.0</v>
      </c>
    </row>
    <row r="451">
      <c r="A451" s="20" t="s">
        <v>1112</v>
      </c>
      <c r="B451" s="21" t="s">
        <v>1113</v>
      </c>
      <c r="C451" s="22"/>
      <c r="D451" s="23"/>
      <c r="E451" s="24" t="s">
        <v>357</v>
      </c>
      <c r="F451" s="28" t="n">
        <f>121</f>
        <v>121.0</v>
      </c>
      <c r="G451" s="25" t="n">
        <f>2079</f>
        <v>2079.0</v>
      </c>
      <c r="H451" s="25"/>
      <c r="I451" s="25" t="str">
        <f>"－"</f>
        <v>－</v>
      </c>
      <c r="J451" s="25" t="n">
        <f>17</f>
        <v>17.0</v>
      </c>
      <c r="K451" s="25" t="str">
        <f>"－"</f>
        <v>－</v>
      </c>
      <c r="L451" s="2" t="s">
        <v>74</v>
      </c>
      <c r="M451" s="26" t="n">
        <f>437</f>
        <v>437.0</v>
      </c>
      <c r="N451" s="3" t="s">
        <v>422</v>
      </c>
      <c r="O451" s="27" t="str">
        <f>"－"</f>
        <v>－</v>
      </c>
      <c r="P451" s="29" t="s">
        <v>1128</v>
      </c>
      <c r="Q451" s="25"/>
      <c r="R451" s="29" t="s">
        <v>262</v>
      </c>
      <c r="S451" s="25" t="n">
        <f>1889109669</f>
        <v>1.889109669E9</v>
      </c>
      <c r="T451" s="25" t="str">
        <f>"－"</f>
        <v>－</v>
      </c>
      <c r="U451" s="3" t="s">
        <v>74</v>
      </c>
      <c r="V451" s="27" t="n">
        <f>48248920000</f>
        <v>4.824892E10</v>
      </c>
      <c r="W451" s="3" t="s">
        <v>422</v>
      </c>
      <c r="X451" s="27" t="str">
        <f>"－"</f>
        <v>－</v>
      </c>
      <c r="Y451" s="27"/>
      <c r="Z451" s="25" t="str">
        <f>"－"</f>
        <v>－</v>
      </c>
      <c r="AA451" s="25" t="n">
        <f>34</f>
        <v>34.0</v>
      </c>
      <c r="AB451" s="2" t="s">
        <v>1027</v>
      </c>
      <c r="AC451" s="26" t="n">
        <f>627</f>
        <v>627.0</v>
      </c>
      <c r="AD451" s="3" t="s">
        <v>414</v>
      </c>
      <c r="AE451" s="27" t="n">
        <f>34</f>
        <v>34.0</v>
      </c>
    </row>
    <row r="452">
      <c r="A452" s="20" t="s">
        <v>1112</v>
      </c>
      <c r="B452" s="21" t="s">
        <v>1113</v>
      </c>
      <c r="C452" s="22"/>
      <c r="D452" s="23"/>
      <c r="E452" s="24" t="s">
        <v>361</v>
      </c>
      <c r="F452" s="28" t="n">
        <f>125</f>
        <v>125.0</v>
      </c>
      <c r="G452" s="25" t="n">
        <f>119</f>
        <v>119.0</v>
      </c>
      <c r="H452" s="25"/>
      <c r="I452" s="25" t="str">
        <f>"－"</f>
        <v>－</v>
      </c>
      <c r="J452" s="25" t="n">
        <f>1</f>
        <v>1.0</v>
      </c>
      <c r="K452" s="25" t="str">
        <f>"－"</f>
        <v>－</v>
      </c>
      <c r="L452" s="2" t="s">
        <v>295</v>
      </c>
      <c r="M452" s="26" t="n">
        <f>28</f>
        <v>28.0</v>
      </c>
      <c r="N452" s="3" t="s">
        <v>215</v>
      </c>
      <c r="O452" s="27" t="str">
        <f>"－"</f>
        <v>－</v>
      </c>
      <c r="P452" s="29" t="s">
        <v>1129</v>
      </c>
      <c r="Q452" s="25"/>
      <c r="R452" s="29" t="s">
        <v>262</v>
      </c>
      <c r="S452" s="25" t="n">
        <f>105208160</f>
        <v>1.0520816E8</v>
      </c>
      <c r="T452" s="25" t="str">
        <f>"－"</f>
        <v>－</v>
      </c>
      <c r="U452" s="3" t="s">
        <v>295</v>
      </c>
      <c r="V452" s="27" t="n">
        <f>3095680000</f>
        <v>3.09568E9</v>
      </c>
      <c r="W452" s="3" t="s">
        <v>215</v>
      </c>
      <c r="X452" s="27" t="str">
        <f>"－"</f>
        <v>－</v>
      </c>
      <c r="Y452" s="27"/>
      <c r="Z452" s="25" t="str">
        <f>"－"</f>
        <v>－</v>
      </c>
      <c r="AA452" s="25" t="n">
        <f>14</f>
        <v>14.0</v>
      </c>
      <c r="AB452" s="2" t="s">
        <v>529</v>
      </c>
      <c r="AC452" s="26" t="n">
        <f>37</f>
        <v>37.0</v>
      </c>
      <c r="AD452" s="3" t="s">
        <v>976</v>
      </c>
      <c r="AE452" s="27" t="n">
        <f>14</f>
        <v>14.0</v>
      </c>
    </row>
    <row r="453">
      <c r="A453" s="20" t="s">
        <v>1112</v>
      </c>
      <c r="B453" s="21" t="s">
        <v>1113</v>
      </c>
      <c r="C453" s="22"/>
      <c r="D453" s="23"/>
      <c r="E453" s="24" t="s">
        <v>365</v>
      </c>
      <c r="F453" s="28" t="n">
        <f>120</f>
        <v>120.0</v>
      </c>
      <c r="G453" s="25" t="n">
        <f>39</f>
        <v>39.0</v>
      </c>
      <c r="H453" s="25"/>
      <c r="I453" s="25" t="str">
        <f>"－"</f>
        <v>－</v>
      </c>
      <c r="J453" s="25" t="n">
        <f>0</f>
        <v>0.0</v>
      </c>
      <c r="K453" s="25" t="str">
        <f>"－"</f>
        <v>－</v>
      </c>
      <c r="L453" s="2" t="s">
        <v>1130</v>
      </c>
      <c r="M453" s="26" t="n">
        <f>13</f>
        <v>13.0</v>
      </c>
      <c r="N453" s="3" t="s">
        <v>156</v>
      </c>
      <c r="O453" s="27" t="str">
        <f>"－"</f>
        <v>－</v>
      </c>
      <c r="P453" s="29" t="s">
        <v>1131</v>
      </c>
      <c r="Q453" s="25"/>
      <c r="R453" s="29" t="s">
        <v>262</v>
      </c>
      <c r="S453" s="25" t="n">
        <f>35867417</f>
        <v>3.5867417E7</v>
      </c>
      <c r="T453" s="25" t="str">
        <f>"－"</f>
        <v>－</v>
      </c>
      <c r="U453" s="3" t="s">
        <v>1130</v>
      </c>
      <c r="V453" s="27" t="n">
        <f>1435750000</f>
        <v>1.43575E9</v>
      </c>
      <c r="W453" s="3" t="s">
        <v>156</v>
      </c>
      <c r="X453" s="27" t="str">
        <f>"－"</f>
        <v>－</v>
      </c>
      <c r="Y453" s="27"/>
      <c r="Z453" s="25" t="str">
        <f>"－"</f>
        <v>－</v>
      </c>
      <c r="AA453" s="25" t="str">
        <f>"－"</f>
        <v>－</v>
      </c>
      <c r="AB453" s="2" t="s">
        <v>156</v>
      </c>
      <c r="AC453" s="26" t="n">
        <f>14</f>
        <v>14.0</v>
      </c>
      <c r="AD453" s="3" t="s">
        <v>1132</v>
      </c>
      <c r="AE453" s="27" t="str">
        <f>"－"</f>
        <v>－</v>
      </c>
    </row>
    <row r="454">
      <c r="A454" s="20" t="s">
        <v>1112</v>
      </c>
      <c r="B454" s="21" t="s">
        <v>1113</v>
      </c>
      <c r="C454" s="22"/>
      <c r="D454" s="23"/>
      <c r="E454" s="24" t="s">
        <v>370</v>
      </c>
      <c r="F454" s="28" t="n">
        <f>126</f>
        <v>126.0</v>
      </c>
      <c r="G454" s="25" t="str">
        <f>"－"</f>
        <v>－</v>
      </c>
      <c r="H454" s="25"/>
      <c r="I454" s="25" t="str">
        <f>"－"</f>
        <v>－</v>
      </c>
      <c r="J454" s="25" t="str">
        <f>"－"</f>
        <v>－</v>
      </c>
      <c r="K454" s="25" t="str">
        <f>"－"</f>
        <v>－</v>
      </c>
      <c r="L454" s="2" t="s">
        <v>68</v>
      </c>
      <c r="M454" s="26" t="str">
        <f>"－"</f>
        <v>－</v>
      </c>
      <c r="N454" s="3" t="s">
        <v>68</v>
      </c>
      <c r="O454" s="27" t="str">
        <f>"－"</f>
        <v>－</v>
      </c>
      <c r="P454" s="29" t="s">
        <v>262</v>
      </c>
      <c r="Q454" s="25"/>
      <c r="R454" s="29" t="s">
        <v>262</v>
      </c>
      <c r="S454" s="25" t="str">
        <f>"－"</f>
        <v>－</v>
      </c>
      <c r="T454" s="25" t="str">
        <f>"－"</f>
        <v>－</v>
      </c>
      <c r="U454" s="3" t="s">
        <v>68</v>
      </c>
      <c r="V454" s="27" t="str">
        <f>"－"</f>
        <v>－</v>
      </c>
      <c r="W454" s="3" t="s">
        <v>68</v>
      </c>
      <c r="X454" s="27" t="str">
        <f>"－"</f>
        <v>－</v>
      </c>
      <c r="Y454" s="27"/>
      <c r="Z454" s="25" t="str">
        <f>"－"</f>
        <v>－</v>
      </c>
      <c r="AA454" s="25" t="str">
        <f>"－"</f>
        <v>－</v>
      </c>
      <c r="AB454" s="2" t="s">
        <v>68</v>
      </c>
      <c r="AC454" s="26" t="str">
        <f>"－"</f>
        <v>－</v>
      </c>
      <c r="AD454" s="3" t="s">
        <v>68</v>
      </c>
      <c r="AE454" s="27" t="str">
        <f>"－"</f>
        <v>－</v>
      </c>
    </row>
    <row r="455">
      <c r="A455" s="20" t="s">
        <v>1112</v>
      </c>
      <c r="B455" s="21" t="s">
        <v>1113</v>
      </c>
      <c r="C455" s="22"/>
      <c r="D455" s="23"/>
      <c r="E455" s="24" t="s">
        <v>374</v>
      </c>
      <c r="F455" s="28" t="n">
        <f>121</f>
        <v>121.0</v>
      </c>
      <c r="G455" s="25" t="str">
        <f>"－"</f>
        <v>－</v>
      </c>
      <c r="H455" s="25"/>
      <c r="I455" s="25" t="str">
        <f>"－"</f>
        <v>－</v>
      </c>
      <c r="J455" s="25" t="str">
        <f>"－"</f>
        <v>－</v>
      </c>
      <c r="K455" s="25" t="str">
        <f>"－"</f>
        <v>－</v>
      </c>
      <c r="L455" s="2" t="s">
        <v>328</v>
      </c>
      <c r="M455" s="26" t="str">
        <f>"－"</f>
        <v>－</v>
      </c>
      <c r="N455" s="3" t="s">
        <v>328</v>
      </c>
      <c r="O455" s="27" t="str">
        <f>"－"</f>
        <v>－</v>
      </c>
      <c r="P455" s="29" t="s">
        <v>262</v>
      </c>
      <c r="Q455" s="25"/>
      <c r="R455" s="29" t="s">
        <v>262</v>
      </c>
      <c r="S455" s="25" t="str">
        <f>"－"</f>
        <v>－</v>
      </c>
      <c r="T455" s="25" t="str">
        <f>"－"</f>
        <v>－</v>
      </c>
      <c r="U455" s="3" t="s">
        <v>328</v>
      </c>
      <c r="V455" s="27" t="str">
        <f>"－"</f>
        <v>－</v>
      </c>
      <c r="W455" s="3" t="s">
        <v>328</v>
      </c>
      <c r="X455" s="27" t="str">
        <f>"－"</f>
        <v>－</v>
      </c>
      <c r="Y455" s="27"/>
      <c r="Z455" s="25" t="str">
        <f>"－"</f>
        <v>－</v>
      </c>
      <c r="AA455" s="25" t="str">
        <f>"－"</f>
        <v>－</v>
      </c>
      <c r="AB455" s="2" t="s">
        <v>328</v>
      </c>
      <c r="AC455" s="26" t="str">
        <f>"－"</f>
        <v>－</v>
      </c>
      <c r="AD455" s="3" t="s">
        <v>328</v>
      </c>
      <c r="AE455" s="27" t="str">
        <f>"－"</f>
        <v>－</v>
      </c>
    </row>
    <row r="456">
      <c r="A456" s="20" t="s">
        <v>1112</v>
      </c>
      <c r="B456" s="21" t="s">
        <v>1113</v>
      </c>
      <c r="C456" s="22"/>
      <c r="D456" s="23"/>
      <c r="E456" s="24" t="s">
        <v>379</v>
      </c>
      <c r="F456" s="28" t="n">
        <f>124</f>
        <v>124.0</v>
      </c>
      <c r="G456" s="25" t="str">
        <f>"－"</f>
        <v>－</v>
      </c>
      <c r="H456" s="25"/>
      <c r="I456" s="25" t="str">
        <f>"－"</f>
        <v>－</v>
      </c>
      <c r="J456" s="25" t="str">
        <f>"－"</f>
        <v>－</v>
      </c>
      <c r="K456" s="25" t="str">
        <f>"－"</f>
        <v>－</v>
      </c>
      <c r="L456" s="2" t="s">
        <v>68</v>
      </c>
      <c r="M456" s="26" t="str">
        <f>"－"</f>
        <v>－</v>
      </c>
      <c r="N456" s="3" t="s">
        <v>68</v>
      </c>
      <c r="O456" s="27" t="str">
        <f>"－"</f>
        <v>－</v>
      </c>
      <c r="P456" s="29" t="s">
        <v>262</v>
      </c>
      <c r="Q456" s="25"/>
      <c r="R456" s="29" t="s">
        <v>262</v>
      </c>
      <c r="S456" s="25" t="str">
        <f>"－"</f>
        <v>－</v>
      </c>
      <c r="T456" s="25" t="str">
        <f>"－"</f>
        <v>－</v>
      </c>
      <c r="U456" s="3" t="s">
        <v>68</v>
      </c>
      <c r="V456" s="27" t="str">
        <f>"－"</f>
        <v>－</v>
      </c>
      <c r="W456" s="3" t="s">
        <v>68</v>
      </c>
      <c r="X456" s="27" t="str">
        <f>"－"</f>
        <v>－</v>
      </c>
      <c r="Y456" s="27"/>
      <c r="Z456" s="25" t="str">
        <f>"－"</f>
        <v>－</v>
      </c>
      <c r="AA456" s="25" t="str">
        <f>"－"</f>
        <v>－</v>
      </c>
      <c r="AB456" s="2" t="s">
        <v>68</v>
      </c>
      <c r="AC456" s="26" t="str">
        <f>"－"</f>
        <v>－</v>
      </c>
      <c r="AD456" s="3" t="s">
        <v>68</v>
      </c>
      <c r="AE456" s="27" t="str">
        <f>"－"</f>
        <v>－</v>
      </c>
    </row>
    <row r="457">
      <c r="A457" s="20" t="s">
        <v>1112</v>
      </c>
      <c r="B457" s="21" t="s">
        <v>1113</v>
      </c>
      <c r="C457" s="22"/>
      <c r="D457" s="23"/>
      <c r="E457" s="24" t="s">
        <v>382</v>
      </c>
      <c r="F457" s="28" t="n">
        <f>122</f>
        <v>122.0</v>
      </c>
      <c r="G457" s="25" t="str">
        <f>"－"</f>
        <v>－</v>
      </c>
      <c r="H457" s="25"/>
      <c r="I457" s="25" t="str">
        <f>"－"</f>
        <v>－</v>
      </c>
      <c r="J457" s="25" t="str">
        <f>"－"</f>
        <v>－</v>
      </c>
      <c r="K457" s="25" t="str">
        <f>"－"</f>
        <v>－</v>
      </c>
      <c r="L457" s="2" t="s">
        <v>147</v>
      </c>
      <c r="M457" s="26" t="str">
        <f>"－"</f>
        <v>－</v>
      </c>
      <c r="N457" s="3" t="s">
        <v>147</v>
      </c>
      <c r="O457" s="27" t="str">
        <f>"－"</f>
        <v>－</v>
      </c>
      <c r="P457" s="29" t="s">
        <v>262</v>
      </c>
      <c r="Q457" s="25"/>
      <c r="R457" s="29" t="s">
        <v>262</v>
      </c>
      <c r="S457" s="25" t="str">
        <f>"－"</f>
        <v>－</v>
      </c>
      <c r="T457" s="25" t="str">
        <f>"－"</f>
        <v>－</v>
      </c>
      <c r="U457" s="3" t="s">
        <v>147</v>
      </c>
      <c r="V457" s="27" t="str">
        <f>"－"</f>
        <v>－</v>
      </c>
      <c r="W457" s="3" t="s">
        <v>147</v>
      </c>
      <c r="X457" s="27" t="str">
        <f>"－"</f>
        <v>－</v>
      </c>
      <c r="Y457" s="27"/>
      <c r="Z457" s="25" t="str">
        <f>"－"</f>
        <v>－</v>
      </c>
      <c r="AA457" s="25" t="str">
        <f>"－"</f>
        <v>－</v>
      </c>
      <c r="AB457" s="2" t="s">
        <v>147</v>
      </c>
      <c r="AC457" s="26" t="str">
        <f>"－"</f>
        <v>－</v>
      </c>
      <c r="AD457" s="3" t="s">
        <v>147</v>
      </c>
      <c r="AE457" s="27" t="str">
        <f>"－"</f>
        <v>－</v>
      </c>
    </row>
    <row r="458">
      <c r="A458" s="20" t="s">
        <v>1112</v>
      </c>
      <c r="B458" s="21" t="s">
        <v>1113</v>
      </c>
      <c r="C458" s="22"/>
      <c r="D458" s="23"/>
      <c r="E458" s="24" t="s">
        <v>385</v>
      </c>
      <c r="F458" s="28" t="n">
        <f>124</f>
        <v>124.0</v>
      </c>
      <c r="G458" s="25" t="str">
        <f>"－"</f>
        <v>－</v>
      </c>
      <c r="H458" s="25"/>
      <c r="I458" s="25" t="str">
        <f>"－"</f>
        <v>－</v>
      </c>
      <c r="J458" s="25" t="str">
        <f>"－"</f>
        <v>－</v>
      </c>
      <c r="K458" s="25" t="str">
        <f>"－"</f>
        <v>－</v>
      </c>
      <c r="L458" s="2" t="s">
        <v>68</v>
      </c>
      <c r="M458" s="26" t="str">
        <f>"－"</f>
        <v>－</v>
      </c>
      <c r="N458" s="3" t="s">
        <v>68</v>
      </c>
      <c r="O458" s="27" t="str">
        <f>"－"</f>
        <v>－</v>
      </c>
      <c r="P458" s="29" t="s">
        <v>262</v>
      </c>
      <c r="Q458" s="25"/>
      <c r="R458" s="29" t="s">
        <v>262</v>
      </c>
      <c r="S458" s="25" t="str">
        <f>"－"</f>
        <v>－</v>
      </c>
      <c r="T458" s="25" t="str">
        <f>"－"</f>
        <v>－</v>
      </c>
      <c r="U458" s="3" t="s">
        <v>68</v>
      </c>
      <c r="V458" s="27" t="str">
        <f>"－"</f>
        <v>－</v>
      </c>
      <c r="W458" s="3" t="s">
        <v>68</v>
      </c>
      <c r="X458" s="27" t="str">
        <f>"－"</f>
        <v>－</v>
      </c>
      <c r="Y458" s="27"/>
      <c r="Z458" s="25" t="str">
        <f>"－"</f>
        <v>－</v>
      </c>
      <c r="AA458" s="25" t="str">
        <f>"－"</f>
        <v>－</v>
      </c>
      <c r="AB458" s="2" t="s">
        <v>68</v>
      </c>
      <c r="AC458" s="26" t="str">
        <f>"－"</f>
        <v>－</v>
      </c>
      <c r="AD458" s="3" t="s">
        <v>68</v>
      </c>
      <c r="AE458" s="27" t="str">
        <f>"－"</f>
        <v>－</v>
      </c>
    </row>
    <row r="459">
      <c r="A459" s="20" t="s">
        <v>1112</v>
      </c>
      <c r="B459" s="21" t="s">
        <v>1113</v>
      </c>
      <c r="C459" s="22"/>
      <c r="D459" s="23"/>
      <c r="E459" s="24" t="s">
        <v>389</v>
      </c>
      <c r="F459" s="28" t="n">
        <f>121</f>
        <v>121.0</v>
      </c>
      <c r="G459" s="25" t="str">
        <f>"－"</f>
        <v>－</v>
      </c>
      <c r="H459" s="25"/>
      <c r="I459" s="25" t="str">
        <f>"－"</f>
        <v>－</v>
      </c>
      <c r="J459" s="25" t="str">
        <f>"－"</f>
        <v>－</v>
      </c>
      <c r="K459" s="25" t="str">
        <f>"－"</f>
        <v>－</v>
      </c>
      <c r="L459" s="2" t="s">
        <v>156</v>
      </c>
      <c r="M459" s="26" t="str">
        <f>"－"</f>
        <v>－</v>
      </c>
      <c r="N459" s="3" t="s">
        <v>156</v>
      </c>
      <c r="O459" s="27" t="str">
        <f>"－"</f>
        <v>－</v>
      </c>
      <c r="P459" s="29" t="s">
        <v>262</v>
      </c>
      <c r="Q459" s="25"/>
      <c r="R459" s="29" t="s">
        <v>262</v>
      </c>
      <c r="S459" s="25" t="str">
        <f>"－"</f>
        <v>－</v>
      </c>
      <c r="T459" s="25" t="str">
        <f>"－"</f>
        <v>－</v>
      </c>
      <c r="U459" s="3" t="s">
        <v>156</v>
      </c>
      <c r="V459" s="27" t="str">
        <f>"－"</f>
        <v>－</v>
      </c>
      <c r="W459" s="3" t="s">
        <v>156</v>
      </c>
      <c r="X459" s="27" t="str">
        <f>"－"</f>
        <v>－</v>
      </c>
      <c r="Y459" s="27"/>
      <c r="Z459" s="25" t="str">
        <f>"－"</f>
        <v>－</v>
      </c>
      <c r="AA459" s="25" t="str">
        <f>"－"</f>
        <v>－</v>
      </c>
      <c r="AB459" s="2" t="s">
        <v>156</v>
      </c>
      <c r="AC459" s="26" t="str">
        <f>"－"</f>
        <v>－</v>
      </c>
      <c r="AD459" s="3" t="s">
        <v>156</v>
      </c>
      <c r="AE459" s="27" t="str">
        <f>"－"</f>
        <v>－</v>
      </c>
    </row>
    <row r="460">
      <c r="A460" s="20" t="s">
        <v>1112</v>
      </c>
      <c r="B460" s="21" t="s">
        <v>1113</v>
      </c>
      <c r="C460" s="22"/>
      <c r="D460" s="23"/>
      <c r="E460" s="24" t="s">
        <v>392</v>
      </c>
      <c r="F460" s="28" t="n">
        <f>124</f>
        <v>124.0</v>
      </c>
      <c r="G460" s="25" t="str">
        <f>"－"</f>
        <v>－</v>
      </c>
      <c r="H460" s="25"/>
      <c r="I460" s="25" t="str">
        <f>"－"</f>
        <v>－</v>
      </c>
      <c r="J460" s="25" t="str">
        <f>"－"</f>
        <v>－</v>
      </c>
      <c r="K460" s="25" t="str">
        <f>"－"</f>
        <v>－</v>
      </c>
      <c r="L460" s="2" t="s">
        <v>68</v>
      </c>
      <c r="M460" s="26" t="str">
        <f>"－"</f>
        <v>－</v>
      </c>
      <c r="N460" s="3" t="s">
        <v>68</v>
      </c>
      <c r="O460" s="27" t="str">
        <f>"－"</f>
        <v>－</v>
      </c>
      <c r="P460" s="29" t="s">
        <v>262</v>
      </c>
      <c r="Q460" s="25"/>
      <c r="R460" s="29" t="s">
        <v>262</v>
      </c>
      <c r="S460" s="25" t="str">
        <f>"－"</f>
        <v>－</v>
      </c>
      <c r="T460" s="25" t="str">
        <f>"－"</f>
        <v>－</v>
      </c>
      <c r="U460" s="3" t="s">
        <v>68</v>
      </c>
      <c r="V460" s="27" t="str">
        <f>"－"</f>
        <v>－</v>
      </c>
      <c r="W460" s="3" t="s">
        <v>68</v>
      </c>
      <c r="X460" s="27" t="str">
        <f>"－"</f>
        <v>－</v>
      </c>
      <c r="Y460" s="27"/>
      <c r="Z460" s="25" t="str">
        <f>"－"</f>
        <v>－</v>
      </c>
      <c r="AA460" s="25" t="str">
        <f>"－"</f>
        <v>－</v>
      </c>
      <c r="AB460" s="2" t="s">
        <v>68</v>
      </c>
      <c r="AC460" s="26" t="str">
        <f>"－"</f>
        <v>－</v>
      </c>
      <c r="AD460" s="3" t="s">
        <v>68</v>
      </c>
      <c r="AE460" s="27" t="str">
        <f>"－"</f>
        <v>－</v>
      </c>
    </row>
    <row r="461">
      <c r="A461" s="20" t="s">
        <v>1112</v>
      </c>
      <c r="B461" s="21" t="s">
        <v>1113</v>
      </c>
      <c r="C461" s="22"/>
      <c r="D461" s="23"/>
      <c r="E461" s="24" t="s">
        <v>396</v>
      </c>
      <c r="F461" s="28" t="n">
        <f>123</f>
        <v>123.0</v>
      </c>
      <c r="G461" s="25" t="str">
        <f>"－"</f>
        <v>－</v>
      </c>
      <c r="H461" s="25"/>
      <c r="I461" s="25" t="str">
        <f>"－"</f>
        <v>－</v>
      </c>
      <c r="J461" s="25" t="str">
        <f>"－"</f>
        <v>－</v>
      </c>
      <c r="K461" s="25" t="str">
        <f>"－"</f>
        <v>－</v>
      </c>
      <c r="L461" s="2" t="s">
        <v>156</v>
      </c>
      <c r="M461" s="26" t="str">
        <f>"－"</f>
        <v>－</v>
      </c>
      <c r="N461" s="3" t="s">
        <v>156</v>
      </c>
      <c r="O461" s="27" t="str">
        <f>"－"</f>
        <v>－</v>
      </c>
      <c r="P461" s="29" t="s">
        <v>262</v>
      </c>
      <c r="Q461" s="25"/>
      <c r="R461" s="29" t="s">
        <v>262</v>
      </c>
      <c r="S461" s="25" t="str">
        <f>"－"</f>
        <v>－</v>
      </c>
      <c r="T461" s="25" t="str">
        <f>"－"</f>
        <v>－</v>
      </c>
      <c r="U461" s="3" t="s">
        <v>156</v>
      </c>
      <c r="V461" s="27" t="str">
        <f>"－"</f>
        <v>－</v>
      </c>
      <c r="W461" s="3" t="s">
        <v>156</v>
      </c>
      <c r="X461" s="27" t="str">
        <f>"－"</f>
        <v>－</v>
      </c>
      <c r="Y461" s="27"/>
      <c r="Z461" s="25" t="str">
        <f>"－"</f>
        <v>－</v>
      </c>
      <c r="AA461" s="25" t="str">
        <f>"－"</f>
        <v>－</v>
      </c>
      <c r="AB461" s="2" t="s">
        <v>156</v>
      </c>
      <c r="AC461" s="26" t="str">
        <f>"－"</f>
        <v>－</v>
      </c>
      <c r="AD461" s="3" t="s">
        <v>156</v>
      </c>
      <c r="AE461" s="27" t="str">
        <f>"－"</f>
        <v>－</v>
      </c>
    </row>
    <row r="462">
      <c r="A462" s="20" t="s">
        <v>1112</v>
      </c>
      <c r="B462" s="21" t="s">
        <v>1113</v>
      </c>
      <c r="C462" s="22"/>
      <c r="D462" s="23"/>
      <c r="E462" s="24" t="s">
        <v>401</v>
      </c>
      <c r="F462" s="28" t="n">
        <f>125</f>
        <v>125.0</v>
      </c>
      <c r="G462" s="25" t="str">
        <f>"－"</f>
        <v>－</v>
      </c>
      <c r="H462" s="25"/>
      <c r="I462" s="25" t="str">
        <f>"－"</f>
        <v>－</v>
      </c>
      <c r="J462" s="25" t="str">
        <f>"－"</f>
        <v>－</v>
      </c>
      <c r="K462" s="25" t="str">
        <f>"－"</f>
        <v>－</v>
      </c>
      <c r="L462" s="2" t="s">
        <v>633</v>
      </c>
      <c r="M462" s="26" t="str">
        <f>"－"</f>
        <v>－</v>
      </c>
      <c r="N462" s="3" t="s">
        <v>633</v>
      </c>
      <c r="O462" s="27" t="str">
        <f>"－"</f>
        <v>－</v>
      </c>
      <c r="P462" s="29" t="s">
        <v>262</v>
      </c>
      <c r="Q462" s="25"/>
      <c r="R462" s="29" t="s">
        <v>262</v>
      </c>
      <c r="S462" s="25" t="str">
        <f>"－"</f>
        <v>－</v>
      </c>
      <c r="T462" s="25" t="str">
        <f>"－"</f>
        <v>－</v>
      </c>
      <c r="U462" s="3" t="s">
        <v>633</v>
      </c>
      <c r="V462" s="27" t="str">
        <f>"－"</f>
        <v>－</v>
      </c>
      <c r="W462" s="3" t="s">
        <v>633</v>
      </c>
      <c r="X462" s="27" t="str">
        <f>"－"</f>
        <v>－</v>
      </c>
      <c r="Y462" s="27"/>
      <c r="Z462" s="25" t="str">
        <f>"－"</f>
        <v>－</v>
      </c>
      <c r="AA462" s="25" t="str">
        <f>"－"</f>
        <v>－</v>
      </c>
      <c r="AB462" s="2" t="s">
        <v>633</v>
      </c>
      <c r="AC462" s="26" t="str">
        <f>"－"</f>
        <v>－</v>
      </c>
      <c r="AD462" s="3" t="s">
        <v>633</v>
      </c>
      <c r="AE462" s="27" t="str">
        <f>"－"</f>
        <v>－</v>
      </c>
    </row>
    <row r="463">
      <c r="A463" s="20" t="s">
        <v>1112</v>
      </c>
      <c r="B463" s="21" t="s">
        <v>1113</v>
      </c>
      <c r="C463" s="22"/>
      <c r="D463" s="23"/>
      <c r="E463" s="24" t="s">
        <v>404</v>
      </c>
      <c r="F463" s="28" t="n">
        <f>121</f>
        <v>121.0</v>
      </c>
      <c r="G463" s="25" t="str">
        <f>"－"</f>
        <v>－</v>
      </c>
      <c r="H463" s="25"/>
      <c r="I463" s="25" t="str">
        <f>"－"</f>
        <v>－</v>
      </c>
      <c r="J463" s="25" t="str">
        <f>"－"</f>
        <v>－</v>
      </c>
      <c r="K463" s="25" t="str">
        <f>"－"</f>
        <v>－</v>
      </c>
      <c r="L463" s="2" t="s">
        <v>156</v>
      </c>
      <c r="M463" s="26" t="str">
        <f>"－"</f>
        <v>－</v>
      </c>
      <c r="N463" s="3" t="s">
        <v>156</v>
      </c>
      <c r="O463" s="27" t="str">
        <f>"－"</f>
        <v>－</v>
      </c>
      <c r="P463" s="29" t="s">
        <v>262</v>
      </c>
      <c r="Q463" s="25"/>
      <c r="R463" s="29" t="s">
        <v>262</v>
      </c>
      <c r="S463" s="25" t="str">
        <f>"－"</f>
        <v>－</v>
      </c>
      <c r="T463" s="25" t="str">
        <f>"－"</f>
        <v>－</v>
      </c>
      <c r="U463" s="3" t="s">
        <v>156</v>
      </c>
      <c r="V463" s="27" t="str">
        <f>"－"</f>
        <v>－</v>
      </c>
      <c r="W463" s="3" t="s">
        <v>156</v>
      </c>
      <c r="X463" s="27" t="str">
        <f>"－"</f>
        <v>－</v>
      </c>
      <c r="Y463" s="27"/>
      <c r="Z463" s="25" t="str">
        <f>"－"</f>
        <v>－</v>
      </c>
      <c r="AA463" s="25" t="str">
        <f>"－"</f>
        <v>－</v>
      </c>
      <c r="AB463" s="2" t="s">
        <v>156</v>
      </c>
      <c r="AC463" s="26" t="str">
        <f>"－"</f>
        <v>－</v>
      </c>
      <c r="AD463" s="3" t="s">
        <v>156</v>
      </c>
      <c r="AE463" s="27" t="str">
        <f>"－"</f>
        <v>－</v>
      </c>
    </row>
    <row r="464">
      <c r="A464" s="20" t="s">
        <v>1112</v>
      </c>
      <c r="B464" s="21" t="s">
        <v>1113</v>
      </c>
      <c r="C464" s="22"/>
      <c r="D464" s="23"/>
      <c r="E464" s="24" t="s">
        <v>407</v>
      </c>
      <c r="F464" s="28" t="n">
        <f>124</f>
        <v>124.0</v>
      </c>
      <c r="G464" s="25" t="str">
        <f>"－"</f>
        <v>－</v>
      </c>
      <c r="H464" s="25"/>
      <c r="I464" s="25" t="str">
        <f>"－"</f>
        <v>－</v>
      </c>
      <c r="J464" s="25" t="str">
        <f>"－"</f>
        <v>－</v>
      </c>
      <c r="K464" s="25" t="str">
        <f>"－"</f>
        <v>－</v>
      </c>
      <c r="L464" s="2" t="s">
        <v>215</v>
      </c>
      <c r="M464" s="26" t="str">
        <f>"－"</f>
        <v>－</v>
      </c>
      <c r="N464" s="3" t="s">
        <v>215</v>
      </c>
      <c r="O464" s="27" t="str">
        <f>"－"</f>
        <v>－</v>
      </c>
      <c r="P464" s="29" t="s">
        <v>262</v>
      </c>
      <c r="Q464" s="25"/>
      <c r="R464" s="29" t="s">
        <v>262</v>
      </c>
      <c r="S464" s="25" t="str">
        <f>"－"</f>
        <v>－</v>
      </c>
      <c r="T464" s="25" t="str">
        <f>"－"</f>
        <v>－</v>
      </c>
      <c r="U464" s="3" t="s">
        <v>215</v>
      </c>
      <c r="V464" s="27" t="str">
        <f>"－"</f>
        <v>－</v>
      </c>
      <c r="W464" s="3" t="s">
        <v>215</v>
      </c>
      <c r="X464" s="27" t="str">
        <f>"－"</f>
        <v>－</v>
      </c>
      <c r="Y464" s="27"/>
      <c r="Z464" s="25" t="str">
        <f>"－"</f>
        <v>－</v>
      </c>
      <c r="AA464" s="25" t="str">
        <f>"－"</f>
        <v>－</v>
      </c>
      <c r="AB464" s="2" t="s">
        <v>215</v>
      </c>
      <c r="AC464" s="26" t="str">
        <f>"－"</f>
        <v>－</v>
      </c>
      <c r="AD464" s="3" t="s">
        <v>215</v>
      </c>
      <c r="AE464" s="27" t="str">
        <f>"－"</f>
        <v>－</v>
      </c>
    </row>
    <row r="465">
      <c r="A465" s="20" t="s">
        <v>1112</v>
      </c>
      <c r="B465" s="21" t="s">
        <v>1113</v>
      </c>
      <c r="C465" s="22"/>
      <c r="D465" s="23"/>
      <c r="E465" s="24" t="s">
        <v>410</v>
      </c>
      <c r="F465" s="28" t="n">
        <f>121</f>
        <v>121.0</v>
      </c>
      <c r="G465" s="25" t="str">
        <f>"－"</f>
        <v>－</v>
      </c>
      <c r="H465" s="25"/>
      <c r="I465" s="25" t="str">
        <f>"－"</f>
        <v>－</v>
      </c>
      <c r="J465" s="25" t="str">
        <f>"－"</f>
        <v>－</v>
      </c>
      <c r="K465" s="25" t="str">
        <f>"－"</f>
        <v>－</v>
      </c>
      <c r="L465" s="2" t="s">
        <v>156</v>
      </c>
      <c r="M465" s="26" t="str">
        <f>"－"</f>
        <v>－</v>
      </c>
      <c r="N465" s="3" t="s">
        <v>156</v>
      </c>
      <c r="O465" s="27" t="str">
        <f>"－"</f>
        <v>－</v>
      </c>
      <c r="P465" s="29" t="s">
        <v>262</v>
      </c>
      <c r="Q465" s="25"/>
      <c r="R465" s="29" t="s">
        <v>262</v>
      </c>
      <c r="S465" s="25" t="str">
        <f>"－"</f>
        <v>－</v>
      </c>
      <c r="T465" s="25" t="str">
        <f>"－"</f>
        <v>－</v>
      </c>
      <c r="U465" s="3" t="s">
        <v>156</v>
      </c>
      <c r="V465" s="27" t="str">
        <f>"－"</f>
        <v>－</v>
      </c>
      <c r="W465" s="3" t="s">
        <v>156</v>
      </c>
      <c r="X465" s="27" t="str">
        <f>"－"</f>
        <v>－</v>
      </c>
      <c r="Y465" s="27"/>
      <c r="Z465" s="25" t="str">
        <f>"－"</f>
        <v>－</v>
      </c>
      <c r="AA465" s="25" t="str">
        <f>"－"</f>
        <v>－</v>
      </c>
      <c r="AB465" s="2" t="s">
        <v>156</v>
      </c>
      <c r="AC465" s="26" t="str">
        <f>"－"</f>
        <v>－</v>
      </c>
      <c r="AD465" s="3" t="s">
        <v>156</v>
      </c>
      <c r="AE465" s="27" t="str">
        <f>"－"</f>
        <v>－</v>
      </c>
    </row>
    <row r="466">
      <c r="A466" s="20" t="s">
        <v>1112</v>
      </c>
      <c r="B466" s="21" t="s">
        <v>1113</v>
      </c>
      <c r="C466" s="22"/>
      <c r="D466" s="23"/>
      <c r="E466" s="24" t="s">
        <v>415</v>
      </c>
      <c r="F466" s="28" t="n">
        <f>124</f>
        <v>124.0</v>
      </c>
      <c r="G466" s="25" t="str">
        <f>"－"</f>
        <v>－</v>
      </c>
      <c r="H466" s="25"/>
      <c r="I466" s="25" t="str">
        <f>"－"</f>
        <v>－</v>
      </c>
      <c r="J466" s="25" t="str">
        <f>"－"</f>
        <v>－</v>
      </c>
      <c r="K466" s="25" t="str">
        <f>"－"</f>
        <v>－</v>
      </c>
      <c r="L466" s="2" t="s">
        <v>68</v>
      </c>
      <c r="M466" s="26" t="str">
        <f>"－"</f>
        <v>－</v>
      </c>
      <c r="N466" s="3" t="s">
        <v>68</v>
      </c>
      <c r="O466" s="27" t="str">
        <f>"－"</f>
        <v>－</v>
      </c>
      <c r="P466" s="29" t="s">
        <v>262</v>
      </c>
      <c r="Q466" s="25"/>
      <c r="R466" s="29" t="s">
        <v>262</v>
      </c>
      <c r="S466" s="25" t="str">
        <f>"－"</f>
        <v>－</v>
      </c>
      <c r="T466" s="25" t="str">
        <f>"－"</f>
        <v>－</v>
      </c>
      <c r="U466" s="3" t="s">
        <v>68</v>
      </c>
      <c r="V466" s="27" t="str">
        <f>"－"</f>
        <v>－</v>
      </c>
      <c r="W466" s="3" t="s">
        <v>68</v>
      </c>
      <c r="X466" s="27" t="str">
        <f>"－"</f>
        <v>－</v>
      </c>
      <c r="Y466" s="27"/>
      <c r="Z466" s="25" t="str">
        <f>"－"</f>
        <v>－</v>
      </c>
      <c r="AA466" s="25" t="str">
        <f>"－"</f>
        <v>－</v>
      </c>
      <c r="AB466" s="2" t="s">
        <v>68</v>
      </c>
      <c r="AC466" s="26" t="str">
        <f>"－"</f>
        <v>－</v>
      </c>
      <c r="AD466" s="3" t="s">
        <v>68</v>
      </c>
      <c r="AE466" s="27" t="str">
        <f>"－"</f>
        <v>－</v>
      </c>
    </row>
    <row r="467">
      <c r="A467" s="20" t="s">
        <v>1112</v>
      </c>
      <c r="B467" s="21" t="s">
        <v>1113</v>
      </c>
      <c r="C467" s="22"/>
      <c r="D467" s="23"/>
      <c r="E467" s="24" t="s">
        <v>418</v>
      </c>
      <c r="F467" s="28" t="n">
        <f>120</f>
        <v>120.0</v>
      </c>
      <c r="G467" s="25" t="str">
        <f>"－"</f>
        <v>－</v>
      </c>
      <c r="H467" s="25"/>
      <c r="I467" s="25" t="str">
        <f>"－"</f>
        <v>－</v>
      </c>
      <c r="J467" s="25" t="str">
        <f>"－"</f>
        <v>－</v>
      </c>
      <c r="K467" s="25" t="str">
        <f>"－"</f>
        <v>－</v>
      </c>
      <c r="L467" s="2" t="s">
        <v>147</v>
      </c>
      <c r="M467" s="26" t="str">
        <f>"－"</f>
        <v>－</v>
      </c>
      <c r="N467" s="3" t="s">
        <v>147</v>
      </c>
      <c r="O467" s="27" t="str">
        <f>"－"</f>
        <v>－</v>
      </c>
      <c r="P467" s="29" t="s">
        <v>262</v>
      </c>
      <c r="Q467" s="25"/>
      <c r="R467" s="29" t="s">
        <v>262</v>
      </c>
      <c r="S467" s="25" t="str">
        <f>"－"</f>
        <v>－</v>
      </c>
      <c r="T467" s="25" t="str">
        <f>"－"</f>
        <v>－</v>
      </c>
      <c r="U467" s="3" t="s">
        <v>147</v>
      </c>
      <c r="V467" s="27" t="str">
        <f>"－"</f>
        <v>－</v>
      </c>
      <c r="W467" s="3" t="s">
        <v>147</v>
      </c>
      <c r="X467" s="27" t="str">
        <f>"－"</f>
        <v>－</v>
      </c>
      <c r="Y467" s="27"/>
      <c r="Z467" s="25" t="str">
        <f>"－"</f>
        <v>－</v>
      </c>
      <c r="AA467" s="25" t="str">
        <f>"－"</f>
        <v>－</v>
      </c>
      <c r="AB467" s="2" t="s">
        <v>147</v>
      </c>
      <c r="AC467" s="26" t="str">
        <f>"－"</f>
        <v>－</v>
      </c>
      <c r="AD467" s="3" t="s">
        <v>147</v>
      </c>
      <c r="AE467" s="27" t="str">
        <f>"－"</f>
        <v>－</v>
      </c>
    </row>
    <row r="468">
      <c r="A468" s="20" t="s">
        <v>1112</v>
      </c>
      <c r="B468" s="21" t="s">
        <v>1113</v>
      </c>
      <c r="C468" s="22"/>
      <c r="D468" s="23"/>
      <c r="E468" s="24" t="s">
        <v>423</v>
      </c>
      <c r="F468" s="28" t="n">
        <f>123</f>
        <v>123.0</v>
      </c>
      <c r="G468" s="25" t="str">
        <f>"－"</f>
        <v>－</v>
      </c>
      <c r="H468" s="25"/>
      <c r="I468" s="25" t="str">
        <f>"－"</f>
        <v>－</v>
      </c>
      <c r="J468" s="25" t="str">
        <f>"－"</f>
        <v>－</v>
      </c>
      <c r="K468" s="25" t="str">
        <f>"－"</f>
        <v>－</v>
      </c>
      <c r="L468" s="2" t="s">
        <v>68</v>
      </c>
      <c r="M468" s="26" t="str">
        <f>"－"</f>
        <v>－</v>
      </c>
      <c r="N468" s="3" t="s">
        <v>68</v>
      </c>
      <c r="O468" s="27" t="str">
        <f>"－"</f>
        <v>－</v>
      </c>
      <c r="P468" s="29" t="s">
        <v>262</v>
      </c>
      <c r="Q468" s="25"/>
      <c r="R468" s="29" t="s">
        <v>262</v>
      </c>
      <c r="S468" s="25" t="str">
        <f>"－"</f>
        <v>－</v>
      </c>
      <c r="T468" s="25" t="str">
        <f>"－"</f>
        <v>－</v>
      </c>
      <c r="U468" s="3" t="s">
        <v>68</v>
      </c>
      <c r="V468" s="27" t="str">
        <f>"－"</f>
        <v>－</v>
      </c>
      <c r="W468" s="3" t="s">
        <v>68</v>
      </c>
      <c r="X468" s="27" t="str">
        <f>"－"</f>
        <v>－</v>
      </c>
      <c r="Y468" s="27"/>
      <c r="Z468" s="25" t="str">
        <f>"－"</f>
        <v>－</v>
      </c>
      <c r="AA468" s="25" t="str">
        <f>"－"</f>
        <v>－</v>
      </c>
      <c r="AB468" s="2" t="s">
        <v>68</v>
      </c>
      <c r="AC468" s="26" t="str">
        <f>"－"</f>
        <v>－</v>
      </c>
      <c r="AD468" s="3" t="s">
        <v>68</v>
      </c>
      <c r="AE468" s="27" t="str">
        <f>"－"</f>
        <v>－</v>
      </c>
    </row>
    <row r="469">
      <c r="A469" s="20" t="s">
        <v>1112</v>
      </c>
      <c r="B469" s="21" t="s">
        <v>1113</v>
      </c>
      <c r="C469" s="22"/>
      <c r="D469" s="23"/>
      <c r="E469" s="24" t="s">
        <v>426</v>
      </c>
      <c r="F469" s="28" t="n">
        <f>121</f>
        <v>121.0</v>
      </c>
      <c r="G469" s="25" t="str">
        <f>"－"</f>
        <v>－</v>
      </c>
      <c r="H469" s="25"/>
      <c r="I469" s="25" t="str">
        <f>"－"</f>
        <v>－</v>
      </c>
      <c r="J469" s="25" t="str">
        <f>"－"</f>
        <v>－</v>
      </c>
      <c r="K469" s="25" t="str">
        <f>"－"</f>
        <v>－</v>
      </c>
      <c r="L469" s="2" t="s">
        <v>156</v>
      </c>
      <c r="M469" s="26" t="str">
        <f>"－"</f>
        <v>－</v>
      </c>
      <c r="N469" s="3" t="s">
        <v>156</v>
      </c>
      <c r="O469" s="27" t="str">
        <f>"－"</f>
        <v>－</v>
      </c>
      <c r="P469" s="29" t="s">
        <v>262</v>
      </c>
      <c r="Q469" s="25"/>
      <c r="R469" s="29" t="s">
        <v>262</v>
      </c>
      <c r="S469" s="25" t="str">
        <f>"－"</f>
        <v>－</v>
      </c>
      <c r="T469" s="25" t="str">
        <f>"－"</f>
        <v>－</v>
      </c>
      <c r="U469" s="3" t="s">
        <v>156</v>
      </c>
      <c r="V469" s="27" t="str">
        <f>"－"</f>
        <v>－</v>
      </c>
      <c r="W469" s="3" t="s">
        <v>156</v>
      </c>
      <c r="X469" s="27" t="str">
        <f>"－"</f>
        <v>－</v>
      </c>
      <c r="Y469" s="27"/>
      <c r="Z469" s="25" t="str">
        <f>"－"</f>
        <v>－</v>
      </c>
      <c r="AA469" s="25" t="str">
        <f>"－"</f>
        <v>－</v>
      </c>
      <c r="AB469" s="2" t="s">
        <v>156</v>
      </c>
      <c r="AC469" s="26" t="str">
        <f>"－"</f>
        <v>－</v>
      </c>
      <c r="AD469" s="3" t="s">
        <v>156</v>
      </c>
      <c r="AE469" s="27" t="str">
        <f>"－"</f>
        <v>－</v>
      </c>
    </row>
    <row r="470">
      <c r="A470" s="20" t="s">
        <v>1112</v>
      </c>
      <c r="B470" s="21" t="s">
        <v>1113</v>
      </c>
      <c r="C470" s="22"/>
      <c r="D470" s="23"/>
      <c r="E470" s="24" t="s">
        <v>430</v>
      </c>
      <c r="F470" s="28" t="n">
        <f>124</f>
        <v>124.0</v>
      </c>
      <c r="G470" s="25" t="str">
        <f>"－"</f>
        <v>－</v>
      </c>
      <c r="H470" s="25"/>
      <c r="I470" s="25" t="str">
        <f>"－"</f>
        <v>－</v>
      </c>
      <c r="J470" s="25" t="str">
        <f>"－"</f>
        <v>－</v>
      </c>
      <c r="K470" s="25" t="str">
        <f>"－"</f>
        <v>－</v>
      </c>
      <c r="L470" s="2" t="s">
        <v>68</v>
      </c>
      <c r="M470" s="26" t="str">
        <f>"－"</f>
        <v>－</v>
      </c>
      <c r="N470" s="3" t="s">
        <v>68</v>
      </c>
      <c r="O470" s="27" t="str">
        <f>"－"</f>
        <v>－</v>
      </c>
      <c r="P470" s="29" t="s">
        <v>262</v>
      </c>
      <c r="Q470" s="25"/>
      <c r="R470" s="29" t="s">
        <v>262</v>
      </c>
      <c r="S470" s="25" t="str">
        <f>"－"</f>
        <v>－</v>
      </c>
      <c r="T470" s="25" t="str">
        <f>"－"</f>
        <v>－</v>
      </c>
      <c r="U470" s="3" t="s">
        <v>68</v>
      </c>
      <c r="V470" s="27" t="str">
        <f>"－"</f>
        <v>－</v>
      </c>
      <c r="W470" s="3" t="s">
        <v>68</v>
      </c>
      <c r="X470" s="27" t="str">
        <f>"－"</f>
        <v>－</v>
      </c>
      <c r="Y470" s="27"/>
      <c r="Z470" s="25" t="str">
        <f>"－"</f>
        <v>－</v>
      </c>
      <c r="AA470" s="25" t="str">
        <f>"－"</f>
        <v>－</v>
      </c>
      <c r="AB470" s="2" t="s">
        <v>68</v>
      </c>
      <c r="AC470" s="26" t="str">
        <f>"－"</f>
        <v>－</v>
      </c>
      <c r="AD470" s="3" t="s">
        <v>68</v>
      </c>
      <c r="AE470" s="27" t="str">
        <f>"－"</f>
        <v>－</v>
      </c>
    </row>
    <row r="471">
      <c r="A471" s="20" t="s">
        <v>1112</v>
      </c>
      <c r="B471" s="21" t="s">
        <v>1113</v>
      </c>
      <c r="C471" s="22"/>
      <c r="D471" s="23"/>
      <c r="E471" s="24" t="s">
        <v>433</v>
      </c>
      <c r="F471" s="28" t="n">
        <f>121</f>
        <v>121.0</v>
      </c>
      <c r="G471" s="25" t="str">
        <f>"－"</f>
        <v>－</v>
      </c>
      <c r="H471" s="25"/>
      <c r="I471" s="25" t="str">
        <f>"－"</f>
        <v>－</v>
      </c>
      <c r="J471" s="25" t="str">
        <f>"－"</f>
        <v>－</v>
      </c>
      <c r="K471" s="25" t="str">
        <f>"－"</f>
        <v>－</v>
      </c>
      <c r="L471" s="2" t="s">
        <v>156</v>
      </c>
      <c r="M471" s="26" t="str">
        <f>"－"</f>
        <v>－</v>
      </c>
      <c r="N471" s="3" t="s">
        <v>156</v>
      </c>
      <c r="O471" s="27" t="str">
        <f>"－"</f>
        <v>－</v>
      </c>
      <c r="P471" s="29" t="s">
        <v>262</v>
      </c>
      <c r="Q471" s="25"/>
      <c r="R471" s="29" t="s">
        <v>262</v>
      </c>
      <c r="S471" s="25" t="str">
        <f>"－"</f>
        <v>－</v>
      </c>
      <c r="T471" s="25" t="str">
        <f>"－"</f>
        <v>－</v>
      </c>
      <c r="U471" s="3" t="s">
        <v>156</v>
      </c>
      <c r="V471" s="27" t="str">
        <f>"－"</f>
        <v>－</v>
      </c>
      <c r="W471" s="3" t="s">
        <v>156</v>
      </c>
      <c r="X471" s="27" t="str">
        <f>"－"</f>
        <v>－</v>
      </c>
      <c r="Y471" s="27"/>
      <c r="Z471" s="25" t="str">
        <f>"－"</f>
        <v>－</v>
      </c>
      <c r="AA471" s="25" t="str">
        <f>"－"</f>
        <v>－</v>
      </c>
      <c r="AB471" s="2" t="s">
        <v>156</v>
      </c>
      <c r="AC471" s="26" t="str">
        <f>"－"</f>
        <v>－</v>
      </c>
      <c r="AD471" s="3" t="s">
        <v>156</v>
      </c>
      <c r="AE471" s="27" t="str">
        <f>"－"</f>
        <v>－</v>
      </c>
    </row>
    <row r="472">
      <c r="A472" s="20" t="s">
        <v>1112</v>
      </c>
      <c r="B472" s="21" t="s">
        <v>1113</v>
      </c>
      <c r="C472" s="22"/>
      <c r="D472" s="23"/>
      <c r="E472" s="24" t="s">
        <v>437</v>
      </c>
      <c r="F472" s="28" t="n">
        <f>124</f>
        <v>124.0</v>
      </c>
      <c r="G472" s="25" t="str">
        <f>"－"</f>
        <v>－</v>
      </c>
      <c r="H472" s="25"/>
      <c r="I472" s="25" t="str">
        <f>"－"</f>
        <v>－</v>
      </c>
      <c r="J472" s="25" t="str">
        <f>"－"</f>
        <v>－</v>
      </c>
      <c r="K472" s="25" t="str">
        <f>"－"</f>
        <v>－</v>
      </c>
      <c r="L472" s="2" t="s">
        <v>68</v>
      </c>
      <c r="M472" s="26" t="str">
        <f>"－"</f>
        <v>－</v>
      </c>
      <c r="N472" s="3" t="s">
        <v>68</v>
      </c>
      <c r="O472" s="27" t="str">
        <f>"－"</f>
        <v>－</v>
      </c>
      <c r="P472" s="29" t="s">
        <v>262</v>
      </c>
      <c r="Q472" s="25"/>
      <c r="R472" s="29" t="s">
        <v>262</v>
      </c>
      <c r="S472" s="25" t="str">
        <f>"－"</f>
        <v>－</v>
      </c>
      <c r="T472" s="25" t="str">
        <f>"－"</f>
        <v>－</v>
      </c>
      <c r="U472" s="3" t="s">
        <v>68</v>
      </c>
      <c r="V472" s="27" t="str">
        <f>"－"</f>
        <v>－</v>
      </c>
      <c r="W472" s="3" t="s">
        <v>68</v>
      </c>
      <c r="X472" s="27" t="str">
        <f>"－"</f>
        <v>－</v>
      </c>
      <c r="Y472" s="27"/>
      <c r="Z472" s="25" t="str">
        <f>"－"</f>
        <v>－</v>
      </c>
      <c r="AA472" s="25" t="str">
        <f>"－"</f>
        <v>－</v>
      </c>
      <c r="AB472" s="2" t="s">
        <v>68</v>
      </c>
      <c r="AC472" s="26" t="str">
        <f>"－"</f>
        <v>－</v>
      </c>
      <c r="AD472" s="3" t="s">
        <v>68</v>
      </c>
      <c r="AE472" s="27" t="str">
        <f>"－"</f>
        <v>－</v>
      </c>
    </row>
    <row r="473">
      <c r="A473" s="20" t="s">
        <v>1112</v>
      </c>
      <c r="B473" s="21" t="s">
        <v>1113</v>
      </c>
      <c r="C473" s="22"/>
      <c r="D473" s="23"/>
      <c r="E473" s="24" t="s">
        <v>440</v>
      </c>
      <c r="F473" s="28" t="n">
        <f>123</f>
        <v>123.0</v>
      </c>
      <c r="G473" s="25" t="str">
        <f>"－"</f>
        <v>－</v>
      </c>
      <c r="H473" s="25"/>
      <c r="I473" s="25" t="str">
        <f>"－"</f>
        <v>－</v>
      </c>
      <c r="J473" s="25" t="str">
        <f>"－"</f>
        <v>－</v>
      </c>
      <c r="K473" s="25" t="str">
        <f>"－"</f>
        <v>－</v>
      </c>
      <c r="L473" s="2" t="s">
        <v>156</v>
      </c>
      <c r="M473" s="26" t="str">
        <f>"－"</f>
        <v>－</v>
      </c>
      <c r="N473" s="3" t="s">
        <v>156</v>
      </c>
      <c r="O473" s="27" t="str">
        <f>"－"</f>
        <v>－</v>
      </c>
      <c r="P473" s="29" t="s">
        <v>262</v>
      </c>
      <c r="Q473" s="25"/>
      <c r="R473" s="29" t="s">
        <v>262</v>
      </c>
      <c r="S473" s="25" t="str">
        <f>"－"</f>
        <v>－</v>
      </c>
      <c r="T473" s="25" t="str">
        <f>"－"</f>
        <v>－</v>
      </c>
      <c r="U473" s="3" t="s">
        <v>156</v>
      </c>
      <c r="V473" s="27" t="str">
        <f>"－"</f>
        <v>－</v>
      </c>
      <c r="W473" s="3" t="s">
        <v>156</v>
      </c>
      <c r="X473" s="27" t="str">
        <f>"－"</f>
        <v>－</v>
      </c>
      <c r="Y473" s="27"/>
      <c r="Z473" s="25" t="str">
        <f>"－"</f>
        <v>－</v>
      </c>
      <c r="AA473" s="25" t="str">
        <f>"－"</f>
        <v>－</v>
      </c>
      <c r="AB473" s="2" t="s">
        <v>156</v>
      </c>
      <c r="AC473" s="26" t="str">
        <f>"－"</f>
        <v>－</v>
      </c>
      <c r="AD473" s="3" t="s">
        <v>156</v>
      </c>
      <c r="AE473" s="27" t="str">
        <f>"－"</f>
        <v>－</v>
      </c>
    </row>
    <row r="474">
      <c r="A474" s="20" t="s">
        <v>1112</v>
      </c>
      <c r="B474" s="21" t="s">
        <v>1113</v>
      </c>
      <c r="C474" s="22"/>
      <c r="D474" s="23"/>
      <c r="E474" s="24" t="s">
        <v>443</v>
      </c>
      <c r="F474" s="28" t="n">
        <f>125</f>
        <v>125.0</v>
      </c>
      <c r="G474" s="25" t="str">
        <f>"－"</f>
        <v>－</v>
      </c>
      <c r="H474" s="25"/>
      <c r="I474" s="25" t="str">
        <f>"－"</f>
        <v>－</v>
      </c>
      <c r="J474" s="25" t="str">
        <f>"－"</f>
        <v>－</v>
      </c>
      <c r="K474" s="25" t="str">
        <f>"－"</f>
        <v>－</v>
      </c>
      <c r="L474" s="2" t="s">
        <v>215</v>
      </c>
      <c r="M474" s="26" t="str">
        <f>"－"</f>
        <v>－</v>
      </c>
      <c r="N474" s="3" t="s">
        <v>215</v>
      </c>
      <c r="O474" s="27" t="str">
        <f>"－"</f>
        <v>－</v>
      </c>
      <c r="P474" s="29" t="s">
        <v>262</v>
      </c>
      <c r="Q474" s="25"/>
      <c r="R474" s="29" t="s">
        <v>262</v>
      </c>
      <c r="S474" s="25" t="str">
        <f>"－"</f>
        <v>－</v>
      </c>
      <c r="T474" s="25" t="str">
        <f>"－"</f>
        <v>－</v>
      </c>
      <c r="U474" s="3" t="s">
        <v>215</v>
      </c>
      <c r="V474" s="27" t="str">
        <f>"－"</f>
        <v>－</v>
      </c>
      <c r="W474" s="3" t="s">
        <v>215</v>
      </c>
      <c r="X474" s="27" t="str">
        <f>"－"</f>
        <v>－</v>
      </c>
      <c r="Y474" s="27"/>
      <c r="Z474" s="25" t="str">
        <f>"－"</f>
        <v>－</v>
      </c>
      <c r="AA474" s="25" t="str">
        <f>"－"</f>
        <v>－</v>
      </c>
      <c r="AB474" s="2" t="s">
        <v>215</v>
      </c>
      <c r="AC474" s="26" t="str">
        <f>"－"</f>
        <v>－</v>
      </c>
      <c r="AD474" s="3" t="s">
        <v>215</v>
      </c>
      <c r="AE474" s="27" t="str">
        <f>"－"</f>
        <v>－</v>
      </c>
    </row>
    <row r="475">
      <c r="A475" s="20" t="s">
        <v>1112</v>
      </c>
      <c r="B475" s="21" t="s">
        <v>1113</v>
      </c>
      <c r="C475" s="22"/>
      <c r="D475" s="23"/>
      <c r="E475" s="24" t="s">
        <v>447</v>
      </c>
      <c r="F475" s="28" t="n">
        <f>120</f>
        <v>120.0</v>
      </c>
      <c r="G475" s="25" t="str">
        <f>"－"</f>
        <v>－</v>
      </c>
      <c r="H475" s="25"/>
      <c r="I475" s="25" t="str">
        <f>"－"</f>
        <v>－</v>
      </c>
      <c r="J475" s="25" t="str">
        <f>"－"</f>
        <v>－</v>
      </c>
      <c r="K475" s="25" t="str">
        <f>"－"</f>
        <v>－</v>
      </c>
      <c r="L475" s="2" t="s">
        <v>156</v>
      </c>
      <c r="M475" s="26" t="str">
        <f>"－"</f>
        <v>－</v>
      </c>
      <c r="N475" s="3" t="s">
        <v>156</v>
      </c>
      <c r="O475" s="27" t="str">
        <f>"－"</f>
        <v>－</v>
      </c>
      <c r="P475" s="29" t="s">
        <v>262</v>
      </c>
      <c r="Q475" s="25"/>
      <c r="R475" s="29" t="s">
        <v>262</v>
      </c>
      <c r="S475" s="25" t="str">
        <f>"－"</f>
        <v>－</v>
      </c>
      <c r="T475" s="25" t="str">
        <f>"－"</f>
        <v>－</v>
      </c>
      <c r="U475" s="3" t="s">
        <v>156</v>
      </c>
      <c r="V475" s="27" t="str">
        <f>"－"</f>
        <v>－</v>
      </c>
      <c r="W475" s="3" t="s">
        <v>156</v>
      </c>
      <c r="X475" s="27" t="str">
        <f>"－"</f>
        <v>－</v>
      </c>
      <c r="Y475" s="27"/>
      <c r="Z475" s="25" t="str">
        <f>"－"</f>
        <v>－</v>
      </c>
      <c r="AA475" s="25" t="str">
        <f>"－"</f>
        <v>－</v>
      </c>
      <c r="AB475" s="2" t="s">
        <v>156</v>
      </c>
      <c r="AC475" s="26" t="str">
        <f>"－"</f>
        <v>－</v>
      </c>
      <c r="AD475" s="3" t="s">
        <v>156</v>
      </c>
      <c r="AE475" s="27" t="str">
        <f>"－"</f>
        <v>－</v>
      </c>
    </row>
    <row r="476">
      <c r="A476" s="20" t="s">
        <v>1112</v>
      </c>
      <c r="B476" s="21" t="s">
        <v>1113</v>
      </c>
      <c r="C476" s="22"/>
      <c r="D476" s="23"/>
      <c r="E476" s="24" t="s">
        <v>451</v>
      </c>
      <c r="F476" s="28" t="n">
        <f>125</f>
        <v>125.0</v>
      </c>
      <c r="G476" s="25" t="str">
        <f>"－"</f>
        <v>－</v>
      </c>
      <c r="H476" s="25"/>
      <c r="I476" s="25" t="str">
        <f>"－"</f>
        <v>－</v>
      </c>
      <c r="J476" s="25" t="str">
        <f>"－"</f>
        <v>－</v>
      </c>
      <c r="K476" s="25" t="str">
        <f>"－"</f>
        <v>－</v>
      </c>
      <c r="L476" s="2" t="s">
        <v>68</v>
      </c>
      <c r="M476" s="26" t="str">
        <f>"－"</f>
        <v>－</v>
      </c>
      <c r="N476" s="3" t="s">
        <v>68</v>
      </c>
      <c r="O476" s="27" t="str">
        <f>"－"</f>
        <v>－</v>
      </c>
      <c r="P476" s="29" t="s">
        <v>262</v>
      </c>
      <c r="Q476" s="25"/>
      <c r="R476" s="29" t="s">
        <v>262</v>
      </c>
      <c r="S476" s="25" t="str">
        <f>"－"</f>
        <v>－</v>
      </c>
      <c r="T476" s="25" t="str">
        <f>"－"</f>
        <v>－</v>
      </c>
      <c r="U476" s="3" t="s">
        <v>68</v>
      </c>
      <c r="V476" s="27" t="str">
        <f>"－"</f>
        <v>－</v>
      </c>
      <c r="W476" s="3" t="s">
        <v>68</v>
      </c>
      <c r="X476" s="27" t="str">
        <f>"－"</f>
        <v>－</v>
      </c>
      <c r="Y476" s="27"/>
      <c r="Z476" s="25" t="str">
        <f>"－"</f>
        <v>－</v>
      </c>
      <c r="AA476" s="25" t="str">
        <f>"－"</f>
        <v>－</v>
      </c>
      <c r="AB476" s="2" t="s">
        <v>68</v>
      </c>
      <c r="AC476" s="26" t="str">
        <f>"－"</f>
        <v>－</v>
      </c>
      <c r="AD476" s="3" t="s">
        <v>68</v>
      </c>
      <c r="AE476" s="27" t="str">
        <f>"－"</f>
        <v>－</v>
      </c>
    </row>
    <row r="477">
      <c r="A477" s="20" t="s">
        <v>1112</v>
      </c>
      <c r="B477" s="21" t="s">
        <v>1113</v>
      </c>
      <c r="C477" s="22"/>
      <c r="D477" s="23"/>
      <c r="E477" s="24" t="s">
        <v>454</v>
      </c>
      <c r="F477" s="28" t="n">
        <f>120</f>
        <v>120.0</v>
      </c>
      <c r="G477" s="25" t="str">
        <f>"－"</f>
        <v>－</v>
      </c>
      <c r="H477" s="25"/>
      <c r="I477" s="25" t="str">
        <f>"－"</f>
        <v>－</v>
      </c>
      <c r="J477" s="25" t="str">
        <f>"－"</f>
        <v>－</v>
      </c>
      <c r="K477" s="25" t="str">
        <f>"－"</f>
        <v>－</v>
      </c>
      <c r="L477" s="2" t="s">
        <v>328</v>
      </c>
      <c r="M477" s="26" t="str">
        <f>"－"</f>
        <v>－</v>
      </c>
      <c r="N477" s="3" t="s">
        <v>328</v>
      </c>
      <c r="O477" s="27" t="str">
        <f>"－"</f>
        <v>－</v>
      </c>
      <c r="P477" s="29" t="s">
        <v>262</v>
      </c>
      <c r="Q477" s="25"/>
      <c r="R477" s="29" t="s">
        <v>262</v>
      </c>
      <c r="S477" s="25" t="str">
        <f>"－"</f>
        <v>－</v>
      </c>
      <c r="T477" s="25" t="str">
        <f>"－"</f>
        <v>－</v>
      </c>
      <c r="U477" s="3" t="s">
        <v>328</v>
      </c>
      <c r="V477" s="27" t="str">
        <f>"－"</f>
        <v>－</v>
      </c>
      <c r="W477" s="3" t="s">
        <v>328</v>
      </c>
      <c r="X477" s="27" t="str">
        <f>"－"</f>
        <v>－</v>
      </c>
      <c r="Y477" s="27"/>
      <c r="Z477" s="25" t="str">
        <f>"－"</f>
        <v>－</v>
      </c>
      <c r="AA477" s="25" t="str">
        <f>"－"</f>
        <v>－</v>
      </c>
      <c r="AB477" s="2" t="s">
        <v>328</v>
      </c>
      <c r="AC477" s="26" t="str">
        <f>"－"</f>
        <v>－</v>
      </c>
      <c r="AD477" s="3" t="s">
        <v>328</v>
      </c>
      <c r="AE477" s="27" t="str">
        <f>"－"</f>
        <v>－</v>
      </c>
    </row>
    <row r="478">
      <c r="A478" s="20" t="s">
        <v>1112</v>
      </c>
      <c r="B478" s="21" t="s">
        <v>1113</v>
      </c>
      <c r="C478" s="22"/>
      <c r="D478" s="23"/>
      <c r="E478" s="24" t="s">
        <v>48</v>
      </c>
      <c r="F478" s="28" t="n">
        <f>124</f>
        <v>124.0</v>
      </c>
      <c r="G478" s="25" t="str">
        <f>"－"</f>
        <v>－</v>
      </c>
      <c r="H478" s="25"/>
      <c r="I478" s="25" t="str">
        <f>"－"</f>
        <v>－</v>
      </c>
      <c r="J478" s="25" t="str">
        <f>"－"</f>
        <v>－</v>
      </c>
      <c r="K478" s="25" t="str">
        <f>"－"</f>
        <v>－</v>
      </c>
      <c r="L478" s="2" t="s">
        <v>68</v>
      </c>
      <c r="M478" s="26" t="str">
        <f>"－"</f>
        <v>－</v>
      </c>
      <c r="N478" s="3" t="s">
        <v>68</v>
      </c>
      <c r="O478" s="27" t="str">
        <f>"－"</f>
        <v>－</v>
      </c>
      <c r="P478" s="29" t="s">
        <v>262</v>
      </c>
      <c r="Q478" s="25"/>
      <c r="R478" s="29" t="s">
        <v>262</v>
      </c>
      <c r="S478" s="25" t="str">
        <f>"－"</f>
        <v>－</v>
      </c>
      <c r="T478" s="25" t="str">
        <f>"－"</f>
        <v>－</v>
      </c>
      <c r="U478" s="3" t="s">
        <v>68</v>
      </c>
      <c r="V478" s="27" t="str">
        <f>"－"</f>
        <v>－</v>
      </c>
      <c r="W478" s="3" t="s">
        <v>68</v>
      </c>
      <c r="X478" s="27" t="str">
        <f>"－"</f>
        <v>－</v>
      </c>
      <c r="Y478" s="27"/>
      <c r="Z478" s="25" t="str">
        <f>"－"</f>
        <v>－</v>
      </c>
      <c r="AA478" s="25" t="str">
        <f>"－"</f>
        <v>－</v>
      </c>
      <c r="AB478" s="2" t="s">
        <v>68</v>
      </c>
      <c r="AC478" s="26" t="str">
        <f>"－"</f>
        <v>－</v>
      </c>
      <c r="AD478" s="3" t="s">
        <v>68</v>
      </c>
      <c r="AE478" s="27" t="str">
        <f>"－"</f>
        <v>－</v>
      </c>
    </row>
    <row r="479">
      <c r="A479" s="20" t="s">
        <v>1112</v>
      </c>
      <c r="B479" s="21" t="s">
        <v>1113</v>
      </c>
      <c r="C479" s="22"/>
      <c r="D479" s="23"/>
      <c r="E479" s="24" t="s">
        <v>55</v>
      </c>
      <c r="F479" s="28" t="n">
        <f>121</f>
        <v>121.0</v>
      </c>
      <c r="G479" s="25" t="str">
        <f>"－"</f>
        <v>－</v>
      </c>
      <c r="H479" s="25"/>
      <c r="I479" s="25" t="str">
        <f>"－"</f>
        <v>－</v>
      </c>
      <c r="J479" s="25" t="str">
        <f>"－"</f>
        <v>－</v>
      </c>
      <c r="K479" s="25" t="str">
        <f>"－"</f>
        <v>－</v>
      </c>
      <c r="L479" s="2" t="s">
        <v>147</v>
      </c>
      <c r="M479" s="26" t="str">
        <f>"－"</f>
        <v>－</v>
      </c>
      <c r="N479" s="3" t="s">
        <v>147</v>
      </c>
      <c r="O479" s="27" t="str">
        <f>"－"</f>
        <v>－</v>
      </c>
      <c r="P479" s="29" t="s">
        <v>262</v>
      </c>
      <c r="Q479" s="25"/>
      <c r="R479" s="29" t="s">
        <v>262</v>
      </c>
      <c r="S479" s="25" t="str">
        <f>"－"</f>
        <v>－</v>
      </c>
      <c r="T479" s="25" t="str">
        <f>"－"</f>
        <v>－</v>
      </c>
      <c r="U479" s="3" t="s">
        <v>147</v>
      </c>
      <c r="V479" s="27" t="str">
        <f>"－"</f>
        <v>－</v>
      </c>
      <c r="W479" s="3" t="s">
        <v>147</v>
      </c>
      <c r="X479" s="27" t="str">
        <f>"－"</f>
        <v>－</v>
      </c>
      <c r="Y479" s="27"/>
      <c r="Z479" s="25" t="str">
        <f>"－"</f>
        <v>－</v>
      </c>
      <c r="AA479" s="25" t="str">
        <f>"－"</f>
        <v>－</v>
      </c>
      <c r="AB479" s="2" t="s">
        <v>147</v>
      </c>
      <c r="AC479" s="26" t="str">
        <f>"－"</f>
        <v>－</v>
      </c>
      <c r="AD479" s="3" t="s">
        <v>147</v>
      </c>
      <c r="AE479" s="27" t="str">
        <f>"－"</f>
        <v>－</v>
      </c>
    </row>
    <row r="480">
      <c r="A480" s="20" t="s">
        <v>1112</v>
      </c>
      <c r="B480" s="21" t="s">
        <v>1113</v>
      </c>
      <c r="C480" s="22"/>
      <c r="D480" s="23"/>
      <c r="E480" s="24" t="s">
        <v>62</v>
      </c>
      <c r="F480" s="28" t="n">
        <f>123</f>
        <v>123.0</v>
      </c>
      <c r="G480" s="25" t="str">
        <f>"－"</f>
        <v>－</v>
      </c>
      <c r="H480" s="25"/>
      <c r="I480" s="25" t="str">
        <f>"－"</f>
        <v>－</v>
      </c>
      <c r="J480" s="25" t="str">
        <f>"－"</f>
        <v>－</v>
      </c>
      <c r="K480" s="25" t="str">
        <f>"－"</f>
        <v>－</v>
      </c>
      <c r="L480" s="2" t="s">
        <v>68</v>
      </c>
      <c r="M480" s="26" t="str">
        <f>"－"</f>
        <v>－</v>
      </c>
      <c r="N480" s="3" t="s">
        <v>68</v>
      </c>
      <c r="O480" s="27" t="str">
        <f>"－"</f>
        <v>－</v>
      </c>
      <c r="P480" s="29" t="s">
        <v>262</v>
      </c>
      <c r="Q480" s="25"/>
      <c r="R480" s="29" t="s">
        <v>262</v>
      </c>
      <c r="S480" s="25" t="str">
        <f>"－"</f>
        <v>－</v>
      </c>
      <c r="T480" s="25" t="str">
        <f>"－"</f>
        <v>－</v>
      </c>
      <c r="U480" s="3" t="s">
        <v>68</v>
      </c>
      <c r="V480" s="27" t="str">
        <f>"－"</f>
        <v>－</v>
      </c>
      <c r="W480" s="3" t="s">
        <v>68</v>
      </c>
      <c r="X480" s="27" t="str">
        <f>"－"</f>
        <v>－</v>
      </c>
      <c r="Y480" s="27"/>
      <c r="Z480" s="25" t="str">
        <f>"－"</f>
        <v>－</v>
      </c>
      <c r="AA480" s="25" t="str">
        <f>"－"</f>
        <v>－</v>
      </c>
      <c r="AB480" s="2" t="s">
        <v>68</v>
      </c>
      <c r="AC480" s="26" t="str">
        <f>"－"</f>
        <v>－</v>
      </c>
      <c r="AD480" s="3" t="s">
        <v>68</v>
      </c>
      <c r="AE480" s="27" t="str">
        <f>"－"</f>
        <v>－</v>
      </c>
    </row>
    <row r="481">
      <c r="A481" s="20" t="s">
        <v>1112</v>
      </c>
      <c r="B481" s="21" t="s">
        <v>1113</v>
      </c>
      <c r="C481" s="22"/>
      <c r="D481" s="23"/>
      <c r="E481" s="24" t="s">
        <v>69</v>
      </c>
      <c r="F481" s="28" t="n">
        <f>122</f>
        <v>122.0</v>
      </c>
      <c r="G481" s="25" t="str">
        <f>"－"</f>
        <v>－</v>
      </c>
      <c r="H481" s="25"/>
      <c r="I481" s="25" t="str">
        <f>"－"</f>
        <v>－</v>
      </c>
      <c r="J481" s="25" t="str">
        <f>"－"</f>
        <v>－</v>
      </c>
      <c r="K481" s="25" t="str">
        <f>"－"</f>
        <v>－</v>
      </c>
      <c r="L481" s="2" t="s">
        <v>156</v>
      </c>
      <c r="M481" s="26" t="str">
        <f>"－"</f>
        <v>－</v>
      </c>
      <c r="N481" s="3" t="s">
        <v>156</v>
      </c>
      <c r="O481" s="27" t="str">
        <f>"－"</f>
        <v>－</v>
      </c>
      <c r="P481" s="29" t="s">
        <v>262</v>
      </c>
      <c r="Q481" s="25"/>
      <c r="R481" s="29" t="s">
        <v>262</v>
      </c>
      <c r="S481" s="25" t="str">
        <f>"－"</f>
        <v>－</v>
      </c>
      <c r="T481" s="25" t="str">
        <f>"－"</f>
        <v>－</v>
      </c>
      <c r="U481" s="3" t="s">
        <v>156</v>
      </c>
      <c r="V481" s="27" t="str">
        <f>"－"</f>
        <v>－</v>
      </c>
      <c r="W481" s="3" t="s">
        <v>156</v>
      </c>
      <c r="X481" s="27" t="str">
        <f>"－"</f>
        <v>－</v>
      </c>
      <c r="Y481" s="27"/>
      <c r="Z481" s="25" t="str">
        <f>"－"</f>
        <v>－</v>
      </c>
      <c r="AA481" s="25" t="str">
        <f>"－"</f>
        <v>－</v>
      </c>
      <c r="AB481" s="2" t="s">
        <v>156</v>
      </c>
      <c r="AC481" s="26" t="str">
        <f>"－"</f>
        <v>－</v>
      </c>
      <c r="AD481" s="3" t="s">
        <v>156</v>
      </c>
      <c r="AE481" s="27" t="str">
        <f>"－"</f>
        <v>－</v>
      </c>
    </row>
    <row r="482">
      <c r="A482" s="20" t="s">
        <v>1112</v>
      </c>
      <c r="B482" s="21" t="s">
        <v>1113</v>
      </c>
      <c r="C482" s="22"/>
      <c r="D482" s="23"/>
      <c r="E482" s="24" t="s">
        <v>76</v>
      </c>
      <c r="F482" s="28" t="n">
        <f>123</f>
        <v>123.0</v>
      </c>
      <c r="G482" s="25" t="str">
        <f>"－"</f>
        <v>－</v>
      </c>
      <c r="H482" s="25"/>
      <c r="I482" s="25" t="str">
        <f>"－"</f>
        <v>－</v>
      </c>
      <c r="J482" s="25" t="str">
        <f>"－"</f>
        <v>－</v>
      </c>
      <c r="K482" s="25" t="str">
        <f>"－"</f>
        <v>－</v>
      </c>
      <c r="L482" s="2" t="s">
        <v>68</v>
      </c>
      <c r="M482" s="26" t="str">
        <f>"－"</f>
        <v>－</v>
      </c>
      <c r="N482" s="3" t="s">
        <v>68</v>
      </c>
      <c r="O482" s="27" t="str">
        <f>"－"</f>
        <v>－</v>
      </c>
      <c r="P482" s="29" t="s">
        <v>262</v>
      </c>
      <c r="Q482" s="25"/>
      <c r="R482" s="29" t="s">
        <v>262</v>
      </c>
      <c r="S482" s="25" t="str">
        <f>"－"</f>
        <v>－</v>
      </c>
      <c r="T482" s="25" t="str">
        <f>"－"</f>
        <v>－</v>
      </c>
      <c r="U482" s="3" t="s">
        <v>68</v>
      </c>
      <c r="V482" s="27" t="str">
        <f>"－"</f>
        <v>－</v>
      </c>
      <c r="W482" s="3" t="s">
        <v>68</v>
      </c>
      <c r="X482" s="27" t="str">
        <f>"－"</f>
        <v>－</v>
      </c>
      <c r="Y482" s="27"/>
      <c r="Z482" s="25" t="str">
        <f>"－"</f>
        <v>－</v>
      </c>
      <c r="AA482" s="25" t="str">
        <f>"－"</f>
        <v>－</v>
      </c>
      <c r="AB482" s="2" t="s">
        <v>68</v>
      </c>
      <c r="AC482" s="26" t="str">
        <f>"－"</f>
        <v>－</v>
      </c>
      <c r="AD482" s="3" t="s">
        <v>68</v>
      </c>
      <c r="AE482" s="27" t="str">
        <f>"－"</f>
        <v>－</v>
      </c>
    </row>
    <row r="483">
      <c r="A483" s="20" t="s">
        <v>1112</v>
      </c>
      <c r="B483" s="21" t="s">
        <v>1113</v>
      </c>
      <c r="C483" s="22"/>
      <c r="D483" s="23"/>
      <c r="E483" s="24" t="s">
        <v>83</v>
      </c>
      <c r="F483" s="28" t="n">
        <f>123</f>
        <v>123.0</v>
      </c>
      <c r="G483" s="25" t="str">
        <f>"－"</f>
        <v>－</v>
      </c>
      <c r="H483" s="25"/>
      <c r="I483" s="25" t="str">
        <f>"－"</f>
        <v>－</v>
      </c>
      <c r="J483" s="25" t="str">
        <f>"－"</f>
        <v>－</v>
      </c>
      <c r="K483" s="25" t="str">
        <f>"－"</f>
        <v>－</v>
      </c>
      <c r="L483" s="2" t="s">
        <v>156</v>
      </c>
      <c r="M483" s="26" t="str">
        <f>"－"</f>
        <v>－</v>
      </c>
      <c r="N483" s="3" t="s">
        <v>156</v>
      </c>
      <c r="O483" s="27" t="str">
        <f>"－"</f>
        <v>－</v>
      </c>
      <c r="P483" s="29" t="s">
        <v>262</v>
      </c>
      <c r="Q483" s="25"/>
      <c r="R483" s="29" t="s">
        <v>262</v>
      </c>
      <c r="S483" s="25" t="str">
        <f>"－"</f>
        <v>－</v>
      </c>
      <c r="T483" s="25" t="str">
        <f>"－"</f>
        <v>－</v>
      </c>
      <c r="U483" s="3" t="s">
        <v>156</v>
      </c>
      <c r="V483" s="27" t="str">
        <f>"－"</f>
        <v>－</v>
      </c>
      <c r="W483" s="3" t="s">
        <v>156</v>
      </c>
      <c r="X483" s="27" t="str">
        <f>"－"</f>
        <v>－</v>
      </c>
      <c r="Y483" s="27"/>
      <c r="Z483" s="25" t="str">
        <f>"－"</f>
        <v>－</v>
      </c>
      <c r="AA483" s="25" t="str">
        <f>"－"</f>
        <v>－</v>
      </c>
      <c r="AB483" s="2" t="s">
        <v>156</v>
      </c>
      <c r="AC483" s="26" t="str">
        <f>"－"</f>
        <v>－</v>
      </c>
      <c r="AD483" s="3" t="s">
        <v>156</v>
      </c>
      <c r="AE483" s="27" t="str">
        <f>"－"</f>
        <v>－</v>
      </c>
    </row>
    <row r="484">
      <c r="A484" s="20" t="s">
        <v>1112</v>
      </c>
      <c r="B484" s="21" t="s">
        <v>1113</v>
      </c>
      <c r="C484" s="22"/>
      <c r="D484" s="23"/>
      <c r="E484" s="24" t="s">
        <v>89</v>
      </c>
      <c r="F484" s="28" t="n">
        <f>124</f>
        <v>124.0</v>
      </c>
      <c r="G484" s="25" t="str">
        <f>"－"</f>
        <v>－</v>
      </c>
      <c r="H484" s="25"/>
      <c r="I484" s="25" t="str">
        <f>"－"</f>
        <v>－</v>
      </c>
      <c r="J484" s="25" t="str">
        <f>"－"</f>
        <v>－</v>
      </c>
      <c r="K484" s="25" t="str">
        <f>"－"</f>
        <v>－</v>
      </c>
      <c r="L484" s="2" t="s">
        <v>633</v>
      </c>
      <c r="M484" s="26" t="str">
        <f>"－"</f>
        <v>－</v>
      </c>
      <c r="N484" s="3" t="s">
        <v>633</v>
      </c>
      <c r="O484" s="27" t="str">
        <f>"－"</f>
        <v>－</v>
      </c>
      <c r="P484" s="29" t="s">
        <v>262</v>
      </c>
      <c r="Q484" s="25"/>
      <c r="R484" s="29" t="s">
        <v>262</v>
      </c>
      <c r="S484" s="25" t="str">
        <f>"－"</f>
        <v>－</v>
      </c>
      <c r="T484" s="25" t="str">
        <f>"－"</f>
        <v>－</v>
      </c>
      <c r="U484" s="3" t="s">
        <v>633</v>
      </c>
      <c r="V484" s="27" t="str">
        <f>"－"</f>
        <v>－</v>
      </c>
      <c r="W484" s="3" t="s">
        <v>633</v>
      </c>
      <c r="X484" s="27" t="str">
        <f>"－"</f>
        <v>－</v>
      </c>
      <c r="Y484" s="27"/>
      <c r="Z484" s="25" t="str">
        <f>"－"</f>
        <v>－</v>
      </c>
      <c r="AA484" s="25" t="str">
        <f>"－"</f>
        <v>－</v>
      </c>
      <c r="AB484" s="2" t="s">
        <v>633</v>
      </c>
      <c r="AC484" s="26" t="str">
        <f>"－"</f>
        <v>－</v>
      </c>
      <c r="AD484" s="3" t="s">
        <v>633</v>
      </c>
      <c r="AE484" s="27" t="str">
        <f>"－"</f>
        <v>－</v>
      </c>
    </row>
    <row r="485">
      <c r="A485" s="20" t="s">
        <v>1112</v>
      </c>
      <c r="B485" s="21" t="s">
        <v>1113</v>
      </c>
      <c r="C485" s="22"/>
      <c r="D485" s="23"/>
      <c r="E485" s="24" t="s">
        <v>96</v>
      </c>
      <c r="F485" s="28" t="n">
        <f>121</f>
        <v>121.0</v>
      </c>
      <c r="G485" s="25" t="str">
        <f>"－"</f>
        <v>－</v>
      </c>
      <c r="H485" s="25"/>
      <c r="I485" s="25" t="str">
        <f>"－"</f>
        <v>－</v>
      </c>
      <c r="J485" s="25" t="str">
        <f>"－"</f>
        <v>－</v>
      </c>
      <c r="K485" s="25" t="str">
        <f>"－"</f>
        <v>－</v>
      </c>
      <c r="L485" s="2" t="s">
        <v>156</v>
      </c>
      <c r="M485" s="26" t="str">
        <f>"－"</f>
        <v>－</v>
      </c>
      <c r="N485" s="3" t="s">
        <v>156</v>
      </c>
      <c r="O485" s="27" t="str">
        <f>"－"</f>
        <v>－</v>
      </c>
      <c r="P485" s="29" t="s">
        <v>262</v>
      </c>
      <c r="Q485" s="25"/>
      <c r="R485" s="29" t="s">
        <v>262</v>
      </c>
      <c r="S485" s="25" t="str">
        <f>"－"</f>
        <v>－</v>
      </c>
      <c r="T485" s="25" t="str">
        <f>"－"</f>
        <v>－</v>
      </c>
      <c r="U485" s="3" t="s">
        <v>156</v>
      </c>
      <c r="V485" s="27" t="str">
        <f>"－"</f>
        <v>－</v>
      </c>
      <c r="W485" s="3" t="s">
        <v>156</v>
      </c>
      <c r="X485" s="27" t="str">
        <f>"－"</f>
        <v>－</v>
      </c>
      <c r="Y485" s="27"/>
      <c r="Z485" s="25" t="str">
        <f>"－"</f>
        <v>－</v>
      </c>
      <c r="AA485" s="25" t="str">
        <f>"－"</f>
        <v>－</v>
      </c>
      <c r="AB485" s="2" t="s">
        <v>156</v>
      </c>
      <c r="AC485" s="26" t="str">
        <f>"－"</f>
        <v>－</v>
      </c>
      <c r="AD485" s="3" t="s">
        <v>156</v>
      </c>
      <c r="AE485" s="27" t="str">
        <f>"－"</f>
        <v>－</v>
      </c>
    </row>
    <row r="486">
      <c r="A486" s="20" t="s">
        <v>1112</v>
      </c>
      <c r="B486" s="21" t="s">
        <v>1113</v>
      </c>
      <c r="C486" s="22"/>
      <c r="D486" s="23"/>
      <c r="E486" s="24" t="s">
        <v>102</v>
      </c>
      <c r="F486" s="28" t="n">
        <f>124</f>
        <v>124.0</v>
      </c>
      <c r="G486" s="25" t="str">
        <f>"－"</f>
        <v>－</v>
      </c>
      <c r="H486" s="25"/>
      <c r="I486" s="25" t="str">
        <f>"－"</f>
        <v>－</v>
      </c>
      <c r="J486" s="25" t="str">
        <f>"－"</f>
        <v>－</v>
      </c>
      <c r="K486" s="25" t="str">
        <f>"－"</f>
        <v>－</v>
      </c>
      <c r="L486" s="2" t="s">
        <v>215</v>
      </c>
      <c r="M486" s="26" t="str">
        <f>"－"</f>
        <v>－</v>
      </c>
      <c r="N486" s="3" t="s">
        <v>215</v>
      </c>
      <c r="O486" s="27" t="str">
        <f>"－"</f>
        <v>－</v>
      </c>
      <c r="P486" s="29" t="s">
        <v>262</v>
      </c>
      <c r="Q486" s="25"/>
      <c r="R486" s="29" t="s">
        <v>262</v>
      </c>
      <c r="S486" s="25" t="str">
        <f>"－"</f>
        <v>－</v>
      </c>
      <c r="T486" s="25" t="str">
        <f>"－"</f>
        <v>－</v>
      </c>
      <c r="U486" s="3" t="s">
        <v>215</v>
      </c>
      <c r="V486" s="27" t="str">
        <f>"－"</f>
        <v>－</v>
      </c>
      <c r="W486" s="3" t="s">
        <v>215</v>
      </c>
      <c r="X486" s="27" t="str">
        <f>"－"</f>
        <v>－</v>
      </c>
      <c r="Y486" s="27"/>
      <c r="Z486" s="25" t="str">
        <f>"－"</f>
        <v>－</v>
      </c>
      <c r="AA486" s="25" t="str">
        <f>"－"</f>
        <v>－</v>
      </c>
      <c r="AB486" s="2" t="s">
        <v>215</v>
      </c>
      <c r="AC486" s="26" t="str">
        <f>"－"</f>
        <v>－</v>
      </c>
      <c r="AD486" s="3" t="s">
        <v>215</v>
      </c>
      <c r="AE486" s="27" t="str">
        <f>"－"</f>
        <v>－</v>
      </c>
    </row>
    <row r="487">
      <c r="A487" s="20" t="s">
        <v>1112</v>
      </c>
      <c r="B487" s="21" t="s">
        <v>1113</v>
      </c>
      <c r="C487" s="22"/>
      <c r="D487" s="23"/>
      <c r="E487" s="24" t="s">
        <v>107</v>
      </c>
      <c r="F487" s="28" t="n">
        <f>117</f>
        <v>117.0</v>
      </c>
      <c r="G487" s="25" t="str">
        <f>"－"</f>
        <v>－</v>
      </c>
      <c r="H487" s="25"/>
      <c r="I487" s="25" t="str">
        <f>"－"</f>
        <v>－</v>
      </c>
      <c r="J487" s="25" t="str">
        <f>"－"</f>
        <v>－</v>
      </c>
      <c r="K487" s="25" t="str">
        <f>"－"</f>
        <v>－</v>
      </c>
      <c r="L487" s="2" t="s">
        <v>156</v>
      </c>
      <c r="M487" s="26" t="str">
        <f>"－"</f>
        <v>－</v>
      </c>
      <c r="N487" s="3" t="s">
        <v>156</v>
      </c>
      <c r="O487" s="27" t="str">
        <f>"－"</f>
        <v>－</v>
      </c>
      <c r="P487" s="29" t="s">
        <v>262</v>
      </c>
      <c r="Q487" s="25"/>
      <c r="R487" s="29" t="s">
        <v>262</v>
      </c>
      <c r="S487" s="25" t="str">
        <f>"－"</f>
        <v>－</v>
      </c>
      <c r="T487" s="25" t="str">
        <f>"－"</f>
        <v>－</v>
      </c>
      <c r="U487" s="3" t="s">
        <v>156</v>
      </c>
      <c r="V487" s="27" t="str">
        <f>"－"</f>
        <v>－</v>
      </c>
      <c r="W487" s="3" t="s">
        <v>156</v>
      </c>
      <c r="X487" s="27" t="str">
        <f>"－"</f>
        <v>－</v>
      </c>
      <c r="Y487" s="27"/>
      <c r="Z487" s="25" t="str">
        <f>"－"</f>
        <v>－</v>
      </c>
      <c r="AA487" s="25" t="str">
        <f>"－"</f>
        <v>－</v>
      </c>
      <c r="AB487" s="2" t="s">
        <v>156</v>
      </c>
      <c r="AC487" s="26" t="str">
        <f>"－"</f>
        <v>－</v>
      </c>
      <c r="AD487" s="3" t="s">
        <v>156</v>
      </c>
      <c r="AE487" s="27" t="str">
        <f>"－"</f>
        <v>－</v>
      </c>
    </row>
    <row r="488">
      <c r="A488" s="20" t="s">
        <v>1112</v>
      </c>
      <c r="B488" s="21" t="s">
        <v>1113</v>
      </c>
      <c r="C488" s="22"/>
      <c r="D488" s="23"/>
      <c r="E488" s="24" t="s">
        <v>113</v>
      </c>
      <c r="F488" s="28" t="n">
        <f>124</f>
        <v>124.0</v>
      </c>
      <c r="G488" s="25" t="str">
        <f>"－"</f>
        <v>－</v>
      </c>
      <c r="H488" s="25"/>
      <c r="I488" s="25" t="str">
        <f>"－"</f>
        <v>－</v>
      </c>
      <c r="J488" s="25" t="str">
        <f>"－"</f>
        <v>－</v>
      </c>
      <c r="K488" s="25" t="str">
        <f>"－"</f>
        <v>－</v>
      </c>
      <c r="L488" s="2" t="s">
        <v>68</v>
      </c>
      <c r="M488" s="26" t="str">
        <f>"－"</f>
        <v>－</v>
      </c>
      <c r="N488" s="3" t="s">
        <v>68</v>
      </c>
      <c r="O488" s="27" t="str">
        <f>"－"</f>
        <v>－</v>
      </c>
      <c r="P488" s="29" t="s">
        <v>262</v>
      </c>
      <c r="Q488" s="25"/>
      <c r="R488" s="29" t="s">
        <v>262</v>
      </c>
      <c r="S488" s="25" t="str">
        <f>"－"</f>
        <v>－</v>
      </c>
      <c r="T488" s="25" t="str">
        <f>"－"</f>
        <v>－</v>
      </c>
      <c r="U488" s="3" t="s">
        <v>68</v>
      </c>
      <c r="V488" s="27" t="str">
        <f>"－"</f>
        <v>－</v>
      </c>
      <c r="W488" s="3" t="s">
        <v>68</v>
      </c>
      <c r="X488" s="27" t="str">
        <f>"－"</f>
        <v>－</v>
      </c>
      <c r="Y488" s="27"/>
      <c r="Z488" s="25" t="str">
        <f>"－"</f>
        <v>－</v>
      </c>
      <c r="AA488" s="25" t="str">
        <f>"－"</f>
        <v>－</v>
      </c>
      <c r="AB488" s="2" t="s">
        <v>68</v>
      </c>
      <c r="AC488" s="26" t="str">
        <f>"－"</f>
        <v>－</v>
      </c>
      <c r="AD488" s="3" t="s">
        <v>68</v>
      </c>
      <c r="AE488" s="27" t="str">
        <f>"－"</f>
        <v>－</v>
      </c>
    </row>
    <row r="489">
      <c r="A489" s="20" t="s">
        <v>1112</v>
      </c>
      <c r="B489" s="21" t="s">
        <v>1113</v>
      </c>
      <c r="C489" s="22"/>
      <c r="D489" s="23"/>
      <c r="E489" s="24" t="s">
        <v>119</v>
      </c>
      <c r="F489" s="28" t="n">
        <f>119</f>
        <v>119.0</v>
      </c>
      <c r="G489" s="25" t="str">
        <f>"－"</f>
        <v>－</v>
      </c>
      <c r="H489" s="25"/>
      <c r="I489" s="25" t="str">
        <f>"－"</f>
        <v>－</v>
      </c>
      <c r="J489" s="25" t="str">
        <f>"－"</f>
        <v>－</v>
      </c>
      <c r="K489" s="25" t="str">
        <f>"－"</f>
        <v>－</v>
      </c>
      <c r="L489" s="2" t="s">
        <v>328</v>
      </c>
      <c r="M489" s="26" t="str">
        <f>"－"</f>
        <v>－</v>
      </c>
      <c r="N489" s="3" t="s">
        <v>328</v>
      </c>
      <c r="O489" s="27" t="str">
        <f>"－"</f>
        <v>－</v>
      </c>
      <c r="P489" s="29" t="s">
        <v>262</v>
      </c>
      <c r="Q489" s="25"/>
      <c r="R489" s="29" t="s">
        <v>262</v>
      </c>
      <c r="S489" s="25" t="str">
        <f>"－"</f>
        <v>－</v>
      </c>
      <c r="T489" s="25" t="str">
        <f>"－"</f>
        <v>－</v>
      </c>
      <c r="U489" s="3" t="s">
        <v>328</v>
      </c>
      <c r="V489" s="27" t="str">
        <f>"－"</f>
        <v>－</v>
      </c>
      <c r="W489" s="3" t="s">
        <v>328</v>
      </c>
      <c r="X489" s="27" t="str">
        <f>"－"</f>
        <v>－</v>
      </c>
      <c r="Y489" s="27"/>
      <c r="Z489" s="25" t="str">
        <f>"－"</f>
        <v>－</v>
      </c>
      <c r="AA489" s="25" t="str">
        <f>"－"</f>
        <v>－</v>
      </c>
      <c r="AB489" s="2" t="s">
        <v>328</v>
      </c>
      <c r="AC489" s="26" t="str">
        <f>"－"</f>
        <v>－</v>
      </c>
      <c r="AD489" s="3" t="s">
        <v>328</v>
      </c>
      <c r="AE489" s="27" t="str">
        <f>"－"</f>
        <v>－</v>
      </c>
    </row>
    <row r="490">
      <c r="A490" s="20" t="s">
        <v>1112</v>
      </c>
      <c r="B490" s="21" t="s">
        <v>1113</v>
      </c>
      <c r="C490" s="22"/>
      <c r="D490" s="23"/>
      <c r="E490" s="24" t="s">
        <v>124</v>
      </c>
      <c r="F490" s="28" t="n">
        <f>124</f>
        <v>124.0</v>
      </c>
      <c r="G490" s="25" t="str">
        <f>"－"</f>
        <v>－</v>
      </c>
      <c r="H490" s="25"/>
      <c r="I490" s="25" t="str">
        <f>"－"</f>
        <v>－</v>
      </c>
      <c r="J490" s="25" t="str">
        <f>"－"</f>
        <v>－</v>
      </c>
      <c r="K490" s="25" t="str">
        <f>"－"</f>
        <v>－</v>
      </c>
      <c r="L490" s="2" t="s">
        <v>68</v>
      </c>
      <c r="M490" s="26" t="str">
        <f>"－"</f>
        <v>－</v>
      </c>
      <c r="N490" s="3" t="s">
        <v>68</v>
      </c>
      <c r="O490" s="27" t="str">
        <f>"－"</f>
        <v>－</v>
      </c>
      <c r="P490" s="29" t="s">
        <v>262</v>
      </c>
      <c r="Q490" s="25"/>
      <c r="R490" s="29" t="s">
        <v>262</v>
      </c>
      <c r="S490" s="25" t="str">
        <f>"－"</f>
        <v>－</v>
      </c>
      <c r="T490" s="25" t="str">
        <f>"－"</f>
        <v>－</v>
      </c>
      <c r="U490" s="3" t="s">
        <v>68</v>
      </c>
      <c r="V490" s="27" t="str">
        <f>"－"</f>
        <v>－</v>
      </c>
      <c r="W490" s="3" t="s">
        <v>68</v>
      </c>
      <c r="X490" s="27" t="str">
        <f>"－"</f>
        <v>－</v>
      </c>
      <c r="Y490" s="27"/>
      <c r="Z490" s="25" t="str">
        <f>"－"</f>
        <v>－</v>
      </c>
      <c r="AA490" s="25" t="str">
        <f>"－"</f>
        <v>－</v>
      </c>
      <c r="AB490" s="2" t="s">
        <v>68</v>
      </c>
      <c r="AC490" s="26" t="str">
        <f>"－"</f>
        <v>－</v>
      </c>
      <c r="AD490" s="3" t="s">
        <v>68</v>
      </c>
      <c r="AE490" s="27" t="str">
        <f>"－"</f>
        <v>－</v>
      </c>
    </row>
    <row r="491">
      <c r="A491" s="20" t="s">
        <v>1112</v>
      </c>
      <c r="B491" s="21" t="s">
        <v>1113</v>
      </c>
      <c r="C491" s="22"/>
      <c r="D491" s="23"/>
      <c r="E491" s="24" t="s">
        <v>130</v>
      </c>
      <c r="F491" s="28" t="n">
        <f>121</f>
        <v>121.0</v>
      </c>
      <c r="G491" s="25" t="str">
        <f>"－"</f>
        <v>－</v>
      </c>
      <c r="H491" s="25"/>
      <c r="I491" s="25" t="str">
        <f>"－"</f>
        <v>－</v>
      </c>
      <c r="J491" s="25" t="str">
        <f>"－"</f>
        <v>－</v>
      </c>
      <c r="K491" s="25" t="str">
        <f>"－"</f>
        <v>－</v>
      </c>
      <c r="L491" s="2" t="s">
        <v>156</v>
      </c>
      <c r="M491" s="26" t="str">
        <f>"－"</f>
        <v>－</v>
      </c>
      <c r="N491" s="3" t="s">
        <v>156</v>
      </c>
      <c r="O491" s="27" t="str">
        <f>"－"</f>
        <v>－</v>
      </c>
      <c r="P491" s="29" t="s">
        <v>262</v>
      </c>
      <c r="Q491" s="25"/>
      <c r="R491" s="29" t="s">
        <v>262</v>
      </c>
      <c r="S491" s="25" t="str">
        <f>"－"</f>
        <v>－</v>
      </c>
      <c r="T491" s="25" t="str">
        <f>"－"</f>
        <v>－</v>
      </c>
      <c r="U491" s="3" t="s">
        <v>156</v>
      </c>
      <c r="V491" s="27" t="str">
        <f>"－"</f>
        <v>－</v>
      </c>
      <c r="W491" s="3" t="s">
        <v>156</v>
      </c>
      <c r="X491" s="27" t="str">
        <f>"－"</f>
        <v>－</v>
      </c>
      <c r="Y491" s="27"/>
      <c r="Z491" s="25" t="str">
        <f>"－"</f>
        <v>－</v>
      </c>
      <c r="AA491" s="25" t="str">
        <f>"－"</f>
        <v>－</v>
      </c>
      <c r="AB491" s="2" t="s">
        <v>156</v>
      </c>
      <c r="AC491" s="26" t="str">
        <f>"－"</f>
        <v>－</v>
      </c>
      <c r="AD491" s="3" t="s">
        <v>156</v>
      </c>
      <c r="AE491" s="27" t="str">
        <f>"－"</f>
        <v>－</v>
      </c>
    </row>
    <row r="492">
      <c r="A492" s="20" t="s">
        <v>1112</v>
      </c>
      <c r="B492" s="21" t="s">
        <v>1113</v>
      </c>
      <c r="C492" s="22"/>
      <c r="D492" s="23"/>
      <c r="E492" s="24" t="s">
        <v>136</v>
      </c>
      <c r="F492" s="28" t="n">
        <f>124</f>
        <v>124.0</v>
      </c>
      <c r="G492" s="25" t="str">
        <f>"－"</f>
        <v>－</v>
      </c>
      <c r="H492" s="25"/>
      <c r="I492" s="25" t="str">
        <f>"－"</f>
        <v>－</v>
      </c>
      <c r="J492" s="25" t="str">
        <f>"－"</f>
        <v>－</v>
      </c>
      <c r="K492" s="25" t="str">
        <f>"－"</f>
        <v>－</v>
      </c>
      <c r="L492" s="2" t="s">
        <v>68</v>
      </c>
      <c r="M492" s="26" t="str">
        <f>"－"</f>
        <v>－</v>
      </c>
      <c r="N492" s="3" t="s">
        <v>68</v>
      </c>
      <c r="O492" s="27" t="str">
        <f>"－"</f>
        <v>－</v>
      </c>
      <c r="P492" s="29" t="s">
        <v>262</v>
      </c>
      <c r="Q492" s="25"/>
      <c r="R492" s="29" t="s">
        <v>262</v>
      </c>
      <c r="S492" s="25" t="str">
        <f>"－"</f>
        <v>－</v>
      </c>
      <c r="T492" s="25" t="str">
        <f>"－"</f>
        <v>－</v>
      </c>
      <c r="U492" s="3" t="s">
        <v>68</v>
      </c>
      <c r="V492" s="27" t="str">
        <f>"－"</f>
        <v>－</v>
      </c>
      <c r="W492" s="3" t="s">
        <v>68</v>
      </c>
      <c r="X492" s="27" t="str">
        <f>"－"</f>
        <v>－</v>
      </c>
      <c r="Y492" s="27"/>
      <c r="Z492" s="25" t="str">
        <f>"－"</f>
        <v>－</v>
      </c>
      <c r="AA492" s="25" t="str">
        <f>"－"</f>
        <v>－</v>
      </c>
      <c r="AB492" s="2" t="s">
        <v>68</v>
      </c>
      <c r="AC492" s="26" t="str">
        <f>"－"</f>
        <v>－</v>
      </c>
      <c r="AD492" s="3" t="s">
        <v>68</v>
      </c>
      <c r="AE492" s="27" t="str">
        <f>"－"</f>
        <v>－</v>
      </c>
    </row>
    <row r="493">
      <c r="A493" s="20" t="s">
        <v>1112</v>
      </c>
      <c r="B493" s="21" t="s">
        <v>1113</v>
      </c>
      <c r="C493" s="22"/>
      <c r="D493" s="23"/>
      <c r="E493" s="24" t="s">
        <v>142</v>
      </c>
      <c r="F493" s="28" t="n">
        <f>120</f>
        <v>120.0</v>
      </c>
      <c r="G493" s="25" t="str">
        <f>"－"</f>
        <v>－</v>
      </c>
      <c r="H493" s="25"/>
      <c r="I493" s="25" t="str">
        <f>"－"</f>
        <v>－</v>
      </c>
      <c r="J493" s="25" t="str">
        <f>"－"</f>
        <v>－</v>
      </c>
      <c r="K493" s="25" t="str">
        <f>"－"</f>
        <v>－</v>
      </c>
      <c r="L493" s="2" t="s">
        <v>156</v>
      </c>
      <c r="M493" s="26" t="str">
        <f>"－"</f>
        <v>－</v>
      </c>
      <c r="N493" s="3" t="s">
        <v>156</v>
      </c>
      <c r="O493" s="27" t="str">
        <f>"－"</f>
        <v>－</v>
      </c>
      <c r="P493" s="29" t="s">
        <v>262</v>
      </c>
      <c r="Q493" s="25"/>
      <c r="R493" s="29" t="s">
        <v>262</v>
      </c>
      <c r="S493" s="25" t="str">
        <f>"－"</f>
        <v>－</v>
      </c>
      <c r="T493" s="25" t="str">
        <f>"－"</f>
        <v>－</v>
      </c>
      <c r="U493" s="3" t="s">
        <v>156</v>
      </c>
      <c r="V493" s="27" t="str">
        <f>"－"</f>
        <v>－</v>
      </c>
      <c r="W493" s="3" t="s">
        <v>156</v>
      </c>
      <c r="X493" s="27" t="str">
        <f>"－"</f>
        <v>－</v>
      </c>
      <c r="Y493" s="27"/>
      <c r="Z493" s="25" t="str">
        <f>"－"</f>
        <v>－</v>
      </c>
      <c r="AA493" s="25" t="str">
        <f>"－"</f>
        <v>－</v>
      </c>
      <c r="AB493" s="2" t="s">
        <v>156</v>
      </c>
      <c r="AC493" s="26" t="str">
        <f>"－"</f>
        <v>－</v>
      </c>
      <c r="AD493" s="3" t="s">
        <v>156</v>
      </c>
      <c r="AE493" s="27" t="str">
        <f>"－"</f>
        <v>－</v>
      </c>
    </row>
    <row r="494">
      <c r="A494" s="20" t="s">
        <v>1112</v>
      </c>
      <c r="B494" s="21" t="s">
        <v>1113</v>
      </c>
      <c r="C494" s="22"/>
      <c r="D494" s="23"/>
      <c r="E494" s="24" t="s">
        <v>148</v>
      </c>
      <c r="F494" s="28" t="n">
        <f>124</f>
        <v>124.0</v>
      </c>
      <c r="G494" s="25" t="str">
        <f>"－"</f>
        <v>－</v>
      </c>
      <c r="H494" s="25"/>
      <c r="I494" s="25" t="str">
        <f>"－"</f>
        <v>－</v>
      </c>
      <c r="J494" s="25" t="str">
        <f>"－"</f>
        <v>－</v>
      </c>
      <c r="K494" s="25" t="str">
        <f>"－"</f>
        <v>－</v>
      </c>
      <c r="L494" s="2" t="s">
        <v>68</v>
      </c>
      <c r="M494" s="26" t="str">
        <f>"－"</f>
        <v>－</v>
      </c>
      <c r="N494" s="3" t="s">
        <v>68</v>
      </c>
      <c r="O494" s="27" t="str">
        <f>"－"</f>
        <v>－</v>
      </c>
      <c r="P494" s="29" t="s">
        <v>262</v>
      </c>
      <c r="Q494" s="25"/>
      <c r="R494" s="29" t="s">
        <v>262</v>
      </c>
      <c r="S494" s="25" t="str">
        <f>"－"</f>
        <v>－</v>
      </c>
      <c r="T494" s="25" t="str">
        <f>"－"</f>
        <v>－</v>
      </c>
      <c r="U494" s="3" t="s">
        <v>68</v>
      </c>
      <c r="V494" s="27" t="str">
        <f>"－"</f>
        <v>－</v>
      </c>
      <c r="W494" s="3" t="s">
        <v>68</v>
      </c>
      <c r="X494" s="27" t="str">
        <f>"－"</f>
        <v>－</v>
      </c>
      <c r="Y494" s="27"/>
      <c r="Z494" s="25" t="str">
        <f>"－"</f>
        <v>－</v>
      </c>
      <c r="AA494" s="25" t="str">
        <f>"－"</f>
        <v>－</v>
      </c>
      <c r="AB494" s="2" t="s">
        <v>68</v>
      </c>
      <c r="AC494" s="26" t="str">
        <f>"－"</f>
        <v>－</v>
      </c>
      <c r="AD494" s="3" t="s">
        <v>68</v>
      </c>
      <c r="AE494" s="27" t="str">
        <f>"－"</f>
        <v>－</v>
      </c>
    </row>
    <row r="495">
      <c r="A495" s="20" t="s">
        <v>1112</v>
      </c>
      <c r="B495" s="21" t="s">
        <v>1113</v>
      </c>
      <c r="C495" s="22"/>
      <c r="D495" s="23"/>
      <c r="E495" s="24" t="s">
        <v>151</v>
      </c>
      <c r="F495" s="28" t="n">
        <f>122</f>
        <v>122.0</v>
      </c>
      <c r="G495" s="25" t="str">
        <f>"－"</f>
        <v>－</v>
      </c>
      <c r="H495" s="25"/>
      <c r="I495" s="25" t="str">
        <f>"－"</f>
        <v>－</v>
      </c>
      <c r="J495" s="25" t="str">
        <f>"－"</f>
        <v>－</v>
      </c>
      <c r="K495" s="25" t="str">
        <f>"－"</f>
        <v>－</v>
      </c>
      <c r="L495" s="2" t="s">
        <v>156</v>
      </c>
      <c r="M495" s="26" t="str">
        <f>"－"</f>
        <v>－</v>
      </c>
      <c r="N495" s="3" t="s">
        <v>156</v>
      </c>
      <c r="O495" s="27" t="str">
        <f>"－"</f>
        <v>－</v>
      </c>
      <c r="P495" s="29" t="s">
        <v>262</v>
      </c>
      <c r="Q495" s="25"/>
      <c r="R495" s="29" t="s">
        <v>262</v>
      </c>
      <c r="S495" s="25" t="str">
        <f>"－"</f>
        <v>－</v>
      </c>
      <c r="T495" s="25" t="str">
        <f>"－"</f>
        <v>－</v>
      </c>
      <c r="U495" s="3" t="s">
        <v>156</v>
      </c>
      <c r="V495" s="27" t="str">
        <f>"－"</f>
        <v>－</v>
      </c>
      <c r="W495" s="3" t="s">
        <v>156</v>
      </c>
      <c r="X495" s="27" t="str">
        <f>"－"</f>
        <v>－</v>
      </c>
      <c r="Y495" s="27"/>
      <c r="Z495" s="25" t="str">
        <f>"－"</f>
        <v>－</v>
      </c>
      <c r="AA495" s="25" t="str">
        <f>"－"</f>
        <v>－</v>
      </c>
      <c r="AB495" s="2" t="s">
        <v>156</v>
      </c>
      <c r="AC495" s="26" t="str">
        <f>"－"</f>
        <v>－</v>
      </c>
      <c r="AD495" s="3" t="s">
        <v>156</v>
      </c>
      <c r="AE495" s="27" t="str">
        <f>"－"</f>
        <v>－</v>
      </c>
    </row>
    <row r="496">
      <c r="A496" s="20" t="s">
        <v>1112</v>
      </c>
      <c r="B496" s="21" t="s">
        <v>1113</v>
      </c>
      <c r="C496" s="22"/>
      <c r="D496" s="23"/>
      <c r="E496" s="24" t="s">
        <v>157</v>
      </c>
      <c r="F496" s="28" t="n">
        <f>124</f>
        <v>124.0</v>
      </c>
      <c r="G496" s="25" t="str">
        <f>"－"</f>
        <v>－</v>
      </c>
      <c r="H496" s="25"/>
      <c r="I496" s="25" t="str">
        <f>"－"</f>
        <v>－</v>
      </c>
      <c r="J496" s="25" t="str">
        <f>"－"</f>
        <v>－</v>
      </c>
      <c r="K496" s="25" t="str">
        <f>"－"</f>
        <v>－</v>
      </c>
      <c r="L496" s="2" t="s">
        <v>633</v>
      </c>
      <c r="M496" s="26" t="str">
        <f>"－"</f>
        <v>－</v>
      </c>
      <c r="N496" s="3" t="s">
        <v>633</v>
      </c>
      <c r="O496" s="27" t="str">
        <f>"－"</f>
        <v>－</v>
      </c>
      <c r="P496" s="29" t="s">
        <v>262</v>
      </c>
      <c r="Q496" s="25"/>
      <c r="R496" s="29" t="s">
        <v>262</v>
      </c>
      <c r="S496" s="25" t="str">
        <f>"－"</f>
        <v>－</v>
      </c>
      <c r="T496" s="25" t="str">
        <f>"－"</f>
        <v>－</v>
      </c>
      <c r="U496" s="3" t="s">
        <v>633</v>
      </c>
      <c r="V496" s="27" t="str">
        <f>"－"</f>
        <v>－</v>
      </c>
      <c r="W496" s="3" t="s">
        <v>633</v>
      </c>
      <c r="X496" s="27" t="str">
        <f>"－"</f>
        <v>－</v>
      </c>
      <c r="Y496" s="27"/>
      <c r="Z496" s="25" t="str">
        <f>"－"</f>
        <v>－</v>
      </c>
      <c r="AA496" s="25" t="str">
        <f>"－"</f>
        <v>－</v>
      </c>
      <c r="AB496" s="2" t="s">
        <v>633</v>
      </c>
      <c r="AC496" s="26" t="str">
        <f>"－"</f>
        <v>－</v>
      </c>
      <c r="AD496" s="3" t="s">
        <v>633</v>
      </c>
      <c r="AE496" s="27" t="str">
        <f>"－"</f>
        <v>－</v>
      </c>
    </row>
    <row r="497">
      <c r="A497" s="20" t="s">
        <v>1112</v>
      </c>
      <c r="B497" s="21" t="s">
        <v>1113</v>
      </c>
      <c r="C497" s="22"/>
      <c r="D497" s="23"/>
      <c r="E497" s="24" t="s">
        <v>160</v>
      </c>
      <c r="F497" s="28" t="n">
        <f>58</f>
        <v>58.0</v>
      </c>
      <c r="G497" s="25" t="str">
        <f>"－"</f>
        <v>－</v>
      </c>
      <c r="H497" s="25"/>
      <c r="I497" s="25" t="str">
        <f>"－"</f>
        <v>－</v>
      </c>
      <c r="J497" s="25" t="str">
        <f>"－"</f>
        <v>－</v>
      </c>
      <c r="K497" s="25" t="str">
        <f>"－"</f>
        <v>－</v>
      </c>
      <c r="L497" s="2" t="s">
        <v>156</v>
      </c>
      <c r="M497" s="26" t="str">
        <f>"－"</f>
        <v>－</v>
      </c>
      <c r="N497" s="3" t="s">
        <v>156</v>
      </c>
      <c r="O497" s="27" t="str">
        <f>"－"</f>
        <v>－</v>
      </c>
      <c r="P497" s="29" t="s">
        <v>262</v>
      </c>
      <c r="Q497" s="25"/>
      <c r="R497" s="29" t="s">
        <v>262</v>
      </c>
      <c r="S497" s="25" t="str">
        <f>"－"</f>
        <v>－</v>
      </c>
      <c r="T497" s="25" t="str">
        <f>"－"</f>
        <v>－</v>
      </c>
      <c r="U497" s="3" t="s">
        <v>156</v>
      </c>
      <c r="V497" s="27" t="str">
        <f>"－"</f>
        <v>－</v>
      </c>
      <c r="W497" s="3" t="s">
        <v>156</v>
      </c>
      <c r="X497" s="27" t="str">
        <f>"－"</f>
        <v>－</v>
      </c>
      <c r="Y497" s="27"/>
      <c r="Z497" s="25" t="str">
        <f>"－"</f>
        <v>－</v>
      </c>
      <c r="AA497" s="25" t="str">
        <f>"－"</f>
        <v>－</v>
      </c>
      <c r="AB497" s="2" t="s">
        <v>156</v>
      </c>
      <c r="AC497" s="26" t="str">
        <f>"－"</f>
        <v>－</v>
      </c>
      <c r="AD497" s="3" t="s">
        <v>156</v>
      </c>
      <c r="AE497" s="27" t="str">
        <f>"－"</f>
        <v>－</v>
      </c>
    </row>
    <row r="498">
      <c r="A498" s="20" t="s">
        <v>1133</v>
      </c>
      <c r="B498" s="21" t="s">
        <v>1134</v>
      </c>
      <c r="C498" s="22"/>
      <c r="D498" s="23"/>
      <c r="E498" s="24" t="s">
        <v>1135</v>
      </c>
      <c r="F498" s="28" t="n">
        <f>57</f>
        <v>57.0</v>
      </c>
      <c r="G498" s="25" t="n">
        <f>452553</f>
        <v>452553.0</v>
      </c>
      <c r="H498" s="25" t="str">
        <f>"－"</f>
        <v>－</v>
      </c>
      <c r="I498" s="25" t="str">
        <f>"－"</f>
        <v>－</v>
      </c>
      <c r="J498" s="25" t="n">
        <f>7940</f>
        <v>7940.0</v>
      </c>
      <c r="K498" s="25" t="str">
        <f>"－"</f>
        <v>－</v>
      </c>
      <c r="L498" s="2" t="s">
        <v>1008</v>
      </c>
      <c r="M498" s="26" t="n">
        <f>76631</f>
        <v>76631.0</v>
      </c>
      <c r="N498" s="3" t="s">
        <v>1136</v>
      </c>
      <c r="O498" s="27" t="str">
        <f>"－"</f>
        <v>－</v>
      </c>
      <c r="P498" s="29" t="s">
        <v>1137</v>
      </c>
      <c r="Q498" s="25" t="str">
        <f>"－"</f>
        <v>－</v>
      </c>
      <c r="R498" s="29" t="s">
        <v>262</v>
      </c>
      <c r="S498" s="25" t="n">
        <f>781605694211</f>
        <v>7.81605694211E11</v>
      </c>
      <c r="T498" s="25" t="str">
        <f>"－"</f>
        <v>－</v>
      </c>
      <c r="U498" s="3" t="s">
        <v>1008</v>
      </c>
      <c r="V498" s="27" t="n">
        <f>7816686280000</f>
        <v>7.81668628E12</v>
      </c>
      <c r="W498" s="3" t="s">
        <v>1136</v>
      </c>
      <c r="X498" s="27" t="str">
        <f>"－"</f>
        <v>－</v>
      </c>
      <c r="Y498" s="27"/>
      <c r="Z498" s="25" t="str">
        <f>"－"</f>
        <v>－</v>
      </c>
      <c r="AA498" s="25" t="n">
        <f>17837</f>
        <v>17837.0</v>
      </c>
      <c r="AB498" s="2" t="s">
        <v>252</v>
      </c>
      <c r="AC498" s="26" t="n">
        <f>30136</f>
        <v>30136.0</v>
      </c>
      <c r="AD498" s="3" t="s">
        <v>53</v>
      </c>
      <c r="AE498" s="27" t="n">
        <f>14585</f>
        <v>14585.0</v>
      </c>
    </row>
    <row r="499">
      <c r="A499" s="20" t="s">
        <v>1133</v>
      </c>
      <c r="B499" s="21" t="s">
        <v>1134</v>
      </c>
      <c r="C499" s="22"/>
      <c r="D499" s="23"/>
      <c r="E499" s="24" t="s">
        <v>1138</v>
      </c>
      <c r="F499" s="28" t="n">
        <f>140</f>
        <v>140.0</v>
      </c>
      <c r="G499" s="25" t="n">
        <f>3039577</f>
        <v>3039577.0</v>
      </c>
      <c r="H499" s="25" t="str">
        <f>"－"</f>
        <v>－</v>
      </c>
      <c r="I499" s="25" t="str">
        <f>"－"</f>
        <v>－</v>
      </c>
      <c r="J499" s="25" t="n">
        <f>21711</f>
        <v>21711.0</v>
      </c>
      <c r="K499" s="25" t="str">
        <f>"－"</f>
        <v>－</v>
      </c>
      <c r="L499" s="2" t="s">
        <v>267</v>
      </c>
      <c r="M499" s="26" t="n">
        <f>49730</f>
        <v>49730.0</v>
      </c>
      <c r="N499" s="3" t="s">
        <v>226</v>
      </c>
      <c r="O499" s="27" t="n">
        <f>840</f>
        <v>840.0</v>
      </c>
      <c r="P499" s="29" t="s">
        <v>1139</v>
      </c>
      <c r="Q499" s="25" t="str">
        <f>"－"</f>
        <v>－</v>
      </c>
      <c r="R499" s="29" t="s">
        <v>262</v>
      </c>
      <c r="S499" s="25" t="n">
        <f>2240984271071</f>
        <v>2.240984271071E12</v>
      </c>
      <c r="T499" s="25" t="str">
        <f>"－"</f>
        <v>－</v>
      </c>
      <c r="U499" s="3" t="s">
        <v>267</v>
      </c>
      <c r="V499" s="27" t="n">
        <f>5267263520000</f>
        <v>5.26726352E12</v>
      </c>
      <c r="W499" s="3" t="s">
        <v>226</v>
      </c>
      <c r="X499" s="27" t="n">
        <f>83773800000</f>
        <v>8.37738E10</v>
      </c>
      <c r="Y499" s="27"/>
      <c r="Z499" s="25" t="str">
        <f>"－"</f>
        <v>－</v>
      </c>
      <c r="AA499" s="25" t="n">
        <f>77385</f>
        <v>77385.0</v>
      </c>
      <c r="AB499" s="2" t="s">
        <v>932</v>
      </c>
      <c r="AC499" s="26" t="n">
        <f>94612</f>
        <v>94612.0</v>
      </c>
      <c r="AD499" s="3" t="s">
        <v>156</v>
      </c>
      <c r="AE499" s="27" t="n">
        <f>17682</f>
        <v>17682.0</v>
      </c>
    </row>
    <row r="500">
      <c r="A500" s="20" t="s">
        <v>1133</v>
      </c>
      <c r="B500" s="21" t="s">
        <v>1134</v>
      </c>
      <c r="C500" s="22"/>
      <c r="D500" s="23"/>
      <c r="E500" s="24" t="s">
        <v>1140</v>
      </c>
      <c r="F500" s="28" t="n">
        <f>139</f>
        <v>139.0</v>
      </c>
      <c r="G500" s="25" t="n">
        <f>6356252</f>
        <v>6356252.0</v>
      </c>
      <c r="H500" s="25" t="str">
        <f>"－"</f>
        <v>－</v>
      </c>
      <c r="I500" s="25" t="str">
        <f>"－"</f>
        <v>－</v>
      </c>
      <c r="J500" s="25" t="n">
        <f>45728</f>
        <v>45728.0</v>
      </c>
      <c r="K500" s="25" t="str">
        <f>"－"</f>
        <v>－</v>
      </c>
      <c r="L500" s="2" t="s">
        <v>1122</v>
      </c>
      <c r="M500" s="26" t="n">
        <f>86153</f>
        <v>86153.0</v>
      </c>
      <c r="N500" s="3" t="s">
        <v>225</v>
      </c>
      <c r="O500" s="27" t="n">
        <f>14768</f>
        <v>14768.0</v>
      </c>
      <c r="P500" s="29" t="s">
        <v>1141</v>
      </c>
      <c r="Q500" s="25" t="str">
        <f>"－"</f>
        <v>－</v>
      </c>
      <c r="R500" s="29" t="s">
        <v>262</v>
      </c>
      <c r="S500" s="25" t="n">
        <f>4746052639712</f>
        <v>4.746052639712E12</v>
      </c>
      <c r="T500" s="25" t="str">
        <f>"－"</f>
        <v>－</v>
      </c>
      <c r="U500" s="3" t="s">
        <v>1122</v>
      </c>
      <c r="V500" s="27" t="n">
        <f>9094460640000</f>
        <v>9.09446064E12</v>
      </c>
      <c r="W500" s="3" t="s">
        <v>225</v>
      </c>
      <c r="X500" s="27" t="n">
        <f>1525723750000</f>
        <v>1.52572375E12</v>
      </c>
      <c r="Y500" s="27"/>
      <c r="Z500" s="25" t="str">
        <f>"－"</f>
        <v>－</v>
      </c>
      <c r="AA500" s="25" t="n">
        <f>101055</f>
        <v>101055.0</v>
      </c>
      <c r="AB500" s="2" t="s">
        <v>1142</v>
      </c>
      <c r="AC500" s="26" t="n">
        <f>131212</f>
        <v>131212.0</v>
      </c>
      <c r="AD500" s="3" t="s">
        <v>68</v>
      </c>
      <c r="AE500" s="27" t="n">
        <f>78028</f>
        <v>78028.0</v>
      </c>
    </row>
    <row r="501">
      <c r="A501" s="20" t="s">
        <v>1133</v>
      </c>
      <c r="B501" s="21" t="s">
        <v>1134</v>
      </c>
      <c r="C501" s="22"/>
      <c r="D501" s="23"/>
      <c r="E501" s="24" t="s">
        <v>1143</v>
      </c>
      <c r="F501" s="28" t="n">
        <f>135</f>
        <v>135.0</v>
      </c>
      <c r="G501" s="25" t="n">
        <f>10591970</f>
        <v>1.059197E7</v>
      </c>
      <c r="H501" s="25" t="str">
        <f>"－"</f>
        <v>－</v>
      </c>
      <c r="I501" s="25" t="str">
        <f>"－"</f>
        <v>－</v>
      </c>
      <c r="J501" s="25" t="n">
        <f>78459</f>
        <v>78459.0</v>
      </c>
      <c r="K501" s="25" t="str">
        <f>"－"</f>
        <v>－</v>
      </c>
      <c r="L501" s="2" t="s">
        <v>290</v>
      </c>
      <c r="M501" s="26" t="n">
        <f>125956</f>
        <v>125956.0</v>
      </c>
      <c r="N501" s="3" t="s">
        <v>1144</v>
      </c>
      <c r="O501" s="27" t="n">
        <f>15985</f>
        <v>15985.0</v>
      </c>
      <c r="P501" s="29" t="s">
        <v>1145</v>
      </c>
      <c r="Q501" s="25" t="str">
        <f>"－"</f>
        <v>－</v>
      </c>
      <c r="R501" s="29" t="s">
        <v>262</v>
      </c>
      <c r="S501" s="25" t="n">
        <f>8622008357037</f>
        <v>8.622008357037E12</v>
      </c>
      <c r="T501" s="25" t="str">
        <f>"－"</f>
        <v>－</v>
      </c>
      <c r="U501" s="3" t="s">
        <v>290</v>
      </c>
      <c r="V501" s="27" t="n">
        <f>13535327180000</f>
        <v>1.353532718E13</v>
      </c>
      <c r="W501" s="3" t="s">
        <v>1144</v>
      </c>
      <c r="X501" s="27" t="n">
        <f>1842264270000</f>
        <v>1.84226427E12</v>
      </c>
      <c r="Y501" s="27"/>
      <c r="Z501" s="25" t="str">
        <f>"－"</f>
        <v>－</v>
      </c>
      <c r="AA501" s="25" t="n">
        <f>142888</f>
        <v>142888.0</v>
      </c>
      <c r="AB501" s="2" t="s">
        <v>290</v>
      </c>
      <c r="AC501" s="26" t="n">
        <f>189338</f>
        <v>189338.0</v>
      </c>
      <c r="AD501" s="3" t="s">
        <v>1146</v>
      </c>
      <c r="AE501" s="27" t="n">
        <f>101436</f>
        <v>101436.0</v>
      </c>
    </row>
    <row r="502">
      <c r="A502" s="20" t="s">
        <v>1133</v>
      </c>
      <c r="B502" s="21" t="s">
        <v>1134</v>
      </c>
      <c r="C502" s="22"/>
      <c r="D502" s="23"/>
      <c r="E502" s="24" t="s">
        <v>1147</v>
      </c>
      <c r="F502" s="28" t="n">
        <f>139</f>
        <v>139.0</v>
      </c>
      <c r="G502" s="25" t="n">
        <f>7669664</f>
        <v>7669664.0</v>
      </c>
      <c r="H502" s="25" t="str">
        <f>"－"</f>
        <v>－</v>
      </c>
      <c r="I502" s="25" t="str">
        <f>"－"</f>
        <v>－</v>
      </c>
      <c r="J502" s="25" t="n">
        <f>55177</f>
        <v>55177.0</v>
      </c>
      <c r="K502" s="25" t="str">
        <f>"－"</f>
        <v>－</v>
      </c>
      <c r="L502" s="2" t="s">
        <v>1122</v>
      </c>
      <c r="M502" s="26" t="n">
        <f>92413</f>
        <v>92413.0</v>
      </c>
      <c r="N502" s="3" t="s">
        <v>869</v>
      </c>
      <c r="O502" s="27" t="n">
        <f>22655</f>
        <v>22655.0</v>
      </c>
      <c r="P502" s="29" t="s">
        <v>1148</v>
      </c>
      <c r="Q502" s="25" t="str">
        <f>"－"</f>
        <v>－</v>
      </c>
      <c r="R502" s="29" t="s">
        <v>262</v>
      </c>
      <c r="S502" s="25" t="n">
        <f>5755517540719</f>
        <v>5.755517540719E12</v>
      </c>
      <c r="T502" s="25" t="str">
        <f>"－"</f>
        <v>－</v>
      </c>
      <c r="U502" s="3" t="s">
        <v>1122</v>
      </c>
      <c r="V502" s="27" t="n">
        <f>9820104610000</f>
        <v>9.82010461E12</v>
      </c>
      <c r="W502" s="3" t="s">
        <v>869</v>
      </c>
      <c r="X502" s="27" t="n">
        <f>2172512860000</f>
        <v>2.17251286E12</v>
      </c>
      <c r="Y502" s="27"/>
      <c r="Z502" s="25" t="str">
        <f>"－"</f>
        <v>－</v>
      </c>
      <c r="AA502" s="25" t="n">
        <f>129407</f>
        <v>129407.0</v>
      </c>
      <c r="AB502" s="2" t="s">
        <v>259</v>
      </c>
      <c r="AC502" s="26" t="n">
        <f>197649</f>
        <v>197649.0</v>
      </c>
      <c r="AD502" s="3" t="s">
        <v>128</v>
      </c>
      <c r="AE502" s="27" t="n">
        <f>118342</f>
        <v>118342.0</v>
      </c>
    </row>
    <row r="503">
      <c r="A503" s="20" t="s">
        <v>1133</v>
      </c>
      <c r="B503" s="21" t="s">
        <v>1134</v>
      </c>
      <c r="C503" s="22"/>
      <c r="D503" s="23"/>
      <c r="E503" s="24" t="s">
        <v>1149</v>
      </c>
      <c r="F503" s="28" t="n">
        <f>135</f>
        <v>135.0</v>
      </c>
      <c r="G503" s="25" t="n">
        <f>8608880</f>
        <v>8608880.0</v>
      </c>
      <c r="H503" s="25" t="str">
        <f>"－"</f>
        <v>－</v>
      </c>
      <c r="I503" s="25" t="str">
        <f>"－"</f>
        <v>－</v>
      </c>
      <c r="J503" s="25" t="n">
        <f>63769</f>
        <v>63769.0</v>
      </c>
      <c r="K503" s="25" t="str">
        <f>"－"</f>
        <v>－</v>
      </c>
      <c r="L503" s="2" t="s">
        <v>312</v>
      </c>
      <c r="M503" s="26" t="n">
        <f>106397</f>
        <v>106397.0</v>
      </c>
      <c r="N503" s="3" t="s">
        <v>479</v>
      </c>
      <c r="O503" s="27" t="n">
        <f>24937</f>
        <v>24937.0</v>
      </c>
      <c r="P503" s="29" t="s">
        <v>1150</v>
      </c>
      <c r="Q503" s="25" t="str">
        <f>"－"</f>
        <v>－</v>
      </c>
      <c r="R503" s="29" t="s">
        <v>262</v>
      </c>
      <c r="S503" s="25" t="n">
        <f>6823571197926</f>
        <v>6.823571197926E12</v>
      </c>
      <c r="T503" s="25" t="str">
        <f>"－"</f>
        <v>－</v>
      </c>
      <c r="U503" s="3" t="s">
        <v>312</v>
      </c>
      <c r="V503" s="27" t="n">
        <f>11280902260000</f>
        <v>1.128090226E13</v>
      </c>
      <c r="W503" s="3" t="s">
        <v>479</v>
      </c>
      <c r="X503" s="27" t="n">
        <f>2698980360000</f>
        <v>2.69898036E12</v>
      </c>
      <c r="Y503" s="27"/>
      <c r="Z503" s="25" t="str">
        <f>"－"</f>
        <v>－</v>
      </c>
      <c r="AA503" s="25" t="n">
        <f>141762</f>
        <v>141762.0</v>
      </c>
      <c r="AB503" s="2" t="s">
        <v>458</v>
      </c>
      <c r="AC503" s="26" t="n">
        <f>168442</f>
        <v>168442.0</v>
      </c>
      <c r="AD503" s="3" t="s">
        <v>146</v>
      </c>
      <c r="AE503" s="27" t="n">
        <f>94367</f>
        <v>94367.0</v>
      </c>
    </row>
    <row r="504">
      <c r="A504" s="20" t="s">
        <v>1133</v>
      </c>
      <c r="B504" s="21" t="s">
        <v>1134</v>
      </c>
      <c r="C504" s="22"/>
      <c r="D504" s="23"/>
      <c r="E504" s="24" t="s">
        <v>258</v>
      </c>
      <c r="F504" s="28" t="n">
        <f>138</f>
        <v>138.0</v>
      </c>
      <c r="G504" s="25" t="n">
        <f>10110892</f>
        <v>1.0110892E7</v>
      </c>
      <c r="H504" s="25" t="str">
        <f>"－"</f>
        <v>－</v>
      </c>
      <c r="I504" s="25" t="str">
        <f>"－"</f>
        <v>－</v>
      </c>
      <c r="J504" s="25" t="n">
        <f>73267</f>
        <v>73267.0</v>
      </c>
      <c r="K504" s="25" t="str">
        <f>"－"</f>
        <v>－</v>
      </c>
      <c r="L504" s="2" t="s">
        <v>806</v>
      </c>
      <c r="M504" s="26" t="n">
        <f>105521</f>
        <v>105521.0</v>
      </c>
      <c r="N504" s="3" t="s">
        <v>64</v>
      </c>
      <c r="O504" s="27" t="n">
        <f>22278</f>
        <v>22278.0</v>
      </c>
      <c r="P504" s="29" t="s">
        <v>1151</v>
      </c>
      <c r="Q504" s="25" t="str">
        <f>"－"</f>
        <v>－</v>
      </c>
      <c r="R504" s="29" t="s">
        <v>262</v>
      </c>
      <c r="S504" s="25" t="n">
        <f>7609614679130</f>
        <v>7.60961467913E12</v>
      </c>
      <c r="T504" s="25" t="str">
        <f>"－"</f>
        <v>－</v>
      </c>
      <c r="U504" s="3" t="s">
        <v>137</v>
      </c>
      <c r="V504" s="27" t="n">
        <f>11215085200000</f>
        <v>1.12150852E13</v>
      </c>
      <c r="W504" s="3" t="s">
        <v>64</v>
      </c>
      <c r="X504" s="27" t="n">
        <f>2379001790000</f>
        <v>2.37900179E12</v>
      </c>
      <c r="Y504" s="27"/>
      <c r="Z504" s="25" t="str">
        <f>"－"</f>
        <v>－</v>
      </c>
      <c r="AA504" s="25" t="n">
        <f>124766</f>
        <v>124766.0</v>
      </c>
      <c r="AB504" s="2" t="s">
        <v>1015</v>
      </c>
      <c r="AC504" s="26" t="n">
        <f>202040</f>
        <v>202040.0</v>
      </c>
      <c r="AD504" s="3" t="s">
        <v>93</v>
      </c>
      <c r="AE504" s="27" t="n">
        <f>121356</f>
        <v>121356.0</v>
      </c>
    </row>
    <row r="505">
      <c r="A505" s="20" t="s">
        <v>1133</v>
      </c>
      <c r="B505" s="21" t="s">
        <v>1134</v>
      </c>
      <c r="C505" s="22"/>
      <c r="D505" s="23"/>
      <c r="E505" s="24" t="s">
        <v>264</v>
      </c>
      <c r="F505" s="28" t="n">
        <f>123</f>
        <v>123.0</v>
      </c>
      <c r="G505" s="25" t="n">
        <f>8595919</f>
        <v>8595919.0</v>
      </c>
      <c r="H505" s="25" t="str">
        <f>"－"</f>
        <v>－</v>
      </c>
      <c r="I505" s="25" t="str">
        <f>"－"</f>
        <v>－</v>
      </c>
      <c r="J505" s="25" t="n">
        <f>69886</f>
        <v>69886.0</v>
      </c>
      <c r="K505" s="25" t="str">
        <f>"－"</f>
        <v>－</v>
      </c>
      <c r="L505" s="2" t="s">
        <v>97</v>
      </c>
      <c r="M505" s="26" t="n">
        <f>127615</f>
        <v>127615.0</v>
      </c>
      <c r="N505" s="3" t="s">
        <v>156</v>
      </c>
      <c r="O505" s="27" t="n">
        <f>25950</f>
        <v>25950.0</v>
      </c>
      <c r="P505" s="29" t="s">
        <v>1152</v>
      </c>
      <c r="Q505" s="25" t="str">
        <f>"－"</f>
        <v>－</v>
      </c>
      <c r="R505" s="29" t="s">
        <v>262</v>
      </c>
      <c r="S505" s="25" t="n">
        <f>7305104061220</f>
        <v>7.30510406122E12</v>
      </c>
      <c r="T505" s="25" t="str">
        <f>"－"</f>
        <v>－</v>
      </c>
      <c r="U505" s="3" t="s">
        <v>97</v>
      </c>
      <c r="V505" s="27" t="n">
        <f>13271500010000</f>
        <v>1.327150001E13</v>
      </c>
      <c r="W505" s="3" t="s">
        <v>156</v>
      </c>
      <c r="X505" s="27" t="n">
        <f>2765430410000</f>
        <v>2.76543041E12</v>
      </c>
      <c r="Y505" s="27"/>
      <c r="Z505" s="25" t="str">
        <f>"－"</f>
        <v>－</v>
      </c>
      <c r="AA505" s="25" t="n">
        <f>166841</f>
        <v>166841.0</v>
      </c>
      <c r="AB505" s="2" t="s">
        <v>1153</v>
      </c>
      <c r="AC505" s="26" t="n">
        <f>206046</f>
        <v>206046.0</v>
      </c>
      <c r="AD505" s="3" t="s">
        <v>156</v>
      </c>
      <c r="AE505" s="27" t="n">
        <f>125681</f>
        <v>125681.0</v>
      </c>
    </row>
    <row r="506">
      <c r="A506" s="20" t="s">
        <v>1133</v>
      </c>
      <c r="B506" s="21" t="s">
        <v>1134</v>
      </c>
      <c r="C506" s="22"/>
      <c r="D506" s="23"/>
      <c r="E506" s="24" t="s">
        <v>268</v>
      </c>
      <c r="F506" s="28" t="n">
        <f>126</f>
        <v>126.0</v>
      </c>
      <c r="G506" s="25" t="n">
        <f>10345971</f>
        <v>1.0345971E7</v>
      </c>
      <c r="H506" s="25" t="str">
        <f>"－"</f>
        <v>－</v>
      </c>
      <c r="I506" s="25" t="str">
        <f>"－"</f>
        <v>－</v>
      </c>
      <c r="J506" s="25" t="n">
        <f>82111</f>
        <v>82111.0</v>
      </c>
      <c r="K506" s="25" t="str">
        <f>"－"</f>
        <v>－</v>
      </c>
      <c r="L506" s="2" t="s">
        <v>90</v>
      </c>
      <c r="M506" s="26" t="n">
        <f>154112</f>
        <v>154112.0</v>
      </c>
      <c r="N506" s="3" t="s">
        <v>269</v>
      </c>
      <c r="O506" s="27" t="n">
        <f>22861</f>
        <v>22861.0</v>
      </c>
      <c r="P506" s="29" t="s">
        <v>1154</v>
      </c>
      <c r="Q506" s="25" t="str">
        <f>"－"</f>
        <v>－</v>
      </c>
      <c r="R506" s="29" t="s">
        <v>262</v>
      </c>
      <c r="S506" s="25" t="n">
        <f>8589267173016</f>
        <v>8.589267173016E12</v>
      </c>
      <c r="T506" s="25" t="str">
        <f>"－"</f>
        <v>－</v>
      </c>
      <c r="U506" s="3" t="s">
        <v>90</v>
      </c>
      <c r="V506" s="27" t="n">
        <f>16120769230000</f>
        <v>1.612076923E13</v>
      </c>
      <c r="W506" s="3" t="s">
        <v>269</v>
      </c>
      <c r="X506" s="27" t="n">
        <f>2356841000000</f>
        <v>2.356841E12</v>
      </c>
      <c r="Y506" s="27"/>
      <c r="Z506" s="25" t="str">
        <f>"－"</f>
        <v>－</v>
      </c>
      <c r="AA506" s="25" t="n">
        <f>182517</f>
        <v>182517.0</v>
      </c>
      <c r="AB506" s="2" t="s">
        <v>63</v>
      </c>
      <c r="AC506" s="26" t="n">
        <f>286829</f>
        <v>286829.0</v>
      </c>
      <c r="AD506" s="3" t="s">
        <v>350</v>
      </c>
      <c r="AE506" s="27" t="n">
        <f>172097</f>
        <v>172097.0</v>
      </c>
    </row>
    <row r="507">
      <c r="A507" s="20" t="s">
        <v>1133</v>
      </c>
      <c r="B507" s="21" t="s">
        <v>1134</v>
      </c>
      <c r="C507" s="22"/>
      <c r="D507" s="23"/>
      <c r="E507" s="24" t="s">
        <v>272</v>
      </c>
      <c r="F507" s="28" t="n">
        <f>121</f>
        <v>121.0</v>
      </c>
      <c r="G507" s="25" t="n">
        <f>8113684</f>
        <v>8113684.0</v>
      </c>
      <c r="H507" s="25" t="n">
        <f>950</f>
        <v>950.0</v>
      </c>
      <c r="I507" s="25" t="str">
        <f>"－"</f>
        <v>－</v>
      </c>
      <c r="J507" s="25" t="n">
        <f>67055</f>
        <v>67055.0</v>
      </c>
      <c r="K507" s="25" t="str">
        <f>"－"</f>
        <v>－</v>
      </c>
      <c r="L507" s="2" t="s">
        <v>75</v>
      </c>
      <c r="M507" s="26" t="n">
        <f>99459</f>
        <v>99459.0</v>
      </c>
      <c r="N507" s="3" t="s">
        <v>156</v>
      </c>
      <c r="O507" s="27" t="n">
        <f>33767</f>
        <v>33767.0</v>
      </c>
      <c r="P507" s="29" t="s">
        <v>1155</v>
      </c>
      <c r="Q507" s="25" t="n">
        <f>90131000000</f>
        <v>9.0131E10</v>
      </c>
      <c r="R507" s="29" t="s">
        <v>262</v>
      </c>
      <c r="S507" s="25" t="n">
        <f>6393807025620</f>
        <v>6.39380702562E12</v>
      </c>
      <c r="T507" s="25" t="str">
        <f>"－"</f>
        <v>－</v>
      </c>
      <c r="U507" s="3" t="s">
        <v>171</v>
      </c>
      <c r="V507" s="27" t="n">
        <f>9515711730000</f>
        <v>9.51571173E12</v>
      </c>
      <c r="W507" s="3" t="s">
        <v>293</v>
      </c>
      <c r="X507" s="27" t="n">
        <f>3394648050000</f>
        <v>3.39464805E12</v>
      </c>
      <c r="Y507" s="27"/>
      <c r="Z507" s="25" t="str">
        <f>"－"</f>
        <v>－</v>
      </c>
      <c r="AA507" s="25" t="n">
        <f>144393</f>
        <v>144393.0</v>
      </c>
      <c r="AB507" s="2" t="s">
        <v>552</v>
      </c>
      <c r="AC507" s="26" t="n">
        <f>209581</f>
        <v>209581.0</v>
      </c>
      <c r="AD507" s="3" t="s">
        <v>172</v>
      </c>
      <c r="AE507" s="27" t="n">
        <f>130462</f>
        <v>130462.0</v>
      </c>
    </row>
    <row r="508">
      <c r="A508" s="20" t="s">
        <v>1133</v>
      </c>
      <c r="B508" s="21" t="s">
        <v>1134</v>
      </c>
      <c r="C508" s="22"/>
      <c r="D508" s="23"/>
      <c r="E508" s="24" t="s">
        <v>276</v>
      </c>
      <c r="F508" s="28" t="n">
        <f>125</f>
        <v>125.0</v>
      </c>
      <c r="G508" s="25" t="n">
        <f>8192887</f>
        <v>8192887.0</v>
      </c>
      <c r="H508" s="25" t="n">
        <f>25406</f>
        <v>25406.0</v>
      </c>
      <c r="I508" s="25" t="str">
        <f>"－"</f>
        <v>－</v>
      </c>
      <c r="J508" s="25" t="n">
        <f>65543</f>
        <v>65543.0</v>
      </c>
      <c r="K508" s="25" t="str">
        <f>"－"</f>
        <v>－</v>
      </c>
      <c r="L508" s="2" t="s">
        <v>994</v>
      </c>
      <c r="M508" s="26" t="n">
        <f>105280</f>
        <v>105280.0</v>
      </c>
      <c r="N508" s="3" t="s">
        <v>64</v>
      </c>
      <c r="O508" s="27" t="n">
        <f>32198</f>
        <v>32198.0</v>
      </c>
      <c r="P508" s="29" t="s">
        <v>1156</v>
      </c>
      <c r="Q508" s="25" t="n">
        <f>2344817000000</f>
        <v>2.344817E12</v>
      </c>
      <c r="R508" s="29" t="s">
        <v>262</v>
      </c>
      <c r="S508" s="25" t="n">
        <f>6005431061680</f>
        <v>6.00543106168E12</v>
      </c>
      <c r="T508" s="25" t="str">
        <f>"－"</f>
        <v>－</v>
      </c>
      <c r="U508" s="3" t="s">
        <v>994</v>
      </c>
      <c r="V508" s="27" t="n">
        <f>9455529890000</f>
        <v>9.45552989E12</v>
      </c>
      <c r="W508" s="3" t="s">
        <v>64</v>
      </c>
      <c r="X508" s="27" t="n">
        <f>3074096790000</f>
        <v>3.07409679E12</v>
      </c>
      <c r="Y508" s="27"/>
      <c r="Z508" s="25" t="str">
        <f>"－"</f>
        <v>－</v>
      </c>
      <c r="AA508" s="25" t="n">
        <f>150910</f>
        <v>150910.0</v>
      </c>
      <c r="AB508" s="2" t="s">
        <v>536</v>
      </c>
      <c r="AC508" s="26" t="n">
        <f>193606</f>
        <v>193606.0</v>
      </c>
      <c r="AD508" s="3" t="s">
        <v>197</v>
      </c>
      <c r="AE508" s="27" t="n">
        <f>135397</f>
        <v>135397.0</v>
      </c>
    </row>
    <row r="509">
      <c r="A509" s="20" t="s">
        <v>1133</v>
      </c>
      <c r="B509" s="21" t="s">
        <v>1134</v>
      </c>
      <c r="C509" s="22"/>
      <c r="D509" s="23"/>
      <c r="E509" s="24" t="s">
        <v>281</v>
      </c>
      <c r="F509" s="28" t="n">
        <f>120</f>
        <v>120.0</v>
      </c>
      <c r="G509" s="25" t="n">
        <f>6508152</f>
        <v>6508152.0</v>
      </c>
      <c r="H509" s="25" t="n">
        <f>13069</f>
        <v>13069.0</v>
      </c>
      <c r="I509" s="25" t="str">
        <f>"－"</f>
        <v>－</v>
      </c>
      <c r="J509" s="25" t="n">
        <f>54235</f>
        <v>54235.0</v>
      </c>
      <c r="K509" s="25" t="str">
        <f>"－"</f>
        <v>－</v>
      </c>
      <c r="L509" s="2" t="s">
        <v>314</v>
      </c>
      <c r="M509" s="26" t="n">
        <f>117801</f>
        <v>117801.0</v>
      </c>
      <c r="N509" s="3" t="s">
        <v>156</v>
      </c>
      <c r="O509" s="27" t="n">
        <f>28185</f>
        <v>28185.0</v>
      </c>
      <c r="P509" s="29" t="s">
        <v>1157</v>
      </c>
      <c r="Q509" s="25" t="n">
        <f>1244846000000</f>
        <v>1.244846E12</v>
      </c>
      <c r="R509" s="29" t="s">
        <v>262</v>
      </c>
      <c r="S509" s="25" t="n">
        <f>5210785618167</f>
        <v>5.210785618167E12</v>
      </c>
      <c r="T509" s="25" t="str">
        <f>"－"</f>
        <v>－</v>
      </c>
      <c r="U509" s="3" t="s">
        <v>314</v>
      </c>
      <c r="V509" s="27" t="n">
        <f>11333564960000</f>
        <v>1.133356496E13</v>
      </c>
      <c r="W509" s="3" t="s">
        <v>156</v>
      </c>
      <c r="X509" s="27" t="n">
        <f>2710774230000</f>
        <v>2.71077423E12</v>
      </c>
      <c r="Y509" s="27"/>
      <c r="Z509" s="25" t="str">
        <f>"－"</f>
        <v>－</v>
      </c>
      <c r="AA509" s="25" t="n">
        <f>136143</f>
        <v>136143.0</v>
      </c>
      <c r="AB509" s="2" t="s">
        <v>185</v>
      </c>
      <c r="AC509" s="26" t="n">
        <f>189684</f>
        <v>189684.0</v>
      </c>
      <c r="AD509" s="3" t="s">
        <v>267</v>
      </c>
      <c r="AE509" s="27" t="n">
        <f>100694</f>
        <v>100694.0</v>
      </c>
    </row>
    <row r="510">
      <c r="A510" s="20" t="s">
        <v>1133</v>
      </c>
      <c r="B510" s="21" t="s">
        <v>1134</v>
      </c>
      <c r="C510" s="22"/>
      <c r="D510" s="23"/>
      <c r="E510" s="24" t="s">
        <v>284</v>
      </c>
      <c r="F510" s="28" t="n">
        <f>126</f>
        <v>126.0</v>
      </c>
      <c r="G510" s="25" t="n">
        <f>6314278</f>
        <v>6314278.0</v>
      </c>
      <c r="H510" s="25" t="n">
        <f>24144</f>
        <v>24144.0</v>
      </c>
      <c r="I510" s="25" t="str">
        <f>"－"</f>
        <v>－</v>
      </c>
      <c r="J510" s="25" t="n">
        <f>50113</f>
        <v>50113.0</v>
      </c>
      <c r="K510" s="25" t="str">
        <f>"－"</f>
        <v>－</v>
      </c>
      <c r="L510" s="2" t="s">
        <v>570</v>
      </c>
      <c r="M510" s="26" t="n">
        <f>95441</f>
        <v>95441.0</v>
      </c>
      <c r="N510" s="3" t="s">
        <v>1158</v>
      </c>
      <c r="O510" s="27" t="n">
        <f>17880</f>
        <v>17880.0</v>
      </c>
      <c r="P510" s="29" t="s">
        <v>1159</v>
      </c>
      <c r="Q510" s="25" t="n">
        <f>2350700000000</f>
        <v>2.3507E12</v>
      </c>
      <c r="R510" s="29" t="s">
        <v>262</v>
      </c>
      <c r="S510" s="25" t="n">
        <f>4953473829286</f>
        <v>4.953473829286E12</v>
      </c>
      <c r="T510" s="25" t="str">
        <f>"－"</f>
        <v>－</v>
      </c>
      <c r="U510" s="3" t="s">
        <v>570</v>
      </c>
      <c r="V510" s="27" t="n">
        <f>9321671240000</f>
        <v>9.32167124E12</v>
      </c>
      <c r="W510" s="3" t="s">
        <v>1158</v>
      </c>
      <c r="X510" s="27" t="n">
        <f>1701737540000</f>
        <v>1.70173754E12</v>
      </c>
      <c r="Y510" s="27"/>
      <c r="Z510" s="25" t="str">
        <f>"－"</f>
        <v>－</v>
      </c>
      <c r="AA510" s="25" t="n">
        <f>152699</f>
        <v>152699.0</v>
      </c>
      <c r="AB510" s="2" t="s">
        <v>1160</v>
      </c>
      <c r="AC510" s="26" t="n">
        <f>175013</f>
        <v>175013.0</v>
      </c>
      <c r="AD510" s="3" t="s">
        <v>1161</v>
      </c>
      <c r="AE510" s="27" t="n">
        <f>116997</f>
        <v>116997.0</v>
      </c>
    </row>
    <row r="511">
      <c r="A511" s="20" t="s">
        <v>1133</v>
      </c>
      <c r="B511" s="21" t="s">
        <v>1134</v>
      </c>
      <c r="C511" s="22"/>
      <c r="D511" s="23"/>
      <c r="E511" s="24" t="s">
        <v>289</v>
      </c>
      <c r="F511" s="28" t="n">
        <f>121</f>
        <v>121.0</v>
      </c>
      <c r="G511" s="25" t="n">
        <f>5749688</f>
        <v>5749688.0</v>
      </c>
      <c r="H511" s="25" t="n">
        <f>24190</f>
        <v>24190.0</v>
      </c>
      <c r="I511" s="25" t="str">
        <f>"－"</f>
        <v>－</v>
      </c>
      <c r="J511" s="25" t="n">
        <f>47518</f>
        <v>47518.0</v>
      </c>
      <c r="K511" s="25" t="str">
        <f>"－"</f>
        <v>－</v>
      </c>
      <c r="L511" s="2" t="s">
        <v>273</v>
      </c>
      <c r="M511" s="26" t="n">
        <f>86481</f>
        <v>86481.0</v>
      </c>
      <c r="N511" s="3" t="s">
        <v>525</v>
      </c>
      <c r="O511" s="27" t="n">
        <f>18467</f>
        <v>18467.0</v>
      </c>
      <c r="P511" s="29" t="s">
        <v>1162</v>
      </c>
      <c r="Q511" s="25" t="n">
        <f>2452665000000</f>
        <v>2.452665E12</v>
      </c>
      <c r="R511" s="29" t="s">
        <v>262</v>
      </c>
      <c r="S511" s="25" t="n">
        <f>4856507425537</f>
        <v>4.856507425537E12</v>
      </c>
      <c r="T511" s="25" t="str">
        <f>"－"</f>
        <v>－</v>
      </c>
      <c r="U511" s="3" t="s">
        <v>273</v>
      </c>
      <c r="V511" s="27" t="n">
        <f>8826128130000</f>
        <v>8.82612813E12</v>
      </c>
      <c r="W511" s="3" t="s">
        <v>525</v>
      </c>
      <c r="X511" s="27" t="n">
        <f>1904585330000</f>
        <v>1.90458533E12</v>
      </c>
      <c r="Y511" s="27"/>
      <c r="Z511" s="25" t="str">
        <f>"－"</f>
        <v>－</v>
      </c>
      <c r="AA511" s="25" t="n">
        <f>146993</f>
        <v>146993.0</v>
      </c>
      <c r="AB511" s="2" t="s">
        <v>236</v>
      </c>
      <c r="AC511" s="26" t="n">
        <f>194843</f>
        <v>194843.0</v>
      </c>
      <c r="AD511" s="3" t="s">
        <v>88</v>
      </c>
      <c r="AE511" s="27" t="n">
        <f>126849</f>
        <v>126849.0</v>
      </c>
    </row>
    <row r="512">
      <c r="A512" s="20" t="s">
        <v>1133</v>
      </c>
      <c r="B512" s="21" t="s">
        <v>1134</v>
      </c>
      <c r="C512" s="22"/>
      <c r="D512" s="23"/>
      <c r="E512" s="24" t="s">
        <v>294</v>
      </c>
      <c r="F512" s="28" t="n">
        <f>126</f>
        <v>126.0</v>
      </c>
      <c r="G512" s="25" t="n">
        <f>6118439</f>
        <v>6118439.0</v>
      </c>
      <c r="H512" s="25" t="n">
        <f>33311</f>
        <v>33311.0</v>
      </c>
      <c r="I512" s="25" t="str">
        <f>"－"</f>
        <v>－</v>
      </c>
      <c r="J512" s="25" t="n">
        <f>48559</f>
        <v>48559.0</v>
      </c>
      <c r="K512" s="25" t="str">
        <f>"－"</f>
        <v>－</v>
      </c>
      <c r="L512" s="2" t="s">
        <v>663</v>
      </c>
      <c r="M512" s="26" t="n">
        <f>82947</f>
        <v>82947.0</v>
      </c>
      <c r="N512" s="3" t="s">
        <v>986</v>
      </c>
      <c r="O512" s="27" t="n">
        <f>22407</f>
        <v>22407.0</v>
      </c>
      <c r="P512" s="29" t="s">
        <v>1163</v>
      </c>
      <c r="Q512" s="25" t="n">
        <f>3478433000000</f>
        <v>3.478433E12</v>
      </c>
      <c r="R512" s="29" t="s">
        <v>262</v>
      </c>
      <c r="S512" s="25" t="n">
        <f>5154155049444</f>
        <v>5.154155049444E12</v>
      </c>
      <c r="T512" s="25" t="str">
        <f>"－"</f>
        <v>－</v>
      </c>
      <c r="U512" s="3" t="s">
        <v>593</v>
      </c>
      <c r="V512" s="27" t="n">
        <f>8805772640000</f>
        <v>8.80577264E12</v>
      </c>
      <c r="W512" s="3" t="s">
        <v>986</v>
      </c>
      <c r="X512" s="27" t="n">
        <f>2323693690000</f>
        <v>2.32369369E12</v>
      </c>
      <c r="Y512" s="27"/>
      <c r="Z512" s="25" t="str">
        <f>"－"</f>
        <v>－</v>
      </c>
      <c r="AA512" s="25" t="n">
        <f>132153</f>
        <v>132153.0</v>
      </c>
      <c r="AB512" s="2" t="s">
        <v>444</v>
      </c>
      <c r="AC512" s="26" t="n">
        <f>178985</f>
        <v>178985.0</v>
      </c>
      <c r="AD512" s="3" t="s">
        <v>562</v>
      </c>
      <c r="AE512" s="27" t="n">
        <f>126933</f>
        <v>126933.0</v>
      </c>
    </row>
    <row r="513">
      <c r="A513" s="20" t="s">
        <v>1133</v>
      </c>
      <c r="B513" s="21" t="s">
        <v>1134</v>
      </c>
      <c r="C513" s="22"/>
      <c r="D513" s="23"/>
      <c r="E513" s="24" t="s">
        <v>299</v>
      </c>
      <c r="F513" s="28" t="n">
        <f>121</f>
        <v>121.0</v>
      </c>
      <c r="G513" s="25" t="n">
        <f>7221276</f>
        <v>7221276.0</v>
      </c>
      <c r="H513" s="25" t="n">
        <f>25343</f>
        <v>25343.0</v>
      </c>
      <c r="I513" s="25" t="str">
        <f>"－"</f>
        <v>－</v>
      </c>
      <c r="J513" s="25" t="n">
        <f>59680</f>
        <v>59680.0</v>
      </c>
      <c r="K513" s="25" t="str">
        <f>"－"</f>
        <v>－</v>
      </c>
      <c r="L513" s="2" t="s">
        <v>1096</v>
      </c>
      <c r="M513" s="26" t="n">
        <f>101522</f>
        <v>101522.0</v>
      </c>
      <c r="N513" s="3" t="s">
        <v>156</v>
      </c>
      <c r="O513" s="27" t="n">
        <f>18897</f>
        <v>18897.0</v>
      </c>
      <c r="P513" s="29" t="s">
        <v>1164</v>
      </c>
      <c r="Q513" s="25" t="n">
        <f>2767135000000</f>
        <v>2.767135E12</v>
      </c>
      <c r="R513" s="29" t="s">
        <v>262</v>
      </c>
      <c r="S513" s="25" t="n">
        <f>6501680954463</f>
        <v>6.501680954463E12</v>
      </c>
      <c r="T513" s="25" t="str">
        <f>"－"</f>
        <v>－</v>
      </c>
      <c r="U513" s="3" t="s">
        <v>236</v>
      </c>
      <c r="V513" s="27" t="n">
        <f>11190651260000</f>
        <v>1.119065126E13</v>
      </c>
      <c r="W513" s="3" t="s">
        <v>156</v>
      </c>
      <c r="X513" s="27" t="n">
        <f>2046657290000</f>
        <v>2.04665729E12</v>
      </c>
      <c r="Y513" s="27"/>
      <c r="Z513" s="25" t="str">
        <f>"－"</f>
        <v>－</v>
      </c>
      <c r="AA513" s="25" t="n">
        <f>151122</f>
        <v>151122.0</v>
      </c>
      <c r="AB513" s="2" t="s">
        <v>458</v>
      </c>
      <c r="AC513" s="26" t="n">
        <f>190765</f>
        <v>190765.0</v>
      </c>
      <c r="AD513" s="3" t="s">
        <v>88</v>
      </c>
      <c r="AE513" s="27" t="n">
        <f>12528</f>
        <v>12528.0</v>
      </c>
    </row>
    <row r="514">
      <c r="A514" s="20" t="s">
        <v>1133</v>
      </c>
      <c r="B514" s="21" t="s">
        <v>1134</v>
      </c>
      <c r="C514" s="22"/>
      <c r="D514" s="23"/>
      <c r="E514" s="24" t="s">
        <v>301</v>
      </c>
      <c r="F514" s="28" t="n">
        <f>125</f>
        <v>125.0</v>
      </c>
      <c r="G514" s="25" t="n">
        <f>7940883</f>
        <v>7940883.0</v>
      </c>
      <c r="H514" s="25" t="n">
        <f>49505</f>
        <v>49505.0</v>
      </c>
      <c r="I514" s="25" t="str">
        <f>"－"</f>
        <v>－</v>
      </c>
      <c r="J514" s="25" t="n">
        <f>63527</f>
        <v>63527.0</v>
      </c>
      <c r="K514" s="25" t="str">
        <f>"－"</f>
        <v>－</v>
      </c>
      <c r="L514" s="2" t="s">
        <v>318</v>
      </c>
      <c r="M514" s="26" t="n">
        <f>104421</f>
        <v>104421.0</v>
      </c>
      <c r="N514" s="3" t="s">
        <v>975</v>
      </c>
      <c r="O514" s="27" t="n">
        <f>25884</f>
        <v>25884.0</v>
      </c>
      <c r="P514" s="29" t="s">
        <v>1165</v>
      </c>
      <c r="Q514" s="25" t="n">
        <f>5511210000000</f>
        <v>5.51121E12</v>
      </c>
      <c r="R514" s="29" t="s">
        <v>262</v>
      </c>
      <c r="S514" s="25" t="n">
        <f>7177210353760</f>
        <v>7.17721035376E12</v>
      </c>
      <c r="T514" s="25" t="str">
        <f>"－"</f>
        <v>－</v>
      </c>
      <c r="U514" s="3" t="s">
        <v>318</v>
      </c>
      <c r="V514" s="27" t="n">
        <f>12044489500000</f>
        <v>1.20444895E13</v>
      </c>
      <c r="W514" s="3" t="s">
        <v>975</v>
      </c>
      <c r="X514" s="27" t="n">
        <f>2890525390000</f>
        <v>2.89052539E12</v>
      </c>
      <c r="Y514" s="27"/>
      <c r="Z514" s="25" t="str">
        <f>"－"</f>
        <v>－</v>
      </c>
      <c r="AA514" s="25" t="n">
        <f>151542</f>
        <v>151542.0</v>
      </c>
      <c r="AB514" s="2" t="s">
        <v>339</v>
      </c>
      <c r="AC514" s="26" t="n">
        <f>207261</f>
        <v>207261.0</v>
      </c>
      <c r="AD514" s="3" t="s">
        <v>1166</v>
      </c>
      <c r="AE514" s="27" t="n">
        <f>140676</f>
        <v>140676.0</v>
      </c>
    </row>
    <row r="515">
      <c r="A515" s="20" t="s">
        <v>1133</v>
      </c>
      <c r="B515" s="21" t="s">
        <v>1134</v>
      </c>
      <c r="C515" s="22"/>
      <c r="D515" s="23"/>
      <c r="E515" s="24" t="s">
        <v>304</v>
      </c>
      <c r="F515" s="28" t="n">
        <f>122</f>
        <v>122.0</v>
      </c>
      <c r="G515" s="25" t="n">
        <f>6979535</f>
        <v>6979535.0</v>
      </c>
      <c r="H515" s="25" t="n">
        <f>33521</f>
        <v>33521.0</v>
      </c>
      <c r="I515" s="25" t="str">
        <f>"－"</f>
        <v>－</v>
      </c>
      <c r="J515" s="25" t="n">
        <f>57209</f>
        <v>57209.0</v>
      </c>
      <c r="K515" s="25" t="str">
        <f>"－"</f>
        <v>－</v>
      </c>
      <c r="L515" s="2" t="s">
        <v>963</v>
      </c>
      <c r="M515" s="26" t="n">
        <f>108408</f>
        <v>108408.0</v>
      </c>
      <c r="N515" s="3" t="s">
        <v>156</v>
      </c>
      <c r="O515" s="27" t="n">
        <f>24790</f>
        <v>24790.0</v>
      </c>
      <c r="P515" s="29" t="s">
        <v>1167</v>
      </c>
      <c r="Q515" s="25" t="n">
        <f>3830235000000</f>
        <v>3.830235E12</v>
      </c>
      <c r="R515" s="29" t="s">
        <v>262</v>
      </c>
      <c r="S515" s="25" t="n">
        <f>6441214167787</f>
        <v>6.441214167787E12</v>
      </c>
      <c r="T515" s="25" t="str">
        <f>"－"</f>
        <v>－</v>
      </c>
      <c r="U515" s="3" t="s">
        <v>963</v>
      </c>
      <c r="V515" s="27" t="n">
        <f>12151671620000</f>
        <v>1.215167162E13</v>
      </c>
      <c r="W515" s="3" t="s">
        <v>156</v>
      </c>
      <c r="X515" s="27" t="n">
        <f>2906063840000</f>
        <v>2.90606384E12</v>
      </c>
      <c r="Y515" s="27"/>
      <c r="Z515" s="25" t="str">
        <f>"－"</f>
        <v>－</v>
      </c>
      <c r="AA515" s="25" t="n">
        <f>177946</f>
        <v>177946.0</v>
      </c>
      <c r="AB515" s="2" t="s">
        <v>205</v>
      </c>
      <c r="AC515" s="26" t="n">
        <f>194250</f>
        <v>194250.0</v>
      </c>
      <c r="AD515" s="3" t="s">
        <v>1168</v>
      </c>
      <c r="AE515" s="27" t="n">
        <f>137660</f>
        <v>137660.0</v>
      </c>
    </row>
    <row r="516">
      <c r="A516" s="20" t="s">
        <v>1133</v>
      </c>
      <c r="B516" s="21" t="s">
        <v>1134</v>
      </c>
      <c r="C516" s="22"/>
      <c r="D516" s="23"/>
      <c r="E516" s="24" t="s">
        <v>308</v>
      </c>
      <c r="F516" s="28" t="n">
        <f>125</f>
        <v>125.0</v>
      </c>
      <c r="G516" s="25" t="n">
        <f>6020163</f>
        <v>6020163.0</v>
      </c>
      <c r="H516" s="25" t="n">
        <f>19335</f>
        <v>19335.0</v>
      </c>
      <c r="I516" s="25" t="str">
        <f>"－"</f>
        <v>－</v>
      </c>
      <c r="J516" s="25" t="n">
        <f>48161</f>
        <v>48161.0</v>
      </c>
      <c r="K516" s="25" t="str">
        <f>"－"</f>
        <v>－</v>
      </c>
      <c r="L516" s="2" t="s">
        <v>593</v>
      </c>
      <c r="M516" s="26" t="n">
        <f>94282</f>
        <v>94282.0</v>
      </c>
      <c r="N516" s="3" t="s">
        <v>129</v>
      </c>
      <c r="O516" s="27" t="n">
        <f>19481</f>
        <v>19481.0</v>
      </c>
      <c r="P516" s="29" t="s">
        <v>1169</v>
      </c>
      <c r="Q516" s="25" t="n">
        <f>2110086000000</f>
        <v>2.110086E12</v>
      </c>
      <c r="R516" s="29" t="s">
        <v>262</v>
      </c>
      <c r="S516" s="25" t="n">
        <f>5201874741520</f>
        <v>5.20187474152E12</v>
      </c>
      <c r="T516" s="25" t="str">
        <f>"－"</f>
        <v>－</v>
      </c>
      <c r="U516" s="3" t="s">
        <v>593</v>
      </c>
      <c r="V516" s="27" t="n">
        <f>10226070590000</f>
        <v>1.022607059E13</v>
      </c>
      <c r="W516" s="3" t="s">
        <v>129</v>
      </c>
      <c r="X516" s="27" t="n">
        <f>2116476690000</f>
        <v>2.11647669E12</v>
      </c>
      <c r="Y516" s="27"/>
      <c r="Z516" s="25" t="str">
        <f>"－"</f>
        <v>－</v>
      </c>
      <c r="AA516" s="25" t="n">
        <f>162146</f>
        <v>162146.0</v>
      </c>
      <c r="AB516" s="2" t="s">
        <v>705</v>
      </c>
      <c r="AC516" s="26" t="n">
        <f>232711</f>
        <v>232711.0</v>
      </c>
      <c r="AD516" s="3" t="s">
        <v>77</v>
      </c>
      <c r="AE516" s="27" t="n">
        <f>153406</f>
        <v>153406.0</v>
      </c>
    </row>
    <row r="517">
      <c r="A517" s="20" t="s">
        <v>1133</v>
      </c>
      <c r="B517" s="21" t="s">
        <v>1134</v>
      </c>
      <c r="C517" s="22"/>
      <c r="D517" s="23"/>
      <c r="E517" s="24" t="s">
        <v>311</v>
      </c>
      <c r="F517" s="28" t="n">
        <f>123</f>
        <v>123.0</v>
      </c>
      <c r="G517" s="25" t="n">
        <f>7315762</f>
        <v>7315762.0</v>
      </c>
      <c r="H517" s="25" t="n">
        <f>60463</f>
        <v>60463.0</v>
      </c>
      <c r="I517" s="25" t="str">
        <f>"－"</f>
        <v>－</v>
      </c>
      <c r="J517" s="25" t="n">
        <f>59478</f>
        <v>59478.0</v>
      </c>
      <c r="K517" s="25" t="str">
        <f>"－"</f>
        <v>－</v>
      </c>
      <c r="L517" s="2" t="s">
        <v>754</v>
      </c>
      <c r="M517" s="26" t="n">
        <f>111138</f>
        <v>111138.0</v>
      </c>
      <c r="N517" s="3" t="s">
        <v>171</v>
      </c>
      <c r="O517" s="27" t="n">
        <f>28267</f>
        <v>28267.0</v>
      </c>
      <c r="P517" s="29" t="s">
        <v>1170</v>
      </c>
      <c r="Q517" s="25" t="n">
        <f>6783006000000</f>
        <v>6.783006E12</v>
      </c>
      <c r="R517" s="29" t="s">
        <v>262</v>
      </c>
      <c r="S517" s="25" t="n">
        <f>6776142286829</f>
        <v>6.776142286829E12</v>
      </c>
      <c r="T517" s="25" t="str">
        <f>"－"</f>
        <v>－</v>
      </c>
      <c r="U517" s="3" t="s">
        <v>754</v>
      </c>
      <c r="V517" s="27" t="n">
        <f>13256248920000</f>
        <v>1.325624892E13</v>
      </c>
      <c r="W517" s="3" t="s">
        <v>171</v>
      </c>
      <c r="X517" s="27" t="n">
        <f>3043736390000</f>
        <v>3.04373639E12</v>
      </c>
      <c r="Y517" s="27"/>
      <c r="Z517" s="25" t="str">
        <f>"－"</f>
        <v>－</v>
      </c>
      <c r="AA517" s="25" t="n">
        <f>160725</f>
        <v>160725.0</v>
      </c>
      <c r="AB517" s="2" t="s">
        <v>1171</v>
      </c>
      <c r="AC517" s="26" t="n">
        <f>266994</f>
        <v>266994.0</v>
      </c>
      <c r="AD517" s="3" t="s">
        <v>414</v>
      </c>
      <c r="AE517" s="27" t="n">
        <f>144027</f>
        <v>144027.0</v>
      </c>
    </row>
    <row r="518">
      <c r="A518" s="20" t="s">
        <v>1133</v>
      </c>
      <c r="B518" s="21" t="s">
        <v>1134</v>
      </c>
      <c r="C518" s="22"/>
      <c r="D518" s="23"/>
      <c r="E518" s="24" t="s">
        <v>317</v>
      </c>
      <c r="F518" s="28" t="n">
        <f>126</f>
        <v>126.0</v>
      </c>
      <c r="G518" s="25" t="n">
        <f>6694612</f>
        <v>6694612.0</v>
      </c>
      <c r="H518" s="25" t="n">
        <f>31120</f>
        <v>31120.0</v>
      </c>
      <c r="I518" s="25" t="str">
        <f>"－"</f>
        <v>－</v>
      </c>
      <c r="J518" s="25" t="n">
        <f>53132</f>
        <v>53132.0</v>
      </c>
      <c r="K518" s="25" t="str">
        <f>"－"</f>
        <v>－</v>
      </c>
      <c r="L518" s="2" t="s">
        <v>806</v>
      </c>
      <c r="M518" s="26" t="n">
        <f>95755</f>
        <v>95755.0</v>
      </c>
      <c r="N518" s="3" t="s">
        <v>269</v>
      </c>
      <c r="O518" s="27" t="n">
        <f>18420</f>
        <v>18420.0</v>
      </c>
      <c r="P518" s="29" t="s">
        <v>1172</v>
      </c>
      <c r="Q518" s="25" t="n">
        <f>3725211000000</f>
        <v>3.725211E12</v>
      </c>
      <c r="R518" s="29" t="s">
        <v>262</v>
      </c>
      <c r="S518" s="25" t="n">
        <f>6384728183254</f>
        <v>6.384728183254E12</v>
      </c>
      <c r="T518" s="25" t="str">
        <f>"－"</f>
        <v>－</v>
      </c>
      <c r="U518" s="3" t="s">
        <v>806</v>
      </c>
      <c r="V518" s="27" t="n">
        <f>11278846110000</f>
        <v>1.127884611E13</v>
      </c>
      <c r="W518" s="3" t="s">
        <v>269</v>
      </c>
      <c r="X518" s="27" t="n">
        <f>2204939520000</f>
        <v>2.20493952E12</v>
      </c>
      <c r="Y518" s="27"/>
      <c r="Z518" s="25" t="str">
        <f>"－"</f>
        <v>－</v>
      </c>
      <c r="AA518" s="25" t="n">
        <f>183009</f>
        <v>183009.0</v>
      </c>
      <c r="AB518" s="2" t="s">
        <v>373</v>
      </c>
      <c r="AC518" s="26" t="n">
        <f>236500</f>
        <v>236500.0</v>
      </c>
      <c r="AD518" s="3" t="s">
        <v>254</v>
      </c>
      <c r="AE518" s="27" t="n">
        <f>157082</f>
        <v>157082.0</v>
      </c>
    </row>
    <row r="519">
      <c r="A519" s="20" t="s">
        <v>1133</v>
      </c>
      <c r="B519" s="21" t="s">
        <v>1134</v>
      </c>
      <c r="C519" s="22"/>
      <c r="D519" s="23"/>
      <c r="E519" s="24" t="s">
        <v>322</v>
      </c>
      <c r="F519" s="28" t="n">
        <f>121</f>
        <v>121.0</v>
      </c>
      <c r="G519" s="25" t="n">
        <f>6013592</f>
        <v>6013592.0</v>
      </c>
      <c r="H519" s="25" t="n">
        <f>23752</f>
        <v>23752.0</v>
      </c>
      <c r="I519" s="25" t="str">
        <f>"－"</f>
        <v>－</v>
      </c>
      <c r="J519" s="25" t="n">
        <f>49699</f>
        <v>49699.0</v>
      </c>
      <c r="K519" s="25" t="str">
        <f>"－"</f>
        <v>－</v>
      </c>
      <c r="L519" s="2" t="s">
        <v>185</v>
      </c>
      <c r="M519" s="26" t="n">
        <f>95124</f>
        <v>95124.0</v>
      </c>
      <c r="N519" s="3" t="s">
        <v>85</v>
      </c>
      <c r="O519" s="27" t="n">
        <f>21987</f>
        <v>21987.0</v>
      </c>
      <c r="P519" s="29" t="s">
        <v>1173</v>
      </c>
      <c r="Q519" s="25" t="n">
        <f>2836339000000</f>
        <v>2.836339E12</v>
      </c>
      <c r="R519" s="29" t="s">
        <v>262</v>
      </c>
      <c r="S519" s="25" t="n">
        <f>5901792106942</f>
        <v>5.901792106942E12</v>
      </c>
      <c r="T519" s="25" t="str">
        <f>"－"</f>
        <v>－</v>
      </c>
      <c r="U519" s="3" t="s">
        <v>185</v>
      </c>
      <c r="V519" s="27" t="n">
        <f>11178203290000</f>
        <v>1.117820329E13</v>
      </c>
      <c r="W519" s="3" t="s">
        <v>85</v>
      </c>
      <c r="X519" s="27" t="n">
        <f>2606286150000</f>
        <v>2.60628615E12</v>
      </c>
      <c r="Y519" s="27"/>
      <c r="Z519" s="25" t="str">
        <f>"－"</f>
        <v>－</v>
      </c>
      <c r="AA519" s="25" t="n">
        <f>187467</f>
        <v>187467.0</v>
      </c>
      <c r="AB519" s="2" t="s">
        <v>226</v>
      </c>
      <c r="AC519" s="26" t="n">
        <f>227504</f>
        <v>227504.0</v>
      </c>
      <c r="AD519" s="3" t="s">
        <v>482</v>
      </c>
      <c r="AE519" s="27" t="n">
        <f>163236</f>
        <v>163236.0</v>
      </c>
    </row>
    <row r="520">
      <c r="A520" s="20" t="s">
        <v>1133</v>
      </c>
      <c r="B520" s="21" t="s">
        <v>1134</v>
      </c>
      <c r="C520" s="22"/>
      <c r="D520" s="23"/>
      <c r="E520" s="24" t="s">
        <v>325</v>
      </c>
      <c r="F520" s="28" t="n">
        <f>126</f>
        <v>126.0</v>
      </c>
      <c r="G520" s="25" t="n">
        <f>6437333</f>
        <v>6437333.0</v>
      </c>
      <c r="H520" s="25" t="n">
        <f>52195</f>
        <v>52195.0</v>
      </c>
      <c r="I520" s="25" t="str">
        <f>"－"</f>
        <v>－</v>
      </c>
      <c r="J520" s="25" t="n">
        <f>51090</f>
        <v>51090.0</v>
      </c>
      <c r="K520" s="25" t="str">
        <f>"－"</f>
        <v>－</v>
      </c>
      <c r="L520" s="2" t="s">
        <v>259</v>
      </c>
      <c r="M520" s="26" t="n">
        <f>109655</f>
        <v>109655.0</v>
      </c>
      <c r="N520" s="3" t="s">
        <v>129</v>
      </c>
      <c r="O520" s="27" t="n">
        <f>19969</f>
        <v>19969.0</v>
      </c>
      <c r="P520" s="29" t="s">
        <v>1174</v>
      </c>
      <c r="Q520" s="25" t="n">
        <f>6337973000000</f>
        <v>6.337973E12</v>
      </c>
      <c r="R520" s="29" t="s">
        <v>262</v>
      </c>
      <c r="S520" s="25" t="n">
        <f>6255927386032</f>
        <v>6.255927386032E12</v>
      </c>
      <c r="T520" s="25" t="str">
        <f>"－"</f>
        <v>－</v>
      </c>
      <c r="U520" s="3" t="s">
        <v>259</v>
      </c>
      <c r="V520" s="27" t="n">
        <f>13299644950000</f>
        <v>1.329964495E13</v>
      </c>
      <c r="W520" s="3" t="s">
        <v>129</v>
      </c>
      <c r="X520" s="27" t="n">
        <f>2479055740000</f>
        <v>2.47905574E12</v>
      </c>
      <c r="Y520" s="27"/>
      <c r="Z520" s="25" t="str">
        <f>"－"</f>
        <v>－</v>
      </c>
      <c r="AA520" s="25" t="n">
        <f>165740</f>
        <v>165740.0</v>
      </c>
      <c r="AB520" s="2" t="s">
        <v>80</v>
      </c>
      <c r="AC520" s="26" t="n">
        <f>293220</f>
        <v>293220.0</v>
      </c>
      <c r="AD520" s="3" t="s">
        <v>81</v>
      </c>
      <c r="AE520" s="27" t="n">
        <f>132137</f>
        <v>132137.0</v>
      </c>
    </row>
    <row r="521">
      <c r="A521" s="20" t="s">
        <v>1133</v>
      </c>
      <c r="B521" s="21" t="s">
        <v>1134</v>
      </c>
      <c r="C521" s="22"/>
      <c r="D521" s="23"/>
      <c r="E521" s="24" t="s">
        <v>327</v>
      </c>
      <c r="F521" s="28" t="n">
        <f>121</f>
        <v>121.0</v>
      </c>
      <c r="G521" s="25" t="n">
        <f>6307733</f>
        <v>6307733.0</v>
      </c>
      <c r="H521" s="25" t="n">
        <f>26600</f>
        <v>26600.0</v>
      </c>
      <c r="I521" s="25" t="str">
        <f>"－"</f>
        <v>－</v>
      </c>
      <c r="J521" s="25" t="n">
        <f>52130</f>
        <v>52130.0</v>
      </c>
      <c r="K521" s="25" t="str">
        <f>"－"</f>
        <v>－</v>
      </c>
      <c r="L521" s="2" t="s">
        <v>751</v>
      </c>
      <c r="M521" s="26" t="n">
        <f>95112</f>
        <v>95112.0</v>
      </c>
      <c r="N521" s="3" t="s">
        <v>328</v>
      </c>
      <c r="O521" s="27" t="n">
        <f>15232</f>
        <v>15232.0</v>
      </c>
      <c r="P521" s="29" t="s">
        <v>1175</v>
      </c>
      <c r="Q521" s="25" t="n">
        <f>3325208000000</f>
        <v>3.325208E12</v>
      </c>
      <c r="R521" s="29" t="s">
        <v>262</v>
      </c>
      <c r="S521" s="25" t="n">
        <f>6521362716694</f>
        <v>6.521362716694E12</v>
      </c>
      <c r="T521" s="25" t="str">
        <f>"－"</f>
        <v>－</v>
      </c>
      <c r="U521" s="3" t="s">
        <v>751</v>
      </c>
      <c r="V521" s="27" t="n">
        <f>11921098360000</f>
        <v>1.192109836E13</v>
      </c>
      <c r="W521" s="3" t="s">
        <v>328</v>
      </c>
      <c r="X521" s="27" t="n">
        <f>1885027310000</f>
        <v>1.88502731E12</v>
      </c>
      <c r="Y521" s="27"/>
      <c r="Z521" s="25" t="str">
        <f>"－"</f>
        <v>－</v>
      </c>
      <c r="AA521" s="25" t="n">
        <f>143857</f>
        <v>143857.0</v>
      </c>
      <c r="AB521" s="2" t="s">
        <v>236</v>
      </c>
      <c r="AC521" s="26" t="n">
        <f>235149</f>
        <v>235149.0</v>
      </c>
      <c r="AD521" s="3" t="s">
        <v>414</v>
      </c>
      <c r="AE521" s="27" t="n">
        <f>138773</f>
        <v>138773.0</v>
      </c>
    </row>
    <row r="522">
      <c r="A522" s="20" t="s">
        <v>1133</v>
      </c>
      <c r="B522" s="21" t="s">
        <v>1134</v>
      </c>
      <c r="C522" s="22"/>
      <c r="D522" s="23"/>
      <c r="E522" s="24" t="s">
        <v>330</v>
      </c>
      <c r="F522" s="28" t="n">
        <f>124</f>
        <v>124.0</v>
      </c>
      <c r="G522" s="25" t="n">
        <f>5565816</f>
        <v>5565816.0</v>
      </c>
      <c r="H522" s="25" t="n">
        <f>47945</f>
        <v>47945.0</v>
      </c>
      <c r="I522" s="25" t="str">
        <f>"－"</f>
        <v>－</v>
      </c>
      <c r="J522" s="25" t="n">
        <f>44886</f>
        <v>44886.0</v>
      </c>
      <c r="K522" s="25" t="str">
        <f>"－"</f>
        <v>－</v>
      </c>
      <c r="L522" s="2" t="s">
        <v>259</v>
      </c>
      <c r="M522" s="26" t="n">
        <f>98586</f>
        <v>98586.0</v>
      </c>
      <c r="N522" s="3" t="s">
        <v>50</v>
      </c>
      <c r="O522" s="27" t="n">
        <f>10381</f>
        <v>10381.0</v>
      </c>
      <c r="P522" s="29" t="s">
        <v>1176</v>
      </c>
      <c r="Q522" s="25" t="n">
        <f>6097295000000</f>
        <v>6.097295E12</v>
      </c>
      <c r="R522" s="29" t="s">
        <v>262</v>
      </c>
      <c r="S522" s="25" t="n">
        <f>5756470102016</f>
        <v>5.756470102016E12</v>
      </c>
      <c r="T522" s="25" t="str">
        <f>"－"</f>
        <v>－</v>
      </c>
      <c r="U522" s="3" t="s">
        <v>259</v>
      </c>
      <c r="V522" s="27" t="n">
        <f>12542373380000</f>
        <v>1.254237338E13</v>
      </c>
      <c r="W522" s="3" t="s">
        <v>50</v>
      </c>
      <c r="X522" s="27" t="n">
        <f>1347656870000</f>
        <v>1.34765687E12</v>
      </c>
      <c r="Y522" s="27"/>
      <c r="Z522" s="25" t="str">
        <f>"－"</f>
        <v>－</v>
      </c>
      <c r="AA522" s="25" t="n">
        <f>149029</f>
        <v>149029.0</v>
      </c>
      <c r="AB522" s="2" t="s">
        <v>614</v>
      </c>
      <c r="AC522" s="26" t="n">
        <f>207411</f>
        <v>207411.0</v>
      </c>
      <c r="AD522" s="3" t="s">
        <v>81</v>
      </c>
      <c r="AE522" s="27" t="n">
        <f>132915</f>
        <v>132915.0</v>
      </c>
    </row>
    <row r="523">
      <c r="A523" s="20" t="s">
        <v>1133</v>
      </c>
      <c r="B523" s="21" t="s">
        <v>1134</v>
      </c>
      <c r="C523" s="22"/>
      <c r="D523" s="23"/>
      <c r="E523" s="24" t="s">
        <v>336</v>
      </c>
      <c r="F523" s="28" t="n">
        <f>122</f>
        <v>122.0</v>
      </c>
      <c r="G523" s="25" t="n">
        <f>5321168</f>
        <v>5321168.0</v>
      </c>
      <c r="H523" s="25" t="n">
        <f>47216</f>
        <v>47216.0</v>
      </c>
      <c r="I523" s="25" t="str">
        <f>"－"</f>
        <v>－</v>
      </c>
      <c r="J523" s="25" t="n">
        <f>43616</f>
        <v>43616.0</v>
      </c>
      <c r="K523" s="25" t="str">
        <f>"－"</f>
        <v>－</v>
      </c>
      <c r="L523" s="2" t="s">
        <v>204</v>
      </c>
      <c r="M523" s="26" t="n">
        <f>94073</f>
        <v>94073.0</v>
      </c>
      <c r="N523" s="3" t="s">
        <v>378</v>
      </c>
      <c r="O523" s="27" t="n">
        <f>20782</f>
        <v>20782.0</v>
      </c>
      <c r="P523" s="29" t="s">
        <v>1177</v>
      </c>
      <c r="Q523" s="25" t="n">
        <f>6180025000000</f>
        <v>6.180025E12</v>
      </c>
      <c r="R523" s="29" t="s">
        <v>262</v>
      </c>
      <c r="S523" s="25" t="n">
        <f>5722627011393</f>
        <v>5.722627011393E12</v>
      </c>
      <c r="T523" s="25" t="str">
        <f>"－"</f>
        <v>－</v>
      </c>
      <c r="U523" s="3" t="s">
        <v>204</v>
      </c>
      <c r="V523" s="27" t="n">
        <f>12612256840000</f>
        <v>1.261225684E13</v>
      </c>
      <c r="W523" s="3" t="s">
        <v>378</v>
      </c>
      <c r="X523" s="27" t="n">
        <f>2716195800000</f>
        <v>2.7161958E12</v>
      </c>
      <c r="Y523" s="27"/>
      <c r="Z523" s="25" t="str">
        <f>"－"</f>
        <v>－</v>
      </c>
      <c r="AA523" s="25" t="n">
        <f>179278</f>
        <v>179278.0</v>
      </c>
      <c r="AB523" s="2" t="s">
        <v>981</v>
      </c>
      <c r="AC523" s="26" t="n">
        <f>225941</f>
        <v>225941.0</v>
      </c>
      <c r="AD523" s="3" t="s">
        <v>346</v>
      </c>
      <c r="AE523" s="27" t="n">
        <f>138021</f>
        <v>138021.0</v>
      </c>
    </row>
    <row r="524">
      <c r="A524" s="20" t="s">
        <v>1133</v>
      </c>
      <c r="B524" s="21" t="s">
        <v>1134</v>
      </c>
      <c r="C524" s="22"/>
      <c r="D524" s="23"/>
      <c r="E524" s="24" t="s">
        <v>338</v>
      </c>
      <c r="F524" s="28" t="n">
        <f>125</f>
        <v>125.0</v>
      </c>
      <c r="G524" s="25" t="n">
        <f>5463798</f>
        <v>5463798.0</v>
      </c>
      <c r="H524" s="25" t="n">
        <f>68683</f>
        <v>68683.0</v>
      </c>
      <c r="I524" s="25" t="str">
        <f>"－"</f>
        <v>－</v>
      </c>
      <c r="J524" s="25" t="n">
        <f>43710</f>
        <v>43710.0</v>
      </c>
      <c r="K524" s="25" t="str">
        <f>"－"</f>
        <v>－</v>
      </c>
      <c r="L524" s="2" t="s">
        <v>735</v>
      </c>
      <c r="M524" s="26" t="n">
        <f>121109</f>
        <v>121109.0</v>
      </c>
      <c r="N524" s="3" t="s">
        <v>181</v>
      </c>
      <c r="O524" s="27" t="n">
        <f>11766</f>
        <v>11766.0</v>
      </c>
      <c r="P524" s="29" t="s">
        <v>1178</v>
      </c>
      <c r="Q524" s="25" t="n">
        <f>9286722000000</f>
        <v>9.286722E12</v>
      </c>
      <c r="R524" s="29" t="s">
        <v>262</v>
      </c>
      <c r="S524" s="25" t="n">
        <f>5925982410800</f>
        <v>5.9259824108E12</v>
      </c>
      <c r="T524" s="25" t="str">
        <f>"－"</f>
        <v>－</v>
      </c>
      <c r="U524" s="3" t="s">
        <v>735</v>
      </c>
      <c r="V524" s="27" t="n">
        <f>16341449190000</f>
        <v>1.634144919E13</v>
      </c>
      <c r="W524" s="3" t="s">
        <v>181</v>
      </c>
      <c r="X524" s="27" t="n">
        <f>1629697760000</f>
        <v>1.62969776E12</v>
      </c>
      <c r="Y524" s="27"/>
      <c r="Z524" s="25" t="str">
        <f>"－"</f>
        <v>－</v>
      </c>
      <c r="AA524" s="25" t="n">
        <f>158798</f>
        <v>158798.0</v>
      </c>
      <c r="AB524" s="2" t="s">
        <v>521</v>
      </c>
      <c r="AC524" s="26" t="n">
        <f>231803</f>
        <v>231803.0</v>
      </c>
      <c r="AD524" s="3" t="s">
        <v>81</v>
      </c>
      <c r="AE524" s="27" t="n">
        <f>105579</f>
        <v>105579.0</v>
      </c>
    </row>
    <row r="525">
      <c r="A525" s="20" t="s">
        <v>1133</v>
      </c>
      <c r="B525" s="21" t="s">
        <v>1134</v>
      </c>
      <c r="C525" s="22"/>
      <c r="D525" s="23"/>
      <c r="E525" s="24" t="s">
        <v>342</v>
      </c>
      <c r="F525" s="28" t="n">
        <f>121</f>
        <v>121.0</v>
      </c>
      <c r="G525" s="25" t="n">
        <f>5540408</f>
        <v>5540408.0</v>
      </c>
      <c r="H525" s="25" t="n">
        <f>58375</f>
        <v>58375.0</v>
      </c>
      <c r="I525" s="25" t="str">
        <f>"－"</f>
        <v>－</v>
      </c>
      <c r="J525" s="25" t="n">
        <f>45788</f>
        <v>45788.0</v>
      </c>
      <c r="K525" s="25" t="str">
        <f>"－"</f>
        <v>－</v>
      </c>
      <c r="L525" s="2" t="s">
        <v>849</v>
      </c>
      <c r="M525" s="26" t="n">
        <f>97054</f>
        <v>97054.0</v>
      </c>
      <c r="N525" s="3" t="s">
        <v>1179</v>
      </c>
      <c r="O525" s="27" t="n">
        <f>13527</f>
        <v>13527.0</v>
      </c>
      <c r="P525" s="29" t="s">
        <v>1180</v>
      </c>
      <c r="Q525" s="25" t="n">
        <f>7745465500000</f>
        <v>7.7454655E12</v>
      </c>
      <c r="R525" s="29" t="s">
        <v>262</v>
      </c>
      <c r="S525" s="25" t="n">
        <f>6061641995455</f>
        <v>6.061641995455E12</v>
      </c>
      <c r="T525" s="25" t="str">
        <f>"－"</f>
        <v>－</v>
      </c>
      <c r="U525" s="3" t="s">
        <v>849</v>
      </c>
      <c r="V525" s="27" t="n">
        <f>12978599180000</f>
        <v>1.297859918E13</v>
      </c>
      <c r="W525" s="3" t="s">
        <v>1179</v>
      </c>
      <c r="X525" s="27" t="n">
        <f>1779821520000</f>
        <v>1.77982152E12</v>
      </c>
      <c r="Y525" s="27"/>
      <c r="Z525" s="25" t="str">
        <f>"－"</f>
        <v>－</v>
      </c>
      <c r="AA525" s="25" t="n">
        <f>168182</f>
        <v>168182.0</v>
      </c>
      <c r="AB525" s="2" t="s">
        <v>634</v>
      </c>
      <c r="AC525" s="26" t="n">
        <f>229521</f>
        <v>229521.0</v>
      </c>
      <c r="AD525" s="3" t="s">
        <v>56</v>
      </c>
      <c r="AE525" s="27" t="n">
        <f>106044</f>
        <v>106044.0</v>
      </c>
    </row>
    <row r="526">
      <c r="A526" s="20" t="s">
        <v>1133</v>
      </c>
      <c r="B526" s="21" t="s">
        <v>1134</v>
      </c>
      <c r="C526" s="22"/>
      <c r="D526" s="23"/>
      <c r="E526" s="24" t="s">
        <v>347</v>
      </c>
      <c r="F526" s="28" t="n">
        <f>124</f>
        <v>124.0</v>
      </c>
      <c r="G526" s="25" t="n">
        <f>4187447</f>
        <v>4187447.0</v>
      </c>
      <c r="H526" s="25" t="n">
        <f>11546</f>
        <v>11546.0</v>
      </c>
      <c r="I526" s="25" t="str">
        <f>"－"</f>
        <v>－</v>
      </c>
      <c r="J526" s="25" t="n">
        <f>33770</f>
        <v>33770.0</v>
      </c>
      <c r="K526" s="25" t="str">
        <f>"－"</f>
        <v>－</v>
      </c>
      <c r="L526" s="2" t="s">
        <v>945</v>
      </c>
      <c r="M526" s="26" t="n">
        <f>64721</f>
        <v>64721.0</v>
      </c>
      <c r="N526" s="3" t="s">
        <v>129</v>
      </c>
      <c r="O526" s="27" t="n">
        <f>3779</f>
        <v>3779.0</v>
      </c>
      <c r="P526" s="29" t="s">
        <v>1181</v>
      </c>
      <c r="Q526" s="25" t="n">
        <f>1524810500000</f>
        <v>1.5248105E12</v>
      </c>
      <c r="R526" s="29" t="s">
        <v>262</v>
      </c>
      <c r="S526" s="25" t="n">
        <f>4414304287177</f>
        <v>4.414304287177E12</v>
      </c>
      <c r="T526" s="25" t="str">
        <f>"－"</f>
        <v>－</v>
      </c>
      <c r="U526" s="3" t="s">
        <v>945</v>
      </c>
      <c r="V526" s="27" t="n">
        <f>8349169610000</f>
        <v>8.34916961E12</v>
      </c>
      <c r="W526" s="3" t="s">
        <v>129</v>
      </c>
      <c r="X526" s="27" t="n">
        <f>502061120000</f>
        <v>5.0206112E11</v>
      </c>
      <c r="Y526" s="27"/>
      <c r="Z526" s="25" t="str">
        <f>"－"</f>
        <v>－</v>
      </c>
      <c r="AA526" s="25" t="n">
        <f>183567</f>
        <v>183567.0</v>
      </c>
      <c r="AB526" s="2" t="s">
        <v>206</v>
      </c>
      <c r="AC526" s="26" t="n">
        <f>216676</f>
        <v>216676.0</v>
      </c>
      <c r="AD526" s="3" t="s">
        <v>975</v>
      </c>
      <c r="AE526" s="27" t="n">
        <f>134771</f>
        <v>134771.0</v>
      </c>
    </row>
    <row r="527">
      <c r="A527" s="20" t="s">
        <v>1133</v>
      </c>
      <c r="B527" s="21" t="s">
        <v>1134</v>
      </c>
      <c r="C527" s="22"/>
      <c r="D527" s="23"/>
      <c r="E527" s="24" t="s">
        <v>351</v>
      </c>
      <c r="F527" s="28" t="n">
        <f>123</f>
        <v>123.0</v>
      </c>
      <c r="G527" s="25" t="n">
        <f>5346901</f>
        <v>5346901.0</v>
      </c>
      <c r="H527" s="25" t="n">
        <f>20708</f>
        <v>20708.0</v>
      </c>
      <c r="I527" s="25" t="str">
        <f>"－"</f>
        <v>－</v>
      </c>
      <c r="J527" s="25" t="n">
        <f>43471</f>
        <v>43471.0</v>
      </c>
      <c r="K527" s="25" t="str">
        <f>"－"</f>
        <v>－</v>
      </c>
      <c r="L527" s="2" t="s">
        <v>1027</v>
      </c>
      <c r="M527" s="26" t="n">
        <f>117483</f>
        <v>117483.0</v>
      </c>
      <c r="N527" s="3" t="s">
        <v>156</v>
      </c>
      <c r="O527" s="27" t="n">
        <f>14737</f>
        <v>14737.0</v>
      </c>
      <c r="P527" s="29" t="s">
        <v>1182</v>
      </c>
      <c r="Q527" s="25" t="n">
        <f>2738629000000</f>
        <v>2.738629E12</v>
      </c>
      <c r="R527" s="29" t="s">
        <v>262</v>
      </c>
      <c r="S527" s="25" t="n">
        <f>5745604620325</f>
        <v>5.745604620325E12</v>
      </c>
      <c r="T527" s="25" t="str">
        <f>"－"</f>
        <v>－</v>
      </c>
      <c r="U527" s="3" t="s">
        <v>1027</v>
      </c>
      <c r="V527" s="27" t="n">
        <f>15520021650000</f>
        <v>1.552002165E13</v>
      </c>
      <c r="W527" s="3" t="s">
        <v>156</v>
      </c>
      <c r="X527" s="27" t="n">
        <f>1948288290000</f>
        <v>1.94828829E12</v>
      </c>
      <c r="Y527" s="27"/>
      <c r="Z527" s="25" t="str">
        <f>"－"</f>
        <v>－</v>
      </c>
      <c r="AA527" s="25" t="n">
        <f>89206</f>
        <v>89206.0</v>
      </c>
      <c r="AB527" s="2" t="s">
        <v>411</v>
      </c>
      <c r="AC527" s="26" t="n">
        <f>310415</f>
        <v>310415.0</v>
      </c>
      <c r="AD527" s="3" t="s">
        <v>131</v>
      </c>
      <c r="AE527" s="27" t="n">
        <f>87479</f>
        <v>87479.0</v>
      </c>
    </row>
    <row r="528">
      <c r="A528" s="20" t="s">
        <v>1133</v>
      </c>
      <c r="B528" s="21" t="s">
        <v>1134</v>
      </c>
      <c r="C528" s="22"/>
      <c r="D528" s="23"/>
      <c r="E528" s="24" t="s">
        <v>354</v>
      </c>
      <c r="F528" s="28" t="n">
        <f>125</f>
        <v>125.0</v>
      </c>
      <c r="G528" s="25" t="n">
        <f>4562226</f>
        <v>4562226.0</v>
      </c>
      <c r="H528" s="25" t="n">
        <f>36260</f>
        <v>36260.0</v>
      </c>
      <c r="I528" s="25" t="str">
        <f>"－"</f>
        <v>－</v>
      </c>
      <c r="J528" s="25" t="n">
        <f>36498</f>
        <v>36498.0</v>
      </c>
      <c r="K528" s="25" t="str">
        <f>"－"</f>
        <v>－</v>
      </c>
      <c r="L528" s="2" t="s">
        <v>318</v>
      </c>
      <c r="M528" s="26" t="n">
        <f>91635</f>
        <v>91635.0</v>
      </c>
      <c r="N528" s="3" t="s">
        <v>138</v>
      </c>
      <c r="O528" s="27" t="n">
        <f>7567</f>
        <v>7567.0</v>
      </c>
      <c r="P528" s="29" t="s">
        <v>1183</v>
      </c>
      <c r="Q528" s="25" t="n">
        <f>4833448000000</f>
        <v>4.833448E12</v>
      </c>
      <c r="R528" s="29" t="s">
        <v>262</v>
      </c>
      <c r="S528" s="25" t="n">
        <f>4865201475920</f>
        <v>4.86520147592E12</v>
      </c>
      <c r="T528" s="25" t="str">
        <f>"－"</f>
        <v>－</v>
      </c>
      <c r="U528" s="3" t="s">
        <v>318</v>
      </c>
      <c r="V528" s="27" t="n">
        <f>12373838120000</f>
        <v>1.237383812E13</v>
      </c>
      <c r="W528" s="3" t="s">
        <v>138</v>
      </c>
      <c r="X528" s="27" t="n">
        <f>1025353440000</f>
        <v>1.02535344E12</v>
      </c>
      <c r="Y528" s="27"/>
      <c r="Z528" s="25" t="str">
        <f>"－"</f>
        <v>－</v>
      </c>
      <c r="AA528" s="25" t="n">
        <f>66158</f>
        <v>66158.0</v>
      </c>
      <c r="AB528" s="2" t="s">
        <v>529</v>
      </c>
      <c r="AC528" s="26" t="n">
        <f>114451</f>
        <v>114451.0</v>
      </c>
      <c r="AD528" s="3" t="s">
        <v>138</v>
      </c>
      <c r="AE528" s="27" t="n">
        <f>65484</f>
        <v>65484.0</v>
      </c>
    </row>
    <row r="529">
      <c r="A529" s="20" t="s">
        <v>1133</v>
      </c>
      <c r="B529" s="21" t="s">
        <v>1134</v>
      </c>
      <c r="C529" s="22"/>
      <c r="D529" s="23"/>
      <c r="E529" s="24" t="s">
        <v>357</v>
      </c>
      <c r="F529" s="28" t="n">
        <f>121</f>
        <v>121.0</v>
      </c>
      <c r="G529" s="25" t="n">
        <f>4002227</f>
        <v>4002227.0</v>
      </c>
      <c r="H529" s="25" t="n">
        <f>25530</f>
        <v>25530.0</v>
      </c>
      <c r="I529" s="25" t="str">
        <f>"－"</f>
        <v>－</v>
      </c>
      <c r="J529" s="25" t="n">
        <f>33076</f>
        <v>33076.0</v>
      </c>
      <c r="K529" s="25" t="str">
        <f>"－"</f>
        <v>－</v>
      </c>
      <c r="L529" s="2" t="s">
        <v>84</v>
      </c>
      <c r="M529" s="26" t="n">
        <f>73659</f>
        <v>73659.0</v>
      </c>
      <c r="N529" s="3" t="s">
        <v>343</v>
      </c>
      <c r="O529" s="27" t="n">
        <f>12787</f>
        <v>12787.0</v>
      </c>
      <c r="P529" s="29" t="s">
        <v>1184</v>
      </c>
      <c r="Q529" s="25" t="n">
        <f>3530591500000</f>
        <v>3.5305915E12</v>
      </c>
      <c r="R529" s="29" t="s">
        <v>262</v>
      </c>
      <c r="S529" s="25" t="n">
        <f>4584344575372</f>
        <v>4.584344575372E12</v>
      </c>
      <c r="T529" s="25" t="str">
        <f>"－"</f>
        <v>－</v>
      </c>
      <c r="U529" s="3" t="s">
        <v>84</v>
      </c>
      <c r="V529" s="27" t="n">
        <f>10275517330000</f>
        <v>1.027551733E13</v>
      </c>
      <c r="W529" s="3" t="s">
        <v>156</v>
      </c>
      <c r="X529" s="27" t="n">
        <f>1734022450000</f>
        <v>1.73402245E12</v>
      </c>
      <c r="Y529" s="27"/>
      <c r="Z529" s="25" t="str">
        <f>"－"</f>
        <v>－</v>
      </c>
      <c r="AA529" s="25" t="n">
        <f>51572</f>
        <v>51572.0</v>
      </c>
      <c r="AB529" s="2" t="s">
        <v>1171</v>
      </c>
      <c r="AC529" s="26" t="n">
        <f>79808</f>
        <v>79808.0</v>
      </c>
      <c r="AD529" s="3" t="s">
        <v>101</v>
      </c>
      <c r="AE529" s="27" t="n">
        <f>37767</f>
        <v>37767.0</v>
      </c>
    </row>
    <row r="530">
      <c r="A530" s="20" t="s">
        <v>1133</v>
      </c>
      <c r="B530" s="21" t="s">
        <v>1134</v>
      </c>
      <c r="C530" s="22"/>
      <c r="D530" s="23"/>
      <c r="E530" s="24" t="s">
        <v>361</v>
      </c>
      <c r="F530" s="28" t="n">
        <f>125</f>
        <v>125.0</v>
      </c>
      <c r="G530" s="25" t="n">
        <f>3374529</f>
        <v>3374529.0</v>
      </c>
      <c r="H530" s="25" t="n">
        <f>17258</f>
        <v>17258.0</v>
      </c>
      <c r="I530" s="25" t="str">
        <f>"－"</f>
        <v>－</v>
      </c>
      <c r="J530" s="25" t="n">
        <f>26996</f>
        <v>26996.0</v>
      </c>
      <c r="K530" s="25" t="str">
        <f>"－"</f>
        <v>－</v>
      </c>
      <c r="L530" s="2" t="s">
        <v>95</v>
      </c>
      <c r="M530" s="26" t="n">
        <f>56779</f>
        <v>56779.0</v>
      </c>
      <c r="N530" s="3" t="s">
        <v>1185</v>
      </c>
      <c r="O530" s="27" t="n">
        <f>7274</f>
        <v>7274.0</v>
      </c>
      <c r="P530" s="29" t="s">
        <v>1186</v>
      </c>
      <c r="Q530" s="25" t="n">
        <f>2411723500000</f>
        <v>2.4117235E12</v>
      </c>
      <c r="R530" s="29" t="s">
        <v>262</v>
      </c>
      <c r="S530" s="25" t="n">
        <f>3771300884400</f>
        <v>3.7713008844E12</v>
      </c>
      <c r="T530" s="25" t="str">
        <f>"－"</f>
        <v>－</v>
      </c>
      <c r="U530" s="3" t="s">
        <v>95</v>
      </c>
      <c r="V530" s="27" t="n">
        <f>7909059780000</f>
        <v>7.90905978E12</v>
      </c>
      <c r="W530" s="3" t="s">
        <v>114</v>
      </c>
      <c r="X530" s="27" t="n">
        <f>1012269830000</f>
        <v>1.01226983E12</v>
      </c>
      <c r="Y530" s="27"/>
      <c r="Z530" s="25" t="str">
        <f>"－"</f>
        <v>－</v>
      </c>
      <c r="AA530" s="25" t="n">
        <f>40354</f>
        <v>40354.0</v>
      </c>
      <c r="AB530" s="2" t="s">
        <v>947</v>
      </c>
      <c r="AC530" s="26" t="n">
        <f>64950</f>
        <v>64950.0</v>
      </c>
      <c r="AD530" s="3" t="s">
        <v>67</v>
      </c>
      <c r="AE530" s="27" t="n">
        <f>35105</f>
        <v>35105.0</v>
      </c>
    </row>
    <row r="531">
      <c r="A531" s="20" t="s">
        <v>1133</v>
      </c>
      <c r="B531" s="21" t="s">
        <v>1134</v>
      </c>
      <c r="C531" s="22"/>
      <c r="D531" s="23"/>
      <c r="E531" s="24" t="s">
        <v>365</v>
      </c>
      <c r="F531" s="28" t="n">
        <f>120</f>
        <v>120.0</v>
      </c>
      <c r="G531" s="25" t="n">
        <f>3248704</f>
        <v>3248704.0</v>
      </c>
      <c r="H531" s="25" t="n">
        <f>31424</f>
        <v>31424.0</v>
      </c>
      <c r="I531" s="25" t="n">
        <f>1998</f>
        <v>1998.0</v>
      </c>
      <c r="J531" s="25" t="n">
        <f>27073</f>
        <v>27073.0</v>
      </c>
      <c r="K531" s="25" t="n">
        <f>17</f>
        <v>17.0</v>
      </c>
      <c r="L531" s="2" t="s">
        <v>146</v>
      </c>
      <c r="M531" s="26" t="n">
        <f>60823</f>
        <v>60823.0</v>
      </c>
      <c r="N531" s="3" t="s">
        <v>1064</v>
      </c>
      <c r="O531" s="27" t="n">
        <f>8526</f>
        <v>8526.0</v>
      </c>
      <c r="P531" s="29" t="s">
        <v>1187</v>
      </c>
      <c r="Q531" s="25" t="n">
        <f>4329482000000</f>
        <v>4.329482E12</v>
      </c>
      <c r="R531" s="29" t="s">
        <v>1188</v>
      </c>
      <c r="S531" s="25" t="n">
        <f>3729194017083</f>
        <v>3.729194017083E12</v>
      </c>
      <c r="T531" s="25" t="n">
        <f>2287780500</f>
        <v>2.2877805E9</v>
      </c>
      <c r="U531" s="3" t="s">
        <v>146</v>
      </c>
      <c r="V531" s="27" t="n">
        <f>8448982230000</f>
        <v>8.44898223E12</v>
      </c>
      <c r="W531" s="3" t="s">
        <v>1064</v>
      </c>
      <c r="X531" s="27" t="n">
        <f>1183505880000</f>
        <v>1.18350588E12</v>
      </c>
      <c r="Y531" s="27"/>
      <c r="Z531" s="25" t="str">
        <f>"－"</f>
        <v>－</v>
      </c>
      <c r="AA531" s="25" t="n">
        <f>56177</f>
        <v>56177.0</v>
      </c>
      <c r="AB531" s="2" t="s">
        <v>743</v>
      </c>
      <c r="AC531" s="26" t="n">
        <f>73254</f>
        <v>73254.0</v>
      </c>
      <c r="AD531" s="3" t="s">
        <v>156</v>
      </c>
      <c r="AE531" s="27" t="n">
        <f>41016</f>
        <v>41016.0</v>
      </c>
    </row>
    <row r="532">
      <c r="A532" s="20" t="s">
        <v>1133</v>
      </c>
      <c r="B532" s="21" t="s">
        <v>1134</v>
      </c>
      <c r="C532" s="22"/>
      <c r="D532" s="23"/>
      <c r="E532" s="24" t="s">
        <v>370</v>
      </c>
      <c r="F532" s="28" t="n">
        <f>126</f>
        <v>126.0</v>
      </c>
      <c r="G532" s="25" t="n">
        <f>3107908</f>
        <v>3107908.0</v>
      </c>
      <c r="H532" s="25" t="n">
        <f>27252</f>
        <v>27252.0</v>
      </c>
      <c r="I532" s="25" t="n">
        <f>1086</f>
        <v>1086.0</v>
      </c>
      <c r="J532" s="25" t="n">
        <f>24666</f>
        <v>24666.0</v>
      </c>
      <c r="K532" s="25" t="n">
        <f>9</f>
        <v>9.0</v>
      </c>
      <c r="L532" s="2" t="s">
        <v>90</v>
      </c>
      <c r="M532" s="26" t="n">
        <f>69609</f>
        <v>69609.0</v>
      </c>
      <c r="N532" s="3" t="s">
        <v>129</v>
      </c>
      <c r="O532" s="27" t="n">
        <f>4028</f>
        <v>4028.0</v>
      </c>
      <c r="P532" s="29" t="s">
        <v>1189</v>
      </c>
      <c r="Q532" s="25" t="n">
        <f>3829255500000</f>
        <v>3.8292555E12</v>
      </c>
      <c r="R532" s="29" t="s">
        <v>1190</v>
      </c>
      <c r="S532" s="25" t="n">
        <f>3472566684762</f>
        <v>3.472566684762E12</v>
      </c>
      <c r="T532" s="25" t="n">
        <f>1219420714</f>
        <v>1.219420714E9</v>
      </c>
      <c r="U532" s="3" t="s">
        <v>90</v>
      </c>
      <c r="V532" s="27" t="n">
        <f>9829476100000</f>
        <v>9.8294761E12</v>
      </c>
      <c r="W532" s="3" t="s">
        <v>129</v>
      </c>
      <c r="X532" s="27" t="n">
        <f>572000280000</f>
        <v>5.7200028E11</v>
      </c>
      <c r="Y532" s="27"/>
      <c r="Z532" s="25" t="str">
        <f>"－"</f>
        <v>－</v>
      </c>
      <c r="AA532" s="25" t="n">
        <f>36972</f>
        <v>36972.0</v>
      </c>
      <c r="AB532" s="2" t="s">
        <v>80</v>
      </c>
      <c r="AC532" s="26" t="n">
        <f>67055</f>
        <v>67055.0</v>
      </c>
      <c r="AD532" s="3" t="s">
        <v>67</v>
      </c>
      <c r="AE532" s="27" t="n">
        <f>32908</f>
        <v>32908.0</v>
      </c>
    </row>
    <row r="533">
      <c r="A533" s="20" t="s">
        <v>1133</v>
      </c>
      <c r="B533" s="21" t="s">
        <v>1134</v>
      </c>
      <c r="C533" s="22"/>
      <c r="D533" s="23"/>
      <c r="E533" s="24" t="s">
        <v>374</v>
      </c>
      <c r="F533" s="28" t="n">
        <f>121</f>
        <v>121.0</v>
      </c>
      <c r="G533" s="25" t="n">
        <f>2834953</f>
        <v>2834953.0</v>
      </c>
      <c r="H533" s="25" t="n">
        <f>39355</f>
        <v>39355.0</v>
      </c>
      <c r="I533" s="25" t="n">
        <f>200</f>
        <v>200.0</v>
      </c>
      <c r="J533" s="25" t="n">
        <f>23429</f>
        <v>23429.0</v>
      </c>
      <c r="K533" s="25" t="n">
        <f>2</f>
        <v>2.0</v>
      </c>
      <c r="L533" s="2" t="s">
        <v>315</v>
      </c>
      <c r="M533" s="26" t="n">
        <f>83718</f>
        <v>83718.0</v>
      </c>
      <c r="N533" s="3" t="s">
        <v>773</v>
      </c>
      <c r="O533" s="27" t="n">
        <f>8354</f>
        <v>8354.0</v>
      </c>
      <c r="P533" s="29" t="s">
        <v>1191</v>
      </c>
      <c r="Q533" s="25" t="n">
        <f>5633611000000</f>
        <v>5.633611E12</v>
      </c>
      <c r="R533" s="29" t="s">
        <v>1192</v>
      </c>
      <c r="S533" s="25" t="n">
        <f>3356626759256</f>
        <v>3.356626759256E12</v>
      </c>
      <c r="T533" s="25" t="n">
        <f>236446281</f>
        <v>2.36446281E8</v>
      </c>
      <c r="U533" s="3" t="s">
        <v>315</v>
      </c>
      <c r="V533" s="27" t="n">
        <f>11954489960000</f>
        <v>1.195448996E13</v>
      </c>
      <c r="W533" s="3" t="s">
        <v>773</v>
      </c>
      <c r="X533" s="27" t="n">
        <f>1194788050000</f>
        <v>1.19478805E12</v>
      </c>
      <c r="Y533" s="27"/>
      <c r="Z533" s="25" t="str">
        <f>"－"</f>
        <v>－</v>
      </c>
      <c r="AA533" s="25" t="n">
        <f>77944</f>
        <v>77944.0</v>
      </c>
      <c r="AB533" s="2" t="s">
        <v>251</v>
      </c>
      <c r="AC533" s="26" t="n">
        <f>77944</f>
        <v>77944.0</v>
      </c>
      <c r="AD533" s="3" t="s">
        <v>328</v>
      </c>
      <c r="AE533" s="27" t="n">
        <f>37225</f>
        <v>37225.0</v>
      </c>
    </row>
    <row r="534">
      <c r="A534" s="20" t="s">
        <v>1133</v>
      </c>
      <c r="B534" s="21" t="s">
        <v>1134</v>
      </c>
      <c r="C534" s="22"/>
      <c r="D534" s="23"/>
      <c r="E534" s="24" t="s">
        <v>379</v>
      </c>
      <c r="F534" s="28" t="n">
        <f>124</f>
        <v>124.0</v>
      </c>
      <c r="G534" s="25" t="n">
        <f>3630120</f>
        <v>3630120.0</v>
      </c>
      <c r="H534" s="25" t="n">
        <f>43503</f>
        <v>43503.0</v>
      </c>
      <c r="I534" s="25" t="n">
        <f>100</f>
        <v>100.0</v>
      </c>
      <c r="J534" s="25" t="n">
        <f>29275</f>
        <v>29275.0</v>
      </c>
      <c r="K534" s="25" t="n">
        <f>1</f>
        <v>1.0</v>
      </c>
      <c r="L534" s="2" t="s">
        <v>388</v>
      </c>
      <c r="M534" s="26" t="n">
        <f>75175</f>
        <v>75175.0</v>
      </c>
      <c r="N534" s="3" t="s">
        <v>271</v>
      </c>
      <c r="O534" s="27" t="n">
        <f>7241</f>
        <v>7241.0</v>
      </c>
      <c r="P534" s="29" t="s">
        <v>1193</v>
      </c>
      <c r="Q534" s="25" t="n">
        <f>6076805000000</f>
        <v>6.076805E12</v>
      </c>
      <c r="R534" s="29" t="s">
        <v>1194</v>
      </c>
      <c r="S534" s="25" t="n">
        <f>4048031570484</f>
        <v>4.048031570484E12</v>
      </c>
      <c r="T534" s="25" t="n">
        <f>111145161</f>
        <v>1.11145161E8</v>
      </c>
      <c r="U534" s="3" t="s">
        <v>388</v>
      </c>
      <c r="V534" s="27" t="n">
        <f>10273524650000</f>
        <v>1.027352465E13</v>
      </c>
      <c r="W534" s="3" t="s">
        <v>271</v>
      </c>
      <c r="X534" s="27" t="n">
        <f>1001621540000</f>
        <v>1.00162154E12</v>
      </c>
      <c r="Y534" s="27"/>
      <c r="Z534" s="25" t="str">
        <f>"－"</f>
        <v>－</v>
      </c>
      <c r="AA534" s="25" t="n">
        <f>50849</f>
        <v>50849.0</v>
      </c>
      <c r="AB534" s="2" t="s">
        <v>259</v>
      </c>
      <c r="AC534" s="26" t="n">
        <f>100038</f>
        <v>100038.0</v>
      </c>
      <c r="AD534" s="3" t="s">
        <v>67</v>
      </c>
      <c r="AE534" s="27" t="n">
        <f>44446</f>
        <v>44446.0</v>
      </c>
    </row>
    <row r="535">
      <c r="A535" s="20" t="s">
        <v>1133</v>
      </c>
      <c r="B535" s="21" t="s">
        <v>1134</v>
      </c>
      <c r="C535" s="22"/>
      <c r="D535" s="23"/>
      <c r="E535" s="24" t="s">
        <v>382</v>
      </c>
      <c r="F535" s="28" t="n">
        <f>122</f>
        <v>122.0</v>
      </c>
      <c r="G535" s="25" t="n">
        <f>4111024</f>
        <v>4111024.0</v>
      </c>
      <c r="H535" s="25" t="n">
        <f>40795</f>
        <v>40795.0</v>
      </c>
      <c r="I535" s="25" t="n">
        <f>1212</f>
        <v>1212.0</v>
      </c>
      <c r="J535" s="25" t="n">
        <f>33697</f>
        <v>33697.0</v>
      </c>
      <c r="K535" s="25" t="n">
        <f>10</f>
        <v>10.0</v>
      </c>
      <c r="L535" s="2" t="s">
        <v>88</v>
      </c>
      <c r="M535" s="26" t="n">
        <f>125939</f>
        <v>125939.0</v>
      </c>
      <c r="N535" s="3" t="s">
        <v>147</v>
      </c>
      <c r="O535" s="27" t="n">
        <f>11414</f>
        <v>11414.0</v>
      </c>
      <c r="P535" s="29" t="s">
        <v>1195</v>
      </c>
      <c r="Q535" s="25" t="n">
        <f>5616629000000</f>
        <v>5.616629E12</v>
      </c>
      <c r="R535" s="29" t="s">
        <v>1196</v>
      </c>
      <c r="S535" s="25" t="n">
        <f>4636914633525</f>
        <v>4.636914633525E12</v>
      </c>
      <c r="T535" s="25" t="n">
        <f>1372648770</f>
        <v>1.37264877E9</v>
      </c>
      <c r="U535" s="3" t="s">
        <v>88</v>
      </c>
      <c r="V535" s="27" t="n">
        <f>17070865920000</f>
        <v>1.707086592E13</v>
      </c>
      <c r="W535" s="3" t="s">
        <v>147</v>
      </c>
      <c r="X535" s="27" t="n">
        <f>1569718470000</f>
        <v>1.56971847E12</v>
      </c>
      <c r="Y535" s="27"/>
      <c r="Z535" s="25" t="str">
        <f>"－"</f>
        <v>－</v>
      </c>
      <c r="AA535" s="25" t="n">
        <f>126068</f>
        <v>126068.0</v>
      </c>
      <c r="AB535" s="2" t="s">
        <v>513</v>
      </c>
      <c r="AC535" s="26" t="n">
        <f>130395</f>
        <v>130395.0</v>
      </c>
      <c r="AD535" s="3" t="s">
        <v>147</v>
      </c>
      <c r="AE535" s="27" t="n">
        <f>50908</f>
        <v>50908.0</v>
      </c>
    </row>
    <row r="536">
      <c r="A536" s="20" t="s">
        <v>1133</v>
      </c>
      <c r="B536" s="21" t="s">
        <v>1134</v>
      </c>
      <c r="C536" s="22"/>
      <c r="D536" s="23"/>
      <c r="E536" s="24" t="s">
        <v>385</v>
      </c>
      <c r="F536" s="28" t="n">
        <f>124</f>
        <v>124.0</v>
      </c>
      <c r="G536" s="25" t="n">
        <f>3914244</f>
        <v>3914244.0</v>
      </c>
      <c r="H536" s="25" t="n">
        <f>34340</f>
        <v>34340.0</v>
      </c>
      <c r="I536" s="25" t="n">
        <f>3888</f>
        <v>3888.0</v>
      </c>
      <c r="J536" s="25" t="n">
        <f>31566</f>
        <v>31566.0</v>
      </c>
      <c r="K536" s="25" t="n">
        <f>31</f>
        <v>31.0</v>
      </c>
      <c r="L536" s="2" t="s">
        <v>137</v>
      </c>
      <c r="M536" s="26" t="n">
        <f>103349</f>
        <v>103349.0</v>
      </c>
      <c r="N536" s="3" t="s">
        <v>129</v>
      </c>
      <c r="O536" s="27" t="n">
        <f>8607</f>
        <v>8607.0</v>
      </c>
      <c r="P536" s="29" t="s">
        <v>1197</v>
      </c>
      <c r="Q536" s="25" t="n">
        <f>4702537500000</f>
        <v>4.7025375E12</v>
      </c>
      <c r="R536" s="29" t="s">
        <v>1198</v>
      </c>
      <c r="S536" s="25" t="n">
        <f>4336868664758</f>
        <v>4.336868664758E12</v>
      </c>
      <c r="T536" s="25" t="n">
        <f>4343748871</f>
        <v>4.343748871E9</v>
      </c>
      <c r="U536" s="3" t="s">
        <v>137</v>
      </c>
      <c r="V536" s="27" t="n">
        <f>14338991990000</f>
        <v>1.433899199E13</v>
      </c>
      <c r="W536" s="3" t="s">
        <v>129</v>
      </c>
      <c r="X536" s="27" t="n">
        <f>1190842600000</f>
        <v>1.1908426E12</v>
      </c>
      <c r="Y536" s="27"/>
      <c r="Z536" s="25" t="str">
        <f>"－"</f>
        <v>－</v>
      </c>
      <c r="AA536" s="25" t="n">
        <f>86062</f>
        <v>86062.0</v>
      </c>
      <c r="AB536" s="2" t="s">
        <v>215</v>
      </c>
      <c r="AC536" s="26" t="n">
        <f>129132</f>
        <v>129132.0</v>
      </c>
      <c r="AD536" s="3" t="s">
        <v>125</v>
      </c>
      <c r="AE536" s="27" t="n">
        <f>63312</f>
        <v>63312.0</v>
      </c>
    </row>
    <row r="537">
      <c r="A537" s="20" t="s">
        <v>1133</v>
      </c>
      <c r="B537" s="21" t="s">
        <v>1134</v>
      </c>
      <c r="C537" s="22"/>
      <c r="D537" s="23"/>
      <c r="E537" s="24" t="s">
        <v>389</v>
      </c>
      <c r="F537" s="28" t="n">
        <f>121</f>
        <v>121.0</v>
      </c>
      <c r="G537" s="25" t="n">
        <f>4130387</f>
        <v>4130387.0</v>
      </c>
      <c r="H537" s="25" t="n">
        <f>50421</f>
        <v>50421.0</v>
      </c>
      <c r="I537" s="25" t="n">
        <f>571</f>
        <v>571.0</v>
      </c>
      <c r="J537" s="25" t="n">
        <f>34135</f>
        <v>34135.0</v>
      </c>
      <c r="K537" s="25" t="n">
        <f>5</f>
        <v>5.0</v>
      </c>
      <c r="L537" s="2" t="s">
        <v>146</v>
      </c>
      <c r="M537" s="26" t="n">
        <f>131131</f>
        <v>131131.0</v>
      </c>
      <c r="N537" s="3" t="s">
        <v>177</v>
      </c>
      <c r="O537" s="27" t="n">
        <f>13416</f>
        <v>13416.0</v>
      </c>
      <c r="P537" s="29" t="s">
        <v>1199</v>
      </c>
      <c r="Q537" s="25" t="n">
        <f>7023837000000</f>
        <v>7.023837E12</v>
      </c>
      <c r="R537" s="29" t="s">
        <v>1200</v>
      </c>
      <c r="S537" s="25" t="n">
        <f>4762382181653</f>
        <v>4.762382181653E12</v>
      </c>
      <c r="T537" s="25" t="n">
        <f>660740909</f>
        <v>6.60740909E8</v>
      </c>
      <c r="U537" s="3" t="s">
        <v>146</v>
      </c>
      <c r="V537" s="27" t="n">
        <f>18469541420000</f>
        <v>1.846954142E13</v>
      </c>
      <c r="W537" s="3" t="s">
        <v>177</v>
      </c>
      <c r="X537" s="27" t="n">
        <f>1863613610000</f>
        <v>1.86361361E12</v>
      </c>
      <c r="Y537" s="27"/>
      <c r="Z537" s="25" t="str">
        <f>"－"</f>
        <v>－</v>
      </c>
      <c r="AA537" s="25" t="n">
        <f>96522</f>
        <v>96522.0</v>
      </c>
      <c r="AB537" s="2" t="s">
        <v>1201</v>
      </c>
      <c r="AC537" s="26" t="n">
        <f>110590</f>
        <v>110590.0</v>
      </c>
      <c r="AD537" s="3" t="s">
        <v>56</v>
      </c>
      <c r="AE537" s="27" t="n">
        <f>72504</f>
        <v>72504.0</v>
      </c>
    </row>
    <row r="538">
      <c r="A538" s="20" t="s">
        <v>1133</v>
      </c>
      <c r="B538" s="21" t="s">
        <v>1134</v>
      </c>
      <c r="C538" s="22"/>
      <c r="D538" s="23"/>
      <c r="E538" s="24" t="s">
        <v>392</v>
      </c>
      <c r="F538" s="28" t="n">
        <f>124</f>
        <v>124.0</v>
      </c>
      <c r="G538" s="25" t="n">
        <f>5714230</f>
        <v>5714230.0</v>
      </c>
      <c r="H538" s="25" t="n">
        <f>52860</f>
        <v>52860.0</v>
      </c>
      <c r="I538" s="25" t="n">
        <f>365</f>
        <v>365.0</v>
      </c>
      <c r="J538" s="25" t="n">
        <f>46083</f>
        <v>46083.0</v>
      </c>
      <c r="K538" s="25" t="n">
        <f>3</f>
        <v>3.0</v>
      </c>
      <c r="L538" s="2" t="s">
        <v>77</v>
      </c>
      <c r="M538" s="26" t="n">
        <f>119213</f>
        <v>119213.0</v>
      </c>
      <c r="N538" s="3" t="s">
        <v>129</v>
      </c>
      <c r="O538" s="27" t="n">
        <f>19571</f>
        <v>19571.0</v>
      </c>
      <c r="P538" s="29" t="s">
        <v>1202</v>
      </c>
      <c r="Q538" s="25" t="n">
        <f>7328528500000</f>
        <v>7.3285285E12</v>
      </c>
      <c r="R538" s="29" t="s">
        <v>1203</v>
      </c>
      <c r="S538" s="25" t="n">
        <f>6371282495887</f>
        <v>6.371282495887E12</v>
      </c>
      <c r="T538" s="25" t="n">
        <f>413009274</f>
        <v>4.13009274E8</v>
      </c>
      <c r="U538" s="3" t="s">
        <v>77</v>
      </c>
      <c r="V538" s="27" t="n">
        <f>16341287920000</f>
        <v>1.634128792E13</v>
      </c>
      <c r="W538" s="3" t="s">
        <v>129</v>
      </c>
      <c r="X538" s="27" t="n">
        <f>2685830630000</f>
        <v>2.68583063E12</v>
      </c>
      <c r="Y538" s="27"/>
      <c r="Z538" s="25" t="str">
        <f>"－"</f>
        <v>－</v>
      </c>
      <c r="AA538" s="25" t="n">
        <f>116664</f>
        <v>116664.0</v>
      </c>
      <c r="AB538" s="2" t="s">
        <v>192</v>
      </c>
      <c r="AC538" s="26" t="n">
        <f>154334</f>
        <v>154334.0</v>
      </c>
      <c r="AD538" s="3" t="s">
        <v>388</v>
      </c>
      <c r="AE538" s="27" t="n">
        <f>71703</f>
        <v>71703.0</v>
      </c>
    </row>
    <row r="539">
      <c r="A539" s="20" t="s">
        <v>1133</v>
      </c>
      <c r="B539" s="21" t="s">
        <v>1134</v>
      </c>
      <c r="C539" s="22"/>
      <c r="D539" s="23"/>
      <c r="E539" s="24" t="s">
        <v>396</v>
      </c>
      <c r="F539" s="28" t="n">
        <f>123</f>
        <v>123.0</v>
      </c>
      <c r="G539" s="25" t="n">
        <f>6356256</f>
        <v>6356256.0</v>
      </c>
      <c r="H539" s="25" t="n">
        <f>53954</f>
        <v>53954.0</v>
      </c>
      <c r="I539" s="25" t="n">
        <f>9905</f>
        <v>9905.0</v>
      </c>
      <c r="J539" s="25" t="n">
        <f>51677</f>
        <v>51677.0</v>
      </c>
      <c r="K539" s="25" t="n">
        <f>81</f>
        <v>81.0</v>
      </c>
      <c r="L539" s="2" t="s">
        <v>427</v>
      </c>
      <c r="M539" s="26" t="n">
        <f>174265</f>
        <v>174265.0</v>
      </c>
      <c r="N539" s="3" t="s">
        <v>156</v>
      </c>
      <c r="O539" s="27" t="n">
        <f>21166</f>
        <v>21166.0</v>
      </c>
      <c r="P539" s="29" t="s">
        <v>1204</v>
      </c>
      <c r="Q539" s="25" t="n">
        <f>7248030500000</f>
        <v>7.2480305E12</v>
      </c>
      <c r="R539" s="29" t="s">
        <v>1205</v>
      </c>
      <c r="S539" s="25" t="n">
        <f>6938852100732</f>
        <v>6.938852100732E12</v>
      </c>
      <c r="T539" s="25" t="n">
        <f>10766863821</f>
        <v>1.0766863821E10</v>
      </c>
      <c r="U539" s="3" t="s">
        <v>427</v>
      </c>
      <c r="V539" s="27" t="n">
        <f>23175910390000</f>
        <v>2.317591039E13</v>
      </c>
      <c r="W539" s="3" t="s">
        <v>156</v>
      </c>
      <c r="X539" s="27" t="n">
        <f>2911562620000</f>
        <v>2.91156262E12</v>
      </c>
      <c r="Y539" s="27"/>
      <c r="Z539" s="25" t="str">
        <f>"－"</f>
        <v>－</v>
      </c>
      <c r="AA539" s="25" t="n">
        <f>131383</f>
        <v>131383.0</v>
      </c>
      <c r="AB539" s="2" t="s">
        <v>746</v>
      </c>
      <c r="AC539" s="26" t="n">
        <f>175222</f>
        <v>175222.0</v>
      </c>
      <c r="AD539" s="3" t="s">
        <v>156</v>
      </c>
      <c r="AE539" s="27" t="n">
        <f>117679</f>
        <v>117679.0</v>
      </c>
    </row>
    <row r="540">
      <c r="A540" s="20" t="s">
        <v>1133</v>
      </c>
      <c r="B540" s="21" t="s">
        <v>1134</v>
      </c>
      <c r="C540" s="22"/>
      <c r="D540" s="23"/>
      <c r="E540" s="24" t="s">
        <v>401</v>
      </c>
      <c r="F540" s="28" t="n">
        <f>125</f>
        <v>125.0</v>
      </c>
      <c r="G540" s="25" t="n">
        <f>5693723</f>
        <v>5693723.0</v>
      </c>
      <c r="H540" s="25" t="n">
        <f>45924</f>
        <v>45924.0</v>
      </c>
      <c r="I540" s="25" t="n">
        <f>11361</f>
        <v>11361.0</v>
      </c>
      <c r="J540" s="25" t="n">
        <f>45550</f>
        <v>45550.0</v>
      </c>
      <c r="K540" s="25" t="n">
        <f>91</f>
        <v>91.0</v>
      </c>
      <c r="L540" s="2" t="s">
        <v>137</v>
      </c>
      <c r="M540" s="26" t="n">
        <f>163322</f>
        <v>163322.0</v>
      </c>
      <c r="N540" s="3" t="s">
        <v>269</v>
      </c>
      <c r="O540" s="27" t="n">
        <f>17160</f>
        <v>17160.0</v>
      </c>
      <c r="P540" s="29" t="s">
        <v>1206</v>
      </c>
      <c r="Q540" s="25" t="n">
        <f>6143105000000</f>
        <v>6.143105E12</v>
      </c>
      <c r="R540" s="29" t="s">
        <v>1207</v>
      </c>
      <c r="S540" s="25" t="n">
        <f>6099395971520</f>
        <v>6.09939597152E12</v>
      </c>
      <c r="T540" s="25" t="n">
        <f>12201901680</f>
        <v>1.220190168E10</v>
      </c>
      <c r="U540" s="3" t="s">
        <v>137</v>
      </c>
      <c r="V540" s="27" t="n">
        <f>21983257260000</f>
        <v>2.198325726E13</v>
      </c>
      <c r="W540" s="3" t="s">
        <v>269</v>
      </c>
      <c r="X540" s="27" t="n">
        <f>2301555000000</f>
        <v>2.301555E12</v>
      </c>
      <c r="Y540" s="27"/>
      <c r="Z540" s="25" t="str">
        <f>"－"</f>
        <v>－</v>
      </c>
      <c r="AA540" s="25" t="n">
        <f>131772</f>
        <v>131772.0</v>
      </c>
      <c r="AB540" s="2" t="s">
        <v>93</v>
      </c>
      <c r="AC540" s="26" t="n">
        <f>157405</f>
        <v>157405.0</v>
      </c>
      <c r="AD540" s="3" t="s">
        <v>388</v>
      </c>
      <c r="AE540" s="27" t="n">
        <f>114591</f>
        <v>114591.0</v>
      </c>
    </row>
    <row r="541">
      <c r="A541" s="20" t="s">
        <v>1133</v>
      </c>
      <c r="B541" s="21" t="s">
        <v>1134</v>
      </c>
      <c r="C541" s="22"/>
      <c r="D541" s="23"/>
      <c r="E541" s="24" t="s">
        <v>404</v>
      </c>
      <c r="F541" s="28" t="n">
        <f>121</f>
        <v>121.0</v>
      </c>
      <c r="G541" s="25" t="n">
        <f>6542930</f>
        <v>6542930.0</v>
      </c>
      <c r="H541" s="25" t="n">
        <f>68577</f>
        <v>68577.0</v>
      </c>
      <c r="I541" s="25" t="n">
        <f>13585</f>
        <v>13585.0</v>
      </c>
      <c r="J541" s="25" t="n">
        <f>54074</f>
        <v>54074.0</v>
      </c>
      <c r="K541" s="25" t="n">
        <f>112</f>
        <v>112.0</v>
      </c>
      <c r="L541" s="2" t="s">
        <v>146</v>
      </c>
      <c r="M541" s="26" t="n">
        <f>211110</f>
        <v>211110.0</v>
      </c>
      <c r="N541" s="3" t="s">
        <v>1208</v>
      </c>
      <c r="O541" s="27" t="n">
        <f>21966</f>
        <v>21966.0</v>
      </c>
      <c r="P541" s="29" t="s">
        <v>1209</v>
      </c>
      <c r="Q541" s="25" t="n">
        <f>9151410000000</f>
        <v>9.15141E12</v>
      </c>
      <c r="R541" s="29" t="s">
        <v>1210</v>
      </c>
      <c r="S541" s="25" t="n">
        <f>7224612597769</f>
        <v>7.224612597769E12</v>
      </c>
      <c r="T541" s="25" t="n">
        <f>14925632479</f>
        <v>1.4925632479E10</v>
      </c>
      <c r="U541" s="3" t="s">
        <v>146</v>
      </c>
      <c r="V541" s="27" t="n">
        <f>27912349360000</f>
        <v>2.791234936E13</v>
      </c>
      <c r="W541" s="3" t="s">
        <v>1208</v>
      </c>
      <c r="X541" s="27" t="n">
        <f>2950815540000</f>
        <v>2.95081554E12</v>
      </c>
      <c r="Y541" s="27"/>
      <c r="Z541" s="25" t="str">
        <f>"－"</f>
        <v>－</v>
      </c>
      <c r="AA541" s="25" t="n">
        <f>164564</f>
        <v>164564.0</v>
      </c>
      <c r="AB541" s="2" t="s">
        <v>152</v>
      </c>
      <c r="AC541" s="26" t="n">
        <f>173631</f>
        <v>173631.0</v>
      </c>
      <c r="AD541" s="3" t="s">
        <v>74</v>
      </c>
      <c r="AE541" s="27" t="n">
        <f>129518</f>
        <v>129518.0</v>
      </c>
    </row>
    <row r="542">
      <c r="A542" s="20" t="s">
        <v>1133</v>
      </c>
      <c r="B542" s="21" t="s">
        <v>1134</v>
      </c>
      <c r="C542" s="22"/>
      <c r="D542" s="23"/>
      <c r="E542" s="24" t="s">
        <v>407</v>
      </c>
      <c r="F542" s="28" t="n">
        <f>124</f>
        <v>124.0</v>
      </c>
      <c r="G542" s="25" t="n">
        <f>7002309</f>
        <v>7002309.0</v>
      </c>
      <c r="H542" s="25" t="n">
        <f>96628</f>
        <v>96628.0</v>
      </c>
      <c r="I542" s="25" t="n">
        <f>29346</f>
        <v>29346.0</v>
      </c>
      <c r="J542" s="25" t="n">
        <f>56470</f>
        <v>56470.0</v>
      </c>
      <c r="K542" s="25" t="n">
        <f>237</f>
        <v>237.0</v>
      </c>
      <c r="L542" s="2" t="s">
        <v>90</v>
      </c>
      <c r="M542" s="26" t="n">
        <f>173355</f>
        <v>173355.0</v>
      </c>
      <c r="N542" s="3" t="s">
        <v>50</v>
      </c>
      <c r="O542" s="27" t="n">
        <f>21667</f>
        <v>21667.0</v>
      </c>
      <c r="P542" s="29" t="s">
        <v>1211</v>
      </c>
      <c r="Q542" s="25" t="n">
        <f>12945051500000</f>
        <v>1.29450515E13</v>
      </c>
      <c r="R542" s="29" t="s">
        <v>1212</v>
      </c>
      <c r="S542" s="25" t="n">
        <f>7631664299758</f>
        <v>7.631664299758E12</v>
      </c>
      <c r="T542" s="25" t="n">
        <f>32031262258</f>
        <v>3.2031262258E10</v>
      </c>
      <c r="U542" s="3" t="s">
        <v>90</v>
      </c>
      <c r="V542" s="27" t="n">
        <f>23510618350000</f>
        <v>2.351061835E13</v>
      </c>
      <c r="W542" s="3" t="s">
        <v>50</v>
      </c>
      <c r="X542" s="27" t="n">
        <f>2952255480000</f>
        <v>2.95225548E12</v>
      </c>
      <c r="Y542" s="27"/>
      <c r="Z542" s="25" t="str">
        <f>"－"</f>
        <v>－</v>
      </c>
      <c r="AA542" s="25" t="n">
        <f>112392</f>
        <v>112392.0</v>
      </c>
      <c r="AB542" s="2" t="s">
        <v>570</v>
      </c>
      <c r="AC542" s="26" t="n">
        <f>172416</f>
        <v>172416.0</v>
      </c>
      <c r="AD542" s="3" t="s">
        <v>67</v>
      </c>
      <c r="AE542" s="27" t="n">
        <f>109601</f>
        <v>109601.0</v>
      </c>
    </row>
    <row r="543">
      <c r="A543" s="20" t="s">
        <v>1133</v>
      </c>
      <c r="B543" s="21" t="s">
        <v>1134</v>
      </c>
      <c r="C543" s="22"/>
      <c r="D543" s="23"/>
      <c r="E543" s="24" t="s">
        <v>410</v>
      </c>
      <c r="F543" s="28" t="n">
        <f>121</f>
        <v>121.0</v>
      </c>
      <c r="G543" s="25" t="n">
        <f>6527765</f>
        <v>6527765.0</v>
      </c>
      <c r="H543" s="25" t="n">
        <f>91327</f>
        <v>91327.0</v>
      </c>
      <c r="I543" s="25" t="n">
        <f>77215</f>
        <v>77215.0</v>
      </c>
      <c r="J543" s="25" t="n">
        <f>53948</f>
        <v>53948.0</v>
      </c>
      <c r="K543" s="25" t="n">
        <f>638</f>
        <v>638.0</v>
      </c>
      <c r="L543" s="2" t="s">
        <v>84</v>
      </c>
      <c r="M543" s="26" t="n">
        <f>172461</f>
        <v>172461.0</v>
      </c>
      <c r="N543" s="3" t="s">
        <v>397</v>
      </c>
      <c r="O543" s="27" t="n">
        <f>26336</f>
        <v>26336.0</v>
      </c>
      <c r="P543" s="29" t="s">
        <v>1213</v>
      </c>
      <c r="Q543" s="25" t="n">
        <f>12561370500000</f>
        <v>1.25613705E13</v>
      </c>
      <c r="R543" s="29" t="s">
        <v>1214</v>
      </c>
      <c r="S543" s="25" t="n">
        <f>7406795569587</f>
        <v>7.406795569587E12</v>
      </c>
      <c r="T543" s="25" t="n">
        <f>87384279504</f>
        <v>8.7384279504E10</v>
      </c>
      <c r="U543" s="3" t="s">
        <v>84</v>
      </c>
      <c r="V543" s="27" t="n">
        <f>23999470680000</f>
        <v>2.399947068E13</v>
      </c>
      <c r="W543" s="3" t="s">
        <v>85</v>
      </c>
      <c r="X543" s="27" t="n">
        <f>3562106890000</f>
        <v>3.56210689E12</v>
      </c>
      <c r="Y543" s="27"/>
      <c r="Z543" s="25" t="n">
        <f>374294</f>
        <v>374294.0</v>
      </c>
      <c r="AA543" s="25" t="n">
        <f>71330</f>
        <v>71330.0</v>
      </c>
      <c r="AB543" s="2" t="s">
        <v>111</v>
      </c>
      <c r="AC543" s="26" t="n">
        <f>159961</f>
        <v>159961.0</v>
      </c>
      <c r="AD543" s="3" t="s">
        <v>101</v>
      </c>
      <c r="AE543" s="27" t="n">
        <f>67009</f>
        <v>67009.0</v>
      </c>
    </row>
    <row r="544">
      <c r="A544" s="20" t="s">
        <v>1133</v>
      </c>
      <c r="B544" s="21" t="s">
        <v>1134</v>
      </c>
      <c r="C544" s="22"/>
      <c r="D544" s="23"/>
      <c r="E544" s="24" t="s">
        <v>415</v>
      </c>
      <c r="F544" s="28" t="n">
        <f>124</f>
        <v>124.0</v>
      </c>
      <c r="G544" s="25" t="n">
        <f>4112169</f>
        <v>4112169.0</v>
      </c>
      <c r="H544" s="25" t="n">
        <f>39824</f>
        <v>39824.0</v>
      </c>
      <c r="I544" s="25" t="n">
        <f>50279</f>
        <v>50279.0</v>
      </c>
      <c r="J544" s="25" t="n">
        <f>33163</f>
        <v>33163.0</v>
      </c>
      <c r="K544" s="25" t="n">
        <f>405</f>
        <v>405.0</v>
      </c>
      <c r="L544" s="2" t="s">
        <v>388</v>
      </c>
      <c r="M544" s="26" t="n">
        <f>136663</f>
        <v>136663.0</v>
      </c>
      <c r="N544" s="3" t="s">
        <v>498</v>
      </c>
      <c r="O544" s="27" t="n">
        <f>8211</f>
        <v>8211.0</v>
      </c>
      <c r="P544" s="29" t="s">
        <v>1215</v>
      </c>
      <c r="Q544" s="25" t="n">
        <f>5463973500000</f>
        <v>5.4639735E12</v>
      </c>
      <c r="R544" s="29" t="s">
        <v>1216</v>
      </c>
      <c r="S544" s="25" t="n">
        <f>4562694690242</f>
        <v>4.562694690242E12</v>
      </c>
      <c r="T544" s="25" t="n">
        <f>55958387581</f>
        <v>5.5958387581E10</v>
      </c>
      <c r="U544" s="3" t="s">
        <v>388</v>
      </c>
      <c r="V544" s="27" t="n">
        <f>18798664480000</f>
        <v>1.879866448E13</v>
      </c>
      <c r="W544" s="3" t="s">
        <v>498</v>
      </c>
      <c r="X544" s="27" t="n">
        <f>1147671130000</f>
        <v>1.14767113E12</v>
      </c>
      <c r="Y544" s="27"/>
      <c r="Z544" s="25" t="n">
        <f>508273</f>
        <v>508273.0</v>
      </c>
      <c r="AA544" s="25" t="n">
        <f>45508</f>
        <v>45508.0</v>
      </c>
      <c r="AB544" s="2" t="s">
        <v>1084</v>
      </c>
      <c r="AC544" s="26" t="n">
        <f>107616</f>
        <v>107616.0</v>
      </c>
      <c r="AD544" s="3" t="s">
        <v>67</v>
      </c>
      <c r="AE544" s="27" t="n">
        <f>38184</f>
        <v>38184.0</v>
      </c>
    </row>
    <row r="545">
      <c r="A545" s="20" t="s">
        <v>1133</v>
      </c>
      <c r="B545" s="21" t="s">
        <v>1134</v>
      </c>
      <c r="C545" s="22"/>
      <c r="D545" s="23"/>
      <c r="E545" s="24" t="s">
        <v>418</v>
      </c>
      <c r="F545" s="28" t="n">
        <f>120</f>
        <v>120.0</v>
      </c>
      <c r="G545" s="25" t="n">
        <f>3216905</f>
        <v>3216905.0</v>
      </c>
      <c r="H545" s="25" t="n">
        <f>97270</f>
        <v>97270.0</v>
      </c>
      <c r="I545" s="25" t="n">
        <f>41481</f>
        <v>41481.0</v>
      </c>
      <c r="J545" s="25" t="n">
        <f>26808</f>
        <v>26808.0</v>
      </c>
      <c r="K545" s="25" t="n">
        <f>346</f>
        <v>346.0</v>
      </c>
      <c r="L545" s="2" t="s">
        <v>88</v>
      </c>
      <c r="M545" s="26" t="n">
        <f>94402</f>
        <v>94402.0</v>
      </c>
      <c r="N545" s="3" t="s">
        <v>147</v>
      </c>
      <c r="O545" s="27" t="n">
        <f>8657</f>
        <v>8657.0</v>
      </c>
      <c r="P545" s="29" t="s">
        <v>1217</v>
      </c>
      <c r="Q545" s="25" t="n">
        <f>13342844500000</f>
        <v>1.33428445E13</v>
      </c>
      <c r="R545" s="29" t="s">
        <v>1218</v>
      </c>
      <c r="S545" s="25" t="n">
        <f>3694626593333</f>
        <v>3.694626593333E12</v>
      </c>
      <c r="T545" s="25" t="n">
        <f>47611602583</f>
        <v>4.7611602583E10</v>
      </c>
      <c r="U545" s="3" t="s">
        <v>88</v>
      </c>
      <c r="V545" s="27" t="n">
        <f>12867614550000</f>
        <v>1.286761455E13</v>
      </c>
      <c r="W545" s="3" t="s">
        <v>147</v>
      </c>
      <c r="X545" s="27" t="n">
        <f>1210065920000</f>
        <v>1.21006592E12</v>
      </c>
      <c r="Y545" s="27"/>
      <c r="Z545" s="25" t="n">
        <f>416605</f>
        <v>416605.0</v>
      </c>
      <c r="AA545" s="25" t="n">
        <f>67475</f>
        <v>67475.0</v>
      </c>
      <c r="AB545" s="2" t="s">
        <v>249</v>
      </c>
      <c r="AC545" s="26" t="n">
        <f>79448</f>
        <v>79448.0</v>
      </c>
      <c r="AD545" s="3" t="s">
        <v>134</v>
      </c>
      <c r="AE545" s="27" t="n">
        <f>35848</f>
        <v>35848.0</v>
      </c>
    </row>
    <row r="546">
      <c r="A546" s="20" t="s">
        <v>1133</v>
      </c>
      <c r="B546" s="21" t="s">
        <v>1134</v>
      </c>
      <c r="C546" s="22"/>
      <c r="D546" s="23"/>
      <c r="E546" s="24" t="s">
        <v>423</v>
      </c>
      <c r="F546" s="28" t="n">
        <f>123</f>
        <v>123.0</v>
      </c>
      <c r="G546" s="25" t="n">
        <f>3548169</f>
        <v>3548169.0</v>
      </c>
      <c r="H546" s="25" t="n">
        <f>124885</f>
        <v>124885.0</v>
      </c>
      <c r="I546" s="25" t="n">
        <f>56122</f>
        <v>56122.0</v>
      </c>
      <c r="J546" s="25" t="n">
        <f>28847</f>
        <v>28847.0</v>
      </c>
      <c r="K546" s="25" t="n">
        <f>456</f>
        <v>456.0</v>
      </c>
      <c r="L546" s="2" t="s">
        <v>125</v>
      </c>
      <c r="M546" s="26" t="n">
        <f>97779</f>
        <v>97779.0</v>
      </c>
      <c r="N546" s="3" t="s">
        <v>321</v>
      </c>
      <c r="O546" s="27" t="n">
        <f>11932</f>
        <v>11932.0</v>
      </c>
      <c r="P546" s="29" t="s">
        <v>1219</v>
      </c>
      <c r="Q546" s="25" t="n">
        <f>17301149000000</f>
        <v>1.7301149E13</v>
      </c>
      <c r="R546" s="29" t="s">
        <v>1220</v>
      </c>
      <c r="S546" s="25" t="n">
        <f>4006035173008</f>
        <v>4.006035173008E12</v>
      </c>
      <c r="T546" s="25" t="n">
        <f>63497045772</f>
        <v>6.3497045772E10</v>
      </c>
      <c r="U546" s="3" t="s">
        <v>125</v>
      </c>
      <c r="V546" s="27" t="n">
        <f>13590227470000</f>
        <v>1.359022747E13</v>
      </c>
      <c r="W546" s="3" t="s">
        <v>321</v>
      </c>
      <c r="X546" s="27" t="n">
        <f>1652919370000</f>
        <v>1.65291937E12</v>
      </c>
      <c r="Y546" s="27"/>
      <c r="Z546" s="25" t="n">
        <f>583844</f>
        <v>583844.0</v>
      </c>
      <c r="AA546" s="25" t="n">
        <f>55581</f>
        <v>55581.0</v>
      </c>
      <c r="AB546" s="2" t="s">
        <v>529</v>
      </c>
      <c r="AC546" s="26" t="n">
        <f>74990</f>
        <v>74990.0</v>
      </c>
      <c r="AD546" s="3" t="s">
        <v>1030</v>
      </c>
      <c r="AE546" s="27" t="n">
        <f>48581</f>
        <v>48581.0</v>
      </c>
    </row>
    <row r="547">
      <c r="A547" s="20" t="s">
        <v>1133</v>
      </c>
      <c r="B547" s="21" t="s">
        <v>1134</v>
      </c>
      <c r="C547" s="22"/>
      <c r="D547" s="23"/>
      <c r="E547" s="24" t="s">
        <v>426</v>
      </c>
      <c r="F547" s="28" t="n">
        <f>121</f>
        <v>121.0</v>
      </c>
      <c r="G547" s="25" t="n">
        <f>3656067</f>
        <v>3656067.0</v>
      </c>
      <c r="H547" s="25" t="n">
        <f>55443</f>
        <v>55443.0</v>
      </c>
      <c r="I547" s="25" t="n">
        <f>61871</f>
        <v>61871.0</v>
      </c>
      <c r="J547" s="25" t="n">
        <f>30215</f>
        <v>30215.0</v>
      </c>
      <c r="K547" s="25" t="n">
        <f>511</f>
        <v>511.0</v>
      </c>
      <c r="L547" s="2" t="s">
        <v>427</v>
      </c>
      <c r="M547" s="26" t="n">
        <f>94905</f>
        <v>94905.0</v>
      </c>
      <c r="N547" s="3" t="s">
        <v>180</v>
      </c>
      <c r="O547" s="27" t="n">
        <f>14018</f>
        <v>14018.0</v>
      </c>
      <c r="P547" s="29" t="s">
        <v>1221</v>
      </c>
      <c r="Q547" s="25" t="n">
        <f>7731834500000</f>
        <v>7.7318345E12</v>
      </c>
      <c r="R547" s="29" t="s">
        <v>1222</v>
      </c>
      <c r="S547" s="25" t="n">
        <f>4219684264711</f>
        <v>4.219684264711E12</v>
      </c>
      <c r="T547" s="25" t="n">
        <f>71631660579</f>
        <v>7.1631660579E10</v>
      </c>
      <c r="U547" s="3" t="s">
        <v>427</v>
      </c>
      <c r="V547" s="27" t="n">
        <f>13364269580000</f>
        <v>1.336426958E13</v>
      </c>
      <c r="W547" s="3" t="s">
        <v>180</v>
      </c>
      <c r="X547" s="27" t="n">
        <f>1953696260000</f>
        <v>1.95369626E12</v>
      </c>
      <c r="Y547" s="27"/>
      <c r="Z547" s="25" t="n">
        <f>645030</f>
        <v>645030.0</v>
      </c>
      <c r="AA547" s="25" t="n">
        <f>69396</f>
        <v>69396.0</v>
      </c>
      <c r="AB547" s="2" t="s">
        <v>1089</v>
      </c>
      <c r="AC547" s="26" t="n">
        <f>89237</f>
        <v>89237.0</v>
      </c>
      <c r="AD547" s="3" t="s">
        <v>328</v>
      </c>
      <c r="AE547" s="27" t="n">
        <f>54050</f>
        <v>54050.0</v>
      </c>
    </row>
    <row r="548">
      <c r="A548" s="20" t="s">
        <v>1133</v>
      </c>
      <c r="B548" s="21" t="s">
        <v>1134</v>
      </c>
      <c r="C548" s="22"/>
      <c r="D548" s="23"/>
      <c r="E548" s="24" t="s">
        <v>430</v>
      </c>
      <c r="F548" s="28" t="n">
        <f>124</f>
        <v>124.0</v>
      </c>
      <c r="G548" s="25" t="n">
        <f>4365391</f>
        <v>4365391.0</v>
      </c>
      <c r="H548" s="25" t="n">
        <f>51567</f>
        <v>51567.0</v>
      </c>
      <c r="I548" s="25" t="n">
        <f>64726</f>
        <v>64726.0</v>
      </c>
      <c r="J548" s="25" t="n">
        <f>35205</f>
        <v>35205.0</v>
      </c>
      <c r="K548" s="25" t="n">
        <f>522</f>
        <v>522.0</v>
      </c>
      <c r="L548" s="2" t="s">
        <v>141</v>
      </c>
      <c r="M548" s="26" t="n">
        <f>113380</f>
        <v>113380.0</v>
      </c>
      <c r="N548" s="3" t="s">
        <v>138</v>
      </c>
      <c r="O548" s="27" t="n">
        <f>11360</f>
        <v>11360.0</v>
      </c>
      <c r="P548" s="29" t="s">
        <v>1223</v>
      </c>
      <c r="Q548" s="25" t="n">
        <f>7319417000000</f>
        <v>7.319417E12</v>
      </c>
      <c r="R548" s="29" t="s">
        <v>1224</v>
      </c>
      <c r="S548" s="25" t="n">
        <f>4993979394919</f>
        <v>4.993979394919E12</v>
      </c>
      <c r="T548" s="25" t="n">
        <f>74060307500</f>
        <v>7.40603075E10</v>
      </c>
      <c r="U548" s="3" t="s">
        <v>141</v>
      </c>
      <c r="V548" s="27" t="n">
        <f>16021131700000</f>
        <v>1.60211317E13</v>
      </c>
      <c r="W548" s="3" t="s">
        <v>138</v>
      </c>
      <c r="X548" s="27" t="n">
        <f>1588677930000</f>
        <v>1.58867793E12</v>
      </c>
      <c r="Y548" s="27"/>
      <c r="Z548" s="25" t="n">
        <f>571010</f>
        <v>571010.0</v>
      </c>
      <c r="AA548" s="25" t="n">
        <f>49335</f>
        <v>49335.0</v>
      </c>
      <c r="AB548" s="2" t="s">
        <v>529</v>
      </c>
      <c r="AC548" s="26" t="n">
        <f>93428</f>
        <v>93428.0</v>
      </c>
      <c r="AD548" s="3" t="s">
        <v>64</v>
      </c>
      <c r="AE548" s="27" t="n">
        <f>47285</f>
        <v>47285.0</v>
      </c>
    </row>
    <row r="549">
      <c r="A549" s="20" t="s">
        <v>1133</v>
      </c>
      <c r="B549" s="21" t="s">
        <v>1134</v>
      </c>
      <c r="C549" s="22"/>
      <c r="D549" s="23"/>
      <c r="E549" s="24" t="s">
        <v>433</v>
      </c>
      <c r="F549" s="28" t="n">
        <f>121</f>
        <v>121.0</v>
      </c>
      <c r="G549" s="25" t="n">
        <f>3452924</f>
        <v>3452924.0</v>
      </c>
      <c r="H549" s="25" t="n">
        <f>31665</f>
        <v>31665.0</v>
      </c>
      <c r="I549" s="25" t="n">
        <f>92016</f>
        <v>92016.0</v>
      </c>
      <c r="J549" s="25" t="n">
        <f>28537</f>
        <v>28537.0</v>
      </c>
      <c r="K549" s="25" t="n">
        <f>760</f>
        <v>760.0</v>
      </c>
      <c r="L549" s="2" t="s">
        <v>70</v>
      </c>
      <c r="M549" s="26" t="n">
        <f>93214</f>
        <v>93214.0</v>
      </c>
      <c r="N549" s="3" t="s">
        <v>177</v>
      </c>
      <c r="O549" s="27" t="n">
        <f>11502</f>
        <v>11502.0</v>
      </c>
      <c r="P549" s="29" t="s">
        <v>1225</v>
      </c>
      <c r="Q549" s="25" t="n">
        <f>4424472000000</f>
        <v>4.424472E12</v>
      </c>
      <c r="R549" s="29" t="s">
        <v>1226</v>
      </c>
      <c r="S549" s="25" t="n">
        <f>3993444375702</f>
        <v>3.993444375702E12</v>
      </c>
      <c r="T549" s="25" t="n">
        <f>106550669835</f>
        <v>1.06550669835E11</v>
      </c>
      <c r="U549" s="3" t="s">
        <v>70</v>
      </c>
      <c r="V549" s="27" t="n">
        <f>12990034540000</f>
        <v>1.299003454E13</v>
      </c>
      <c r="W549" s="3" t="s">
        <v>177</v>
      </c>
      <c r="X549" s="27" t="n">
        <f>1606927490000</f>
        <v>1.60692749E12</v>
      </c>
      <c r="Y549" s="27"/>
      <c r="Z549" s="25" t="n">
        <f>550265</f>
        <v>550265.0</v>
      </c>
      <c r="AA549" s="25" t="n">
        <f>71124</f>
        <v>71124.0</v>
      </c>
      <c r="AB549" s="2" t="s">
        <v>312</v>
      </c>
      <c r="AC549" s="26" t="n">
        <f>84944</f>
        <v>84944.0</v>
      </c>
      <c r="AD549" s="3" t="s">
        <v>773</v>
      </c>
      <c r="AE549" s="27" t="n">
        <f>47686</f>
        <v>47686.0</v>
      </c>
    </row>
    <row r="550">
      <c r="A550" s="20" t="s">
        <v>1133</v>
      </c>
      <c r="B550" s="21" t="s">
        <v>1134</v>
      </c>
      <c r="C550" s="22"/>
      <c r="D550" s="23"/>
      <c r="E550" s="24" t="s">
        <v>437</v>
      </c>
      <c r="F550" s="28" t="n">
        <f>124</f>
        <v>124.0</v>
      </c>
      <c r="G550" s="25" t="n">
        <f>3430286</f>
        <v>3430286.0</v>
      </c>
      <c r="H550" s="25" t="n">
        <f>49513</f>
        <v>49513.0</v>
      </c>
      <c r="I550" s="25" t="n">
        <f>105347</f>
        <v>105347.0</v>
      </c>
      <c r="J550" s="25" t="n">
        <f>27664</f>
        <v>27664.0</v>
      </c>
      <c r="K550" s="25" t="n">
        <f>850</f>
        <v>850.0</v>
      </c>
      <c r="L550" s="2" t="s">
        <v>90</v>
      </c>
      <c r="M550" s="26" t="n">
        <f>114307</f>
        <v>114307.0</v>
      </c>
      <c r="N550" s="3" t="s">
        <v>50</v>
      </c>
      <c r="O550" s="27" t="n">
        <f>9396</f>
        <v>9396.0</v>
      </c>
      <c r="P550" s="29" t="s">
        <v>1227</v>
      </c>
      <c r="Q550" s="25" t="n">
        <f>7037250500000</f>
        <v>7.0372505E12</v>
      </c>
      <c r="R550" s="29" t="s">
        <v>1228</v>
      </c>
      <c r="S550" s="25" t="n">
        <f>3934530118226</f>
        <v>3.934530118226E12</v>
      </c>
      <c r="T550" s="25" t="n">
        <f>120697232500</f>
        <v>1.206972325E11</v>
      </c>
      <c r="U550" s="3" t="s">
        <v>90</v>
      </c>
      <c r="V550" s="27" t="n">
        <f>16332850970000</f>
        <v>1.633285097E13</v>
      </c>
      <c r="W550" s="3" t="s">
        <v>50</v>
      </c>
      <c r="X550" s="27" t="n">
        <f>1337979980000</f>
        <v>1.33797998E12</v>
      </c>
      <c r="Y550" s="27"/>
      <c r="Z550" s="25" t="n">
        <f>597757</f>
        <v>597757.0</v>
      </c>
      <c r="AA550" s="25" t="n">
        <f>71439</f>
        <v>71439.0</v>
      </c>
      <c r="AB550" s="2" t="s">
        <v>63</v>
      </c>
      <c r="AC550" s="26" t="n">
        <f>87695</f>
        <v>87695.0</v>
      </c>
      <c r="AD550" s="3" t="s">
        <v>81</v>
      </c>
      <c r="AE550" s="27" t="n">
        <f>53480</f>
        <v>53480.0</v>
      </c>
    </row>
    <row r="551">
      <c r="A551" s="20" t="s">
        <v>1133</v>
      </c>
      <c r="B551" s="21" t="s">
        <v>1134</v>
      </c>
      <c r="C551" s="22"/>
      <c r="D551" s="23"/>
      <c r="E551" s="24" t="s">
        <v>440</v>
      </c>
      <c r="F551" s="28" t="n">
        <f>123</f>
        <v>123.0</v>
      </c>
      <c r="G551" s="25" t="n">
        <f>4523658</f>
        <v>4523658.0</v>
      </c>
      <c r="H551" s="25" t="n">
        <f>59064</f>
        <v>59064.0</v>
      </c>
      <c r="I551" s="25" t="n">
        <f>277674</f>
        <v>277674.0</v>
      </c>
      <c r="J551" s="25" t="n">
        <f>36778</f>
        <v>36778.0</v>
      </c>
      <c r="K551" s="25" t="n">
        <f>2258</f>
        <v>2258.0</v>
      </c>
      <c r="L551" s="2" t="s">
        <v>146</v>
      </c>
      <c r="M551" s="26" t="n">
        <f>135800</f>
        <v>135800.0</v>
      </c>
      <c r="N551" s="3" t="s">
        <v>706</v>
      </c>
      <c r="O551" s="27" t="n">
        <f>12991</f>
        <v>12991.0</v>
      </c>
      <c r="P551" s="29" t="s">
        <v>1229</v>
      </c>
      <c r="Q551" s="25" t="n">
        <f>8420925000000</f>
        <v>8.420925E12</v>
      </c>
      <c r="R551" s="29" t="s">
        <v>1230</v>
      </c>
      <c r="S551" s="25" t="n">
        <f>5250648928618</f>
        <v>5.250648928618E12</v>
      </c>
      <c r="T551" s="25" t="n">
        <f>322542671463</f>
        <v>3.22542671463E11</v>
      </c>
      <c r="U551" s="3" t="s">
        <v>146</v>
      </c>
      <c r="V551" s="27" t="n">
        <f>19479586320000</f>
        <v>1.947958632E13</v>
      </c>
      <c r="W551" s="3" t="s">
        <v>706</v>
      </c>
      <c r="X551" s="27" t="n">
        <f>1849750670000</f>
        <v>1.84975067E12</v>
      </c>
      <c r="Y551" s="27"/>
      <c r="Z551" s="25" t="n">
        <f>814477</f>
        <v>814477.0</v>
      </c>
      <c r="AA551" s="25" t="n">
        <f>79421</f>
        <v>79421.0</v>
      </c>
      <c r="AB551" s="2" t="s">
        <v>754</v>
      </c>
      <c r="AC551" s="26" t="n">
        <f>111370</f>
        <v>111370.0</v>
      </c>
      <c r="AD551" s="3" t="s">
        <v>156</v>
      </c>
      <c r="AE551" s="27" t="n">
        <f>72698</f>
        <v>72698.0</v>
      </c>
    </row>
    <row r="552">
      <c r="A552" s="20" t="s">
        <v>1133</v>
      </c>
      <c r="B552" s="21" t="s">
        <v>1134</v>
      </c>
      <c r="C552" s="22"/>
      <c r="D552" s="23"/>
      <c r="E552" s="24" t="s">
        <v>443</v>
      </c>
      <c r="F552" s="28" t="n">
        <f>125</f>
        <v>125.0</v>
      </c>
      <c r="G552" s="25" t="n">
        <f>4341626</f>
        <v>4341626.0</v>
      </c>
      <c r="H552" s="25" t="n">
        <f>36503</f>
        <v>36503.0</v>
      </c>
      <c r="I552" s="25" t="n">
        <f>258621</f>
        <v>258621.0</v>
      </c>
      <c r="J552" s="25" t="n">
        <f>34733</f>
        <v>34733.0</v>
      </c>
      <c r="K552" s="25" t="n">
        <f>2069</f>
        <v>2069.0</v>
      </c>
      <c r="L552" s="2" t="s">
        <v>137</v>
      </c>
      <c r="M552" s="26" t="n">
        <f>144993</f>
        <v>144993.0</v>
      </c>
      <c r="N552" s="3" t="s">
        <v>225</v>
      </c>
      <c r="O552" s="27" t="n">
        <f>13154</f>
        <v>13154.0</v>
      </c>
      <c r="P552" s="29" t="s">
        <v>1231</v>
      </c>
      <c r="Q552" s="25" t="n">
        <f>5261141000000</f>
        <v>5.261141E12</v>
      </c>
      <c r="R552" s="29" t="s">
        <v>1232</v>
      </c>
      <c r="S552" s="25" t="n">
        <f>5008016744080</f>
        <v>5.00801674408E12</v>
      </c>
      <c r="T552" s="25" t="n">
        <f>298617337280</f>
        <v>2.9861733728E11</v>
      </c>
      <c r="U552" s="3" t="s">
        <v>137</v>
      </c>
      <c r="V552" s="27" t="n">
        <f>21021851440000</f>
        <v>2.102185144E13</v>
      </c>
      <c r="W552" s="3" t="s">
        <v>225</v>
      </c>
      <c r="X552" s="27" t="n">
        <f>1891778690000</f>
        <v>1.89177869E12</v>
      </c>
      <c r="Y552" s="27"/>
      <c r="Z552" s="25" t="n">
        <f>736218</f>
        <v>736218.0</v>
      </c>
      <c r="AA552" s="25" t="n">
        <f>77546</f>
        <v>77546.0</v>
      </c>
      <c r="AB552" s="2" t="s">
        <v>77</v>
      </c>
      <c r="AC552" s="26" t="n">
        <f>98340</f>
        <v>98340.0</v>
      </c>
      <c r="AD552" s="3" t="s">
        <v>295</v>
      </c>
      <c r="AE552" s="27" t="n">
        <f>69960</f>
        <v>69960.0</v>
      </c>
    </row>
    <row r="553">
      <c r="A553" s="20" t="s">
        <v>1133</v>
      </c>
      <c r="B553" s="21" t="s">
        <v>1134</v>
      </c>
      <c r="C553" s="22"/>
      <c r="D553" s="23"/>
      <c r="E553" s="24" t="s">
        <v>447</v>
      </c>
      <c r="F553" s="28" t="n">
        <f>120</f>
        <v>120.0</v>
      </c>
      <c r="G553" s="25" t="n">
        <f>5337011</f>
        <v>5337011.0</v>
      </c>
      <c r="H553" s="25" t="n">
        <f>54895</f>
        <v>54895.0</v>
      </c>
      <c r="I553" s="25" t="n">
        <f>335589</f>
        <v>335589.0</v>
      </c>
      <c r="J553" s="25" t="n">
        <f>44475</f>
        <v>44475.0</v>
      </c>
      <c r="K553" s="25" t="n">
        <f>2797</f>
        <v>2797.0</v>
      </c>
      <c r="L553" s="2" t="s">
        <v>146</v>
      </c>
      <c r="M553" s="26" t="n">
        <f>147966</f>
        <v>147966.0</v>
      </c>
      <c r="N553" s="3" t="s">
        <v>855</v>
      </c>
      <c r="O553" s="27" t="n">
        <f>16894</f>
        <v>16894.0</v>
      </c>
      <c r="P553" s="29" t="s">
        <v>1233</v>
      </c>
      <c r="Q553" s="25" t="n">
        <f>7908992500000</f>
        <v>7.9089925E12</v>
      </c>
      <c r="R553" s="29" t="s">
        <v>1234</v>
      </c>
      <c r="S553" s="25" t="n">
        <f>6400801391000</f>
        <v>6.400801391E12</v>
      </c>
      <c r="T553" s="25" t="n">
        <f>402413833000</f>
        <v>4.02413833E11</v>
      </c>
      <c r="U553" s="3" t="s">
        <v>146</v>
      </c>
      <c r="V553" s="27" t="n">
        <f>21178367170000</f>
        <v>2.117836717E13</v>
      </c>
      <c r="W553" s="3" t="s">
        <v>855</v>
      </c>
      <c r="X553" s="27" t="n">
        <f>2445596270000</f>
        <v>2.44559627E12</v>
      </c>
      <c r="Y553" s="27"/>
      <c r="Z553" s="25" t="n">
        <f>1036506</f>
        <v>1036506.0</v>
      </c>
      <c r="AA553" s="25" t="n">
        <f>86899</f>
        <v>86899.0</v>
      </c>
      <c r="AB553" s="2" t="s">
        <v>546</v>
      </c>
      <c r="AC553" s="26" t="n">
        <f>125183</f>
        <v>125183.0</v>
      </c>
      <c r="AD553" s="3" t="s">
        <v>101</v>
      </c>
      <c r="AE553" s="27" t="n">
        <f>77911</f>
        <v>77911.0</v>
      </c>
    </row>
    <row r="554">
      <c r="A554" s="20" t="s">
        <v>1133</v>
      </c>
      <c r="B554" s="21" t="s">
        <v>1134</v>
      </c>
      <c r="C554" s="22"/>
      <c r="D554" s="23"/>
      <c r="E554" s="24" t="s">
        <v>451</v>
      </c>
      <c r="F554" s="28" t="n">
        <f>125</f>
        <v>125.0</v>
      </c>
      <c r="G554" s="25" t="n">
        <f>3804009</f>
        <v>3804009.0</v>
      </c>
      <c r="H554" s="25" t="n">
        <f>32502</f>
        <v>32502.0</v>
      </c>
      <c r="I554" s="25" t="n">
        <f>284512</f>
        <v>284512.0</v>
      </c>
      <c r="J554" s="25" t="n">
        <f>30432</f>
        <v>30432.0</v>
      </c>
      <c r="K554" s="25" t="n">
        <f>2276</f>
        <v>2276.0</v>
      </c>
      <c r="L554" s="2" t="s">
        <v>81</v>
      </c>
      <c r="M554" s="26" t="n">
        <f>171939</f>
        <v>171939.0</v>
      </c>
      <c r="N554" s="3" t="s">
        <v>285</v>
      </c>
      <c r="O554" s="27" t="n">
        <f>9702</f>
        <v>9702.0</v>
      </c>
      <c r="P554" s="29" t="s">
        <v>1235</v>
      </c>
      <c r="Q554" s="25" t="n">
        <f>4680278000000</f>
        <v>4.680278E12</v>
      </c>
      <c r="R554" s="29" t="s">
        <v>1236</v>
      </c>
      <c r="S554" s="25" t="n">
        <f>4384405057840</f>
        <v>4.38440505784E12</v>
      </c>
      <c r="T554" s="25" t="n">
        <f>327838827280</f>
        <v>3.2783882728E11</v>
      </c>
      <c r="U554" s="3" t="s">
        <v>81</v>
      </c>
      <c r="V554" s="27" t="n">
        <f>24811254690000</f>
        <v>2.481125469E13</v>
      </c>
      <c r="W554" s="3" t="s">
        <v>285</v>
      </c>
      <c r="X554" s="27" t="n">
        <f>1405311940000</f>
        <v>1.40531194E12</v>
      </c>
      <c r="Y554" s="27"/>
      <c r="Z554" s="25" t="n">
        <f>904915</f>
        <v>904915.0</v>
      </c>
      <c r="AA554" s="25" t="n">
        <f>98944</f>
        <v>98944.0</v>
      </c>
      <c r="AB554" s="2" t="s">
        <v>521</v>
      </c>
      <c r="AC554" s="26" t="n">
        <f>109868</f>
        <v>109868.0</v>
      </c>
      <c r="AD554" s="3" t="s">
        <v>67</v>
      </c>
      <c r="AE554" s="27" t="n">
        <f>85689</f>
        <v>85689.0</v>
      </c>
    </row>
    <row r="555">
      <c r="A555" s="20" t="s">
        <v>1133</v>
      </c>
      <c r="B555" s="21" t="s">
        <v>1134</v>
      </c>
      <c r="C555" s="22"/>
      <c r="D555" s="23"/>
      <c r="E555" s="24" t="s">
        <v>454</v>
      </c>
      <c r="F555" s="28" t="n">
        <f>120</f>
        <v>120.0</v>
      </c>
      <c r="G555" s="25" t="n">
        <f>4040918</f>
        <v>4040918.0</v>
      </c>
      <c r="H555" s="25" t="n">
        <f>27230</f>
        <v>27230.0</v>
      </c>
      <c r="I555" s="25" t="n">
        <f>337854</f>
        <v>337854.0</v>
      </c>
      <c r="J555" s="25" t="n">
        <f>33674</f>
        <v>33674.0</v>
      </c>
      <c r="K555" s="25" t="n">
        <f>2815</f>
        <v>2815.0</v>
      </c>
      <c r="L555" s="2" t="s">
        <v>97</v>
      </c>
      <c r="M555" s="26" t="n">
        <f>153849</f>
        <v>153849.0</v>
      </c>
      <c r="N555" s="3" t="s">
        <v>455</v>
      </c>
      <c r="O555" s="27" t="n">
        <f>13746</f>
        <v>13746.0</v>
      </c>
      <c r="P555" s="29" t="s">
        <v>1237</v>
      </c>
      <c r="Q555" s="25" t="n">
        <f>3943413000000</f>
        <v>3.943413E12</v>
      </c>
      <c r="R555" s="29" t="s">
        <v>1238</v>
      </c>
      <c r="S555" s="25" t="n">
        <f>4880621717417</f>
        <v>4.880621717417E12</v>
      </c>
      <c r="T555" s="25" t="n">
        <f>408281435833</f>
        <v>4.08281435833E11</v>
      </c>
      <c r="U555" s="3" t="s">
        <v>97</v>
      </c>
      <c r="V555" s="27" t="n">
        <f>22309295240000</f>
        <v>2.230929524E13</v>
      </c>
      <c r="W555" s="3" t="s">
        <v>455</v>
      </c>
      <c r="X555" s="27" t="n">
        <f>1994154880000</f>
        <v>1.99415488E12</v>
      </c>
      <c r="Y555" s="27"/>
      <c r="Z555" s="25" t="n">
        <f>1040986</f>
        <v>1040986.0</v>
      </c>
      <c r="AA555" s="25" t="n">
        <f>99201</f>
        <v>99201.0</v>
      </c>
      <c r="AB555" s="2" t="s">
        <v>552</v>
      </c>
      <c r="AC555" s="26" t="n">
        <f>116116</f>
        <v>116116.0</v>
      </c>
      <c r="AD555" s="3" t="s">
        <v>134</v>
      </c>
      <c r="AE555" s="27" t="n">
        <f>94166</f>
        <v>94166.0</v>
      </c>
    </row>
    <row r="556">
      <c r="A556" s="20" t="s">
        <v>1133</v>
      </c>
      <c r="B556" s="21" t="s">
        <v>1134</v>
      </c>
      <c r="C556" s="22"/>
      <c r="D556" s="23"/>
      <c r="E556" s="24" t="s">
        <v>48</v>
      </c>
      <c r="F556" s="28" t="n">
        <f>124</f>
        <v>124.0</v>
      </c>
      <c r="G556" s="25" t="n">
        <f>4750635</f>
        <v>4750635.0</v>
      </c>
      <c r="H556" s="25" t="n">
        <f>26869</f>
        <v>26869.0</v>
      </c>
      <c r="I556" s="25" t="n">
        <f>269029</f>
        <v>269029.0</v>
      </c>
      <c r="J556" s="25" t="n">
        <f>38312</f>
        <v>38312.0</v>
      </c>
      <c r="K556" s="25" t="n">
        <f>2170</f>
        <v>2170.0</v>
      </c>
      <c r="L556" s="2" t="s">
        <v>388</v>
      </c>
      <c r="M556" s="26" t="n">
        <f>134010</f>
        <v>134010.0</v>
      </c>
      <c r="N556" s="3" t="s">
        <v>269</v>
      </c>
      <c r="O556" s="27" t="n">
        <f>10224</f>
        <v>10224.0</v>
      </c>
      <c r="P556" s="29" t="s">
        <v>1239</v>
      </c>
      <c r="Q556" s="25" t="n">
        <f>3928234500000</f>
        <v>3.9282345E12</v>
      </c>
      <c r="R556" s="29" t="s">
        <v>1240</v>
      </c>
      <c r="S556" s="25" t="n">
        <f>5605001335565</f>
        <v>5.605001335565E12</v>
      </c>
      <c r="T556" s="25" t="n">
        <f>317654589919</f>
        <v>3.17654589919E11</v>
      </c>
      <c r="U556" s="3" t="s">
        <v>388</v>
      </c>
      <c r="V556" s="27" t="n">
        <f>19561431880000</f>
        <v>1.956143188E13</v>
      </c>
      <c r="W556" s="3" t="s">
        <v>269</v>
      </c>
      <c r="X556" s="27" t="n">
        <f>1510604160000</f>
        <v>1.51060416E12</v>
      </c>
      <c r="Y556" s="27"/>
      <c r="Z556" s="25" t="n">
        <f>915416</f>
        <v>915416.0</v>
      </c>
      <c r="AA556" s="25" t="n">
        <f>96722</f>
        <v>96722.0</v>
      </c>
      <c r="AB556" s="2" t="s">
        <v>331</v>
      </c>
      <c r="AC556" s="26" t="n">
        <f>116525</f>
        <v>116525.0</v>
      </c>
      <c r="AD556" s="3" t="s">
        <v>295</v>
      </c>
      <c r="AE556" s="27" t="n">
        <f>91046</f>
        <v>91046.0</v>
      </c>
    </row>
    <row r="557">
      <c r="A557" s="20" t="s">
        <v>1133</v>
      </c>
      <c r="B557" s="21" t="s">
        <v>1134</v>
      </c>
      <c r="C557" s="22"/>
      <c r="D557" s="23"/>
      <c r="E557" s="24" t="s">
        <v>55</v>
      </c>
      <c r="F557" s="28" t="n">
        <f>121</f>
        <v>121.0</v>
      </c>
      <c r="G557" s="25" t="n">
        <f>4687298</f>
        <v>4687298.0</v>
      </c>
      <c r="H557" s="25" t="n">
        <f>16400</f>
        <v>16400.0</v>
      </c>
      <c r="I557" s="25" t="n">
        <f>272643</f>
        <v>272643.0</v>
      </c>
      <c r="J557" s="25" t="n">
        <f>38738</f>
        <v>38738.0</v>
      </c>
      <c r="K557" s="25" t="n">
        <f>2253</f>
        <v>2253.0</v>
      </c>
      <c r="L557" s="2" t="s">
        <v>88</v>
      </c>
      <c r="M557" s="26" t="n">
        <f>152862</f>
        <v>152862.0</v>
      </c>
      <c r="N557" s="3" t="s">
        <v>1168</v>
      </c>
      <c r="O557" s="27" t="n">
        <f>17596</f>
        <v>17596.0</v>
      </c>
      <c r="P557" s="29" t="s">
        <v>1241</v>
      </c>
      <c r="Q557" s="25" t="n">
        <f>2417963500000</f>
        <v>2.4179635E12</v>
      </c>
      <c r="R557" s="29" t="s">
        <v>1242</v>
      </c>
      <c r="S557" s="25" t="n">
        <f>5709977335372</f>
        <v>5.709977335372E12</v>
      </c>
      <c r="T557" s="25" t="n">
        <f>331750537851</f>
        <v>3.31750537851E11</v>
      </c>
      <c r="U557" s="3" t="s">
        <v>88</v>
      </c>
      <c r="V557" s="27" t="n">
        <f>22460275040000</f>
        <v>2.246027504E13</v>
      </c>
      <c r="W557" s="3" t="s">
        <v>1168</v>
      </c>
      <c r="X557" s="27" t="n">
        <f>2601460060000</f>
        <v>2.60146006E12</v>
      </c>
      <c r="Y557" s="27"/>
      <c r="Z557" s="25" t="n">
        <f>1045149</f>
        <v>1045149.0</v>
      </c>
      <c r="AA557" s="25" t="n">
        <f>100062</f>
        <v>100062.0</v>
      </c>
      <c r="AB557" s="2" t="s">
        <v>71</v>
      </c>
      <c r="AC557" s="26" t="n">
        <f>111111</f>
        <v>111111.0</v>
      </c>
      <c r="AD557" s="3" t="s">
        <v>765</v>
      </c>
      <c r="AE557" s="27" t="n">
        <f>85469</f>
        <v>85469.0</v>
      </c>
    </row>
    <row r="558">
      <c r="A558" s="20" t="s">
        <v>1133</v>
      </c>
      <c r="B558" s="21" t="s">
        <v>1134</v>
      </c>
      <c r="C558" s="22"/>
      <c r="D558" s="23"/>
      <c r="E558" s="24" t="s">
        <v>62</v>
      </c>
      <c r="F558" s="28" t="n">
        <f>123</f>
        <v>123.0</v>
      </c>
      <c r="G558" s="25" t="n">
        <f>3990278</f>
        <v>3990278.0</v>
      </c>
      <c r="H558" s="25" t="n">
        <f>18348</f>
        <v>18348.0</v>
      </c>
      <c r="I558" s="25" t="n">
        <f>205883</f>
        <v>205883.0</v>
      </c>
      <c r="J558" s="25" t="n">
        <f>32441</f>
        <v>32441.0</v>
      </c>
      <c r="K558" s="25" t="n">
        <f>1674</f>
        <v>1674.0</v>
      </c>
      <c r="L558" s="2" t="s">
        <v>388</v>
      </c>
      <c r="M558" s="26" t="n">
        <f>141659</f>
        <v>141659.0</v>
      </c>
      <c r="N558" s="3" t="s">
        <v>114</v>
      </c>
      <c r="O558" s="27" t="n">
        <f>9613</f>
        <v>9613.0</v>
      </c>
      <c r="P558" s="29" t="s">
        <v>1243</v>
      </c>
      <c r="Q558" s="25" t="n">
        <f>2714239500000</f>
        <v>2.7142395E12</v>
      </c>
      <c r="R558" s="29" t="s">
        <v>1244</v>
      </c>
      <c r="S558" s="25" t="n">
        <f>4804856047236</f>
        <v>4.804856047236E12</v>
      </c>
      <c r="T558" s="25" t="n">
        <f>248109139024</f>
        <v>2.48109139024E11</v>
      </c>
      <c r="U558" s="3" t="s">
        <v>388</v>
      </c>
      <c r="V558" s="27" t="n">
        <f>20970207970000</f>
        <v>2.097020797E13</v>
      </c>
      <c r="W558" s="3" t="s">
        <v>114</v>
      </c>
      <c r="X558" s="27" t="n">
        <f>1431793020000</f>
        <v>1.43179302E12</v>
      </c>
      <c r="Y558" s="27"/>
      <c r="Z558" s="25" t="n">
        <f>993111</f>
        <v>993111.0</v>
      </c>
      <c r="AA558" s="25" t="n">
        <f>95509</f>
        <v>95509.0</v>
      </c>
      <c r="AB558" s="2" t="s">
        <v>593</v>
      </c>
      <c r="AC558" s="26" t="n">
        <f>118032</f>
        <v>118032.0</v>
      </c>
      <c r="AD558" s="3" t="s">
        <v>118</v>
      </c>
      <c r="AE558" s="27" t="n">
        <f>92568</f>
        <v>92568.0</v>
      </c>
    </row>
    <row r="559">
      <c r="A559" s="20" t="s">
        <v>1133</v>
      </c>
      <c r="B559" s="21" t="s">
        <v>1134</v>
      </c>
      <c r="C559" s="22"/>
      <c r="D559" s="23"/>
      <c r="E559" s="24" t="s">
        <v>69</v>
      </c>
      <c r="F559" s="28" t="n">
        <f>122</f>
        <v>122.0</v>
      </c>
      <c r="G559" s="25" t="n">
        <f>3922233</f>
        <v>3922233.0</v>
      </c>
      <c r="H559" s="25" t="n">
        <f>18702</f>
        <v>18702.0</v>
      </c>
      <c r="I559" s="25" t="n">
        <f>186128</f>
        <v>186128.0</v>
      </c>
      <c r="J559" s="25" t="n">
        <f>32149</f>
        <v>32149.0</v>
      </c>
      <c r="K559" s="25" t="n">
        <f>1526</f>
        <v>1526.0</v>
      </c>
      <c r="L559" s="2" t="s">
        <v>427</v>
      </c>
      <c r="M559" s="26" t="n">
        <f>121978</f>
        <v>121978.0</v>
      </c>
      <c r="N559" s="3" t="s">
        <v>765</v>
      </c>
      <c r="O559" s="27" t="n">
        <f>10648</f>
        <v>10648.0</v>
      </c>
      <c r="P559" s="29" t="s">
        <v>1245</v>
      </c>
      <c r="Q559" s="25" t="n">
        <f>2825166000000</f>
        <v>2.825166E12</v>
      </c>
      <c r="R559" s="29" t="s">
        <v>1246</v>
      </c>
      <c r="S559" s="25" t="n">
        <f>4867106829918</f>
        <v>4.867106829918E12</v>
      </c>
      <c r="T559" s="25" t="n">
        <f>231246893361</f>
        <v>2.31246893361E11</v>
      </c>
      <c r="U559" s="3" t="s">
        <v>427</v>
      </c>
      <c r="V559" s="27" t="n">
        <f>18545760230000</f>
        <v>1.854576023E13</v>
      </c>
      <c r="W559" s="3" t="s">
        <v>765</v>
      </c>
      <c r="X559" s="27" t="n">
        <f>1617220350000</f>
        <v>1.61722035E12</v>
      </c>
      <c r="Y559" s="27"/>
      <c r="Z559" s="25" t="n">
        <f>854752</f>
        <v>854752.0</v>
      </c>
      <c r="AA559" s="25" t="n">
        <f>72109</f>
        <v>72109.0</v>
      </c>
      <c r="AB559" s="2" t="s">
        <v>448</v>
      </c>
      <c r="AC559" s="26" t="n">
        <f>109664</f>
        <v>109664.0</v>
      </c>
      <c r="AD559" s="3" t="s">
        <v>75</v>
      </c>
      <c r="AE559" s="27" t="n">
        <f>66735</f>
        <v>66735.0</v>
      </c>
    </row>
    <row r="560">
      <c r="A560" s="20" t="s">
        <v>1133</v>
      </c>
      <c r="B560" s="21" t="s">
        <v>1134</v>
      </c>
      <c r="C560" s="22"/>
      <c r="D560" s="23"/>
      <c r="E560" s="24" t="s">
        <v>76</v>
      </c>
      <c r="F560" s="28" t="n">
        <f>123</f>
        <v>123.0</v>
      </c>
      <c r="G560" s="25" t="n">
        <f>3461065</f>
        <v>3461065.0</v>
      </c>
      <c r="H560" s="25" t="n">
        <f>19152</f>
        <v>19152.0</v>
      </c>
      <c r="I560" s="25" t="n">
        <f>165408</f>
        <v>165408.0</v>
      </c>
      <c r="J560" s="25" t="n">
        <f>28139</f>
        <v>28139.0</v>
      </c>
      <c r="K560" s="25" t="n">
        <f>1345</f>
        <v>1345.0</v>
      </c>
      <c r="L560" s="2" t="s">
        <v>81</v>
      </c>
      <c r="M560" s="26" t="n">
        <f>107699</f>
        <v>107699.0</v>
      </c>
      <c r="N560" s="3" t="s">
        <v>138</v>
      </c>
      <c r="O560" s="27" t="n">
        <f>7521</f>
        <v>7521.0</v>
      </c>
      <c r="P560" s="29" t="s">
        <v>1247</v>
      </c>
      <c r="Q560" s="25" t="n">
        <f>2904723000000</f>
        <v>2.904723E12</v>
      </c>
      <c r="R560" s="29" t="s">
        <v>1248</v>
      </c>
      <c r="S560" s="25" t="n">
        <f>4261854656837</f>
        <v>4.261854656837E12</v>
      </c>
      <c r="T560" s="25" t="n">
        <f>203262542366</f>
        <v>2.03262542366E11</v>
      </c>
      <c r="U560" s="3" t="s">
        <v>81</v>
      </c>
      <c r="V560" s="27" t="n">
        <f>16193353055000</f>
        <v>1.6193353055E13</v>
      </c>
      <c r="W560" s="3" t="s">
        <v>138</v>
      </c>
      <c r="X560" s="27" t="n">
        <f>1126759370000</f>
        <v>1.12675937E12</v>
      </c>
      <c r="Y560" s="27"/>
      <c r="Z560" s="25" t="n">
        <f>734773</f>
        <v>734773.0</v>
      </c>
      <c r="AA560" s="25" t="n">
        <f>80838</f>
        <v>80838.0</v>
      </c>
      <c r="AB560" s="2" t="s">
        <v>77</v>
      </c>
      <c r="AC560" s="26" t="n">
        <f>90783</f>
        <v>90783.0</v>
      </c>
      <c r="AD560" s="3" t="s">
        <v>975</v>
      </c>
      <c r="AE560" s="27" t="n">
        <f>54405</f>
        <v>54405.0</v>
      </c>
    </row>
    <row r="561">
      <c r="A561" s="20" t="s">
        <v>1133</v>
      </c>
      <c r="B561" s="21" t="s">
        <v>1134</v>
      </c>
      <c r="C561" s="22"/>
      <c r="D561" s="23"/>
      <c r="E561" s="24" t="s">
        <v>83</v>
      </c>
      <c r="F561" s="28" t="n">
        <f>123</f>
        <v>123.0</v>
      </c>
      <c r="G561" s="25" t="n">
        <f>3655122</f>
        <v>3655122.0</v>
      </c>
      <c r="H561" s="25" t="n">
        <f>14241</f>
        <v>14241.0</v>
      </c>
      <c r="I561" s="25" t="n">
        <f>227031</f>
        <v>227031.0</v>
      </c>
      <c r="J561" s="25" t="n">
        <f>29716</f>
        <v>29716.0</v>
      </c>
      <c r="K561" s="25" t="n">
        <f>1846</f>
        <v>1846.0</v>
      </c>
      <c r="L561" s="2" t="s">
        <v>427</v>
      </c>
      <c r="M561" s="26" t="n">
        <f>162107</f>
        <v>162107.0</v>
      </c>
      <c r="N561" s="3" t="s">
        <v>315</v>
      </c>
      <c r="O561" s="27" t="n">
        <f>12243</f>
        <v>12243.0</v>
      </c>
      <c r="P561" s="29" t="s">
        <v>1249</v>
      </c>
      <c r="Q561" s="25" t="n">
        <f>2140780000000</f>
        <v>2.14078E12</v>
      </c>
      <c r="R561" s="29" t="s">
        <v>1250</v>
      </c>
      <c r="S561" s="25" t="n">
        <f>4469722106598</f>
        <v>4.469722106598E12</v>
      </c>
      <c r="T561" s="25" t="n">
        <f>277713333264</f>
        <v>2.77713333264E11</v>
      </c>
      <c r="U561" s="3" t="s">
        <v>427</v>
      </c>
      <c r="V561" s="27" t="n">
        <f>24406293622500</f>
        <v>2.44062936225E13</v>
      </c>
      <c r="W561" s="3" t="s">
        <v>315</v>
      </c>
      <c r="X561" s="27" t="n">
        <f>1841516460000</f>
        <v>1.84151646E12</v>
      </c>
      <c r="Y561" s="27"/>
      <c r="Z561" s="25" t="n">
        <f>893044</f>
        <v>893044.0</v>
      </c>
      <c r="AA561" s="25" t="n">
        <f>86328</f>
        <v>86328.0</v>
      </c>
      <c r="AB561" s="2" t="s">
        <v>1079</v>
      </c>
      <c r="AC561" s="26" t="n">
        <f>114011</f>
        <v>114011.0</v>
      </c>
      <c r="AD561" s="3" t="s">
        <v>242</v>
      </c>
      <c r="AE561" s="27" t="n">
        <f>77290</f>
        <v>77290.0</v>
      </c>
    </row>
    <row r="562">
      <c r="A562" s="20" t="s">
        <v>1133</v>
      </c>
      <c r="B562" s="21" t="s">
        <v>1134</v>
      </c>
      <c r="C562" s="22"/>
      <c r="D562" s="23"/>
      <c r="E562" s="24" t="s">
        <v>89</v>
      </c>
      <c r="F562" s="28" t="n">
        <f>124</f>
        <v>124.0</v>
      </c>
      <c r="G562" s="25" t="n">
        <f>4535143</f>
        <v>4535143.0</v>
      </c>
      <c r="H562" s="25" t="n">
        <f>23190</f>
        <v>23190.0</v>
      </c>
      <c r="I562" s="25" t="n">
        <f>256619</f>
        <v>256619.0</v>
      </c>
      <c r="J562" s="25" t="n">
        <f>36574</f>
        <v>36574.0</v>
      </c>
      <c r="K562" s="25" t="n">
        <f>2070</f>
        <v>2070.0</v>
      </c>
      <c r="L562" s="2" t="s">
        <v>141</v>
      </c>
      <c r="M562" s="26" t="n">
        <f>132587</f>
        <v>132587.0</v>
      </c>
      <c r="N562" s="3" t="s">
        <v>994</v>
      </c>
      <c r="O562" s="27" t="n">
        <f>11930</f>
        <v>11930.0</v>
      </c>
      <c r="P562" s="29" t="s">
        <v>1251</v>
      </c>
      <c r="Q562" s="25" t="n">
        <f>3492160000000</f>
        <v>3.49216E12</v>
      </c>
      <c r="R562" s="29" t="s">
        <v>1252</v>
      </c>
      <c r="S562" s="25" t="n">
        <f>5511981729315</f>
        <v>5.511981729315E12</v>
      </c>
      <c r="T562" s="25" t="n">
        <f>312280666089</f>
        <v>3.12280666089E11</v>
      </c>
      <c r="U562" s="3" t="s">
        <v>141</v>
      </c>
      <c r="V562" s="27" t="n">
        <f>20042899890000</f>
        <v>2.004289989E13</v>
      </c>
      <c r="W562" s="3" t="s">
        <v>994</v>
      </c>
      <c r="X562" s="27" t="n">
        <f>1792288650000</f>
        <v>1.79228865E12</v>
      </c>
      <c r="Y562" s="27"/>
      <c r="Z562" s="25" t="n">
        <f>981118</f>
        <v>981118.0</v>
      </c>
      <c r="AA562" s="25" t="n">
        <f>96251</f>
        <v>96251.0</v>
      </c>
      <c r="AB562" s="2" t="s">
        <v>93</v>
      </c>
      <c r="AC562" s="26" t="n">
        <f>120998</f>
        <v>120998.0</v>
      </c>
      <c r="AD562" s="3" t="s">
        <v>254</v>
      </c>
      <c r="AE562" s="27" t="n">
        <f>84955</f>
        <v>84955.0</v>
      </c>
    </row>
    <row r="563">
      <c r="A563" s="20" t="s">
        <v>1133</v>
      </c>
      <c r="B563" s="21" t="s">
        <v>1134</v>
      </c>
      <c r="C563" s="22"/>
      <c r="D563" s="23"/>
      <c r="E563" s="24" t="s">
        <v>96</v>
      </c>
      <c r="F563" s="28" t="n">
        <f>121</f>
        <v>121.0</v>
      </c>
      <c r="G563" s="25" t="n">
        <f>4751644</f>
        <v>4751644.0</v>
      </c>
      <c r="H563" s="25" t="n">
        <f>19220</f>
        <v>19220.0</v>
      </c>
      <c r="I563" s="25" t="n">
        <f>331092</f>
        <v>331092.0</v>
      </c>
      <c r="J563" s="25" t="n">
        <f>39270</f>
        <v>39270.0</v>
      </c>
      <c r="K563" s="25" t="n">
        <f>2736</f>
        <v>2736.0</v>
      </c>
      <c r="L563" s="2" t="s">
        <v>74</v>
      </c>
      <c r="M563" s="26" t="n">
        <f>150424</f>
        <v>150424.0</v>
      </c>
      <c r="N563" s="3" t="s">
        <v>343</v>
      </c>
      <c r="O563" s="27" t="n">
        <f>13915</f>
        <v>13915.0</v>
      </c>
      <c r="P563" s="29" t="s">
        <v>1253</v>
      </c>
      <c r="Q563" s="25" t="n">
        <f>2893506500000</f>
        <v>2.8935065E12</v>
      </c>
      <c r="R563" s="29" t="s">
        <v>1254</v>
      </c>
      <c r="S563" s="25" t="n">
        <f>5918866747955</f>
        <v>5.918866747955E12</v>
      </c>
      <c r="T563" s="25" t="n">
        <f>412452382583</f>
        <v>4.12452382583E11</v>
      </c>
      <c r="U563" s="3" t="s">
        <v>74</v>
      </c>
      <c r="V563" s="27" t="n">
        <f>22690179857500</f>
        <v>2.26901798575E13</v>
      </c>
      <c r="W563" s="3" t="s">
        <v>343</v>
      </c>
      <c r="X563" s="27" t="n">
        <f>2098128370000</f>
        <v>2.09812837E12</v>
      </c>
      <c r="Y563" s="27"/>
      <c r="Z563" s="25" t="n">
        <f>1144152</f>
        <v>1144152.0</v>
      </c>
      <c r="AA563" s="25" t="n">
        <f>116142</f>
        <v>116142.0</v>
      </c>
      <c r="AB563" s="2" t="s">
        <v>70</v>
      </c>
      <c r="AC563" s="26" t="n">
        <f>170869</f>
        <v>170869.0</v>
      </c>
      <c r="AD563" s="3" t="s">
        <v>156</v>
      </c>
      <c r="AE563" s="27" t="n">
        <f>98123</f>
        <v>98123.0</v>
      </c>
    </row>
    <row r="564">
      <c r="A564" s="20" t="s">
        <v>1133</v>
      </c>
      <c r="B564" s="21" t="s">
        <v>1134</v>
      </c>
      <c r="C564" s="22"/>
      <c r="D564" s="23"/>
      <c r="E564" s="24" t="s">
        <v>102</v>
      </c>
      <c r="F564" s="28" t="n">
        <f>124</f>
        <v>124.0</v>
      </c>
      <c r="G564" s="25" t="n">
        <f>5552613</f>
        <v>5552613.0</v>
      </c>
      <c r="H564" s="25" t="n">
        <f>22350</f>
        <v>22350.0</v>
      </c>
      <c r="I564" s="25" t="n">
        <f>433931</f>
        <v>433931.0</v>
      </c>
      <c r="J564" s="25" t="n">
        <f>44779</f>
        <v>44779.0</v>
      </c>
      <c r="K564" s="25" t="n">
        <f>3499</f>
        <v>3499.0</v>
      </c>
      <c r="L564" s="2" t="s">
        <v>49</v>
      </c>
      <c r="M564" s="26" t="n">
        <f>199661</f>
        <v>199661.0</v>
      </c>
      <c r="N564" s="3" t="s">
        <v>854</v>
      </c>
      <c r="O564" s="27" t="n">
        <f>13977</f>
        <v>13977.0</v>
      </c>
      <c r="P564" s="29" t="s">
        <v>1255</v>
      </c>
      <c r="Q564" s="25" t="n">
        <f>3371367000000</f>
        <v>3.371367E12</v>
      </c>
      <c r="R564" s="29" t="s">
        <v>1256</v>
      </c>
      <c r="S564" s="25" t="n">
        <f>6753107840018</f>
        <v>6.753107840018E12</v>
      </c>
      <c r="T564" s="25" t="n">
        <f>528032151066</f>
        <v>5.28032151066E11</v>
      </c>
      <c r="U564" s="3" t="s">
        <v>49</v>
      </c>
      <c r="V564" s="27" t="n">
        <f>30313507922000</f>
        <v>3.0313507922E13</v>
      </c>
      <c r="W564" s="3" t="s">
        <v>854</v>
      </c>
      <c r="X564" s="27" t="n">
        <f>2110096060000</f>
        <v>2.11009606E12</v>
      </c>
      <c r="Y564" s="27"/>
      <c r="Z564" s="25" t="n">
        <f>1245745</f>
        <v>1245745.0</v>
      </c>
      <c r="AA564" s="25" t="n">
        <f>110589</f>
        <v>110589.0</v>
      </c>
      <c r="AB564" s="2" t="s">
        <v>295</v>
      </c>
      <c r="AC564" s="26" t="n">
        <f>185351</f>
        <v>185351.0</v>
      </c>
      <c r="AD564" s="3" t="s">
        <v>138</v>
      </c>
      <c r="AE564" s="27" t="n">
        <f>106772</f>
        <v>106772.0</v>
      </c>
    </row>
    <row r="565">
      <c r="A565" s="20" t="s">
        <v>1133</v>
      </c>
      <c r="B565" s="21" t="s">
        <v>1134</v>
      </c>
      <c r="C565" s="22"/>
      <c r="D565" s="23"/>
      <c r="E565" s="24" t="s">
        <v>107</v>
      </c>
      <c r="F565" s="28" t="n">
        <f>117</f>
        <v>117.0</v>
      </c>
      <c r="G565" s="25" t="n">
        <f>4852998</f>
        <v>4852998.0</v>
      </c>
      <c r="H565" s="25" t="n">
        <f>15037</f>
        <v>15037.0</v>
      </c>
      <c r="I565" s="25" t="n">
        <f>305109</f>
        <v>305109.0</v>
      </c>
      <c r="J565" s="25" t="n">
        <f>41479</f>
        <v>41479.0</v>
      </c>
      <c r="K565" s="25" t="n">
        <f>2608</f>
        <v>2608.0</v>
      </c>
      <c r="L565" s="2" t="s">
        <v>70</v>
      </c>
      <c r="M565" s="26" t="n">
        <f>191356</f>
        <v>191356.0</v>
      </c>
      <c r="N565" s="3" t="s">
        <v>108</v>
      </c>
      <c r="O565" s="27" t="n">
        <f>14362</f>
        <v>14362.0</v>
      </c>
      <c r="P565" s="29" t="s">
        <v>1257</v>
      </c>
      <c r="Q565" s="25" t="n">
        <f>2298983000000</f>
        <v>2.298983E12</v>
      </c>
      <c r="R565" s="29" t="s">
        <v>1258</v>
      </c>
      <c r="S565" s="25" t="n">
        <f>6343600004322</f>
        <v>6.343600004322E12</v>
      </c>
      <c r="T565" s="25" t="n">
        <f>399007305348</f>
        <v>3.99007305348E11</v>
      </c>
      <c r="U565" s="3" t="s">
        <v>70</v>
      </c>
      <c r="V565" s="27" t="n">
        <f>29225926800000</f>
        <v>2.92259268E13</v>
      </c>
      <c r="W565" s="3" t="s">
        <v>108</v>
      </c>
      <c r="X565" s="27" t="n">
        <f>2191125381400</f>
        <v>2.1911253814E12</v>
      </c>
      <c r="Y565" s="27"/>
      <c r="Z565" s="25" t="n">
        <f>939113</f>
        <v>939113.0</v>
      </c>
      <c r="AA565" s="25" t="n">
        <f>105023</f>
        <v>105023.0</v>
      </c>
      <c r="AB565" s="2" t="s">
        <v>204</v>
      </c>
      <c r="AC565" s="26" t="n">
        <f>138439</f>
        <v>138439.0</v>
      </c>
      <c r="AD565" s="3" t="s">
        <v>565</v>
      </c>
      <c r="AE565" s="27" t="n">
        <f>104366</f>
        <v>104366.0</v>
      </c>
    </row>
    <row r="566">
      <c r="A566" s="20" t="s">
        <v>1133</v>
      </c>
      <c r="B566" s="21" t="s">
        <v>1134</v>
      </c>
      <c r="C566" s="22"/>
      <c r="D566" s="23"/>
      <c r="E566" s="24" t="s">
        <v>113</v>
      </c>
      <c r="F566" s="28" t="n">
        <f>124</f>
        <v>124.0</v>
      </c>
      <c r="G566" s="25" t="n">
        <f>4758515</f>
        <v>4758515.0</v>
      </c>
      <c r="H566" s="25" t="n">
        <f>17353</f>
        <v>17353.0</v>
      </c>
      <c r="I566" s="25" t="n">
        <f>321348</f>
        <v>321348.0</v>
      </c>
      <c r="J566" s="25" t="n">
        <f>38375</f>
        <v>38375.0</v>
      </c>
      <c r="K566" s="25" t="n">
        <f>2592</f>
        <v>2592.0</v>
      </c>
      <c r="L566" s="2" t="s">
        <v>49</v>
      </c>
      <c r="M566" s="26" t="n">
        <f>180779</f>
        <v>180779.0</v>
      </c>
      <c r="N566" s="3" t="s">
        <v>1259</v>
      </c>
      <c r="O566" s="27" t="n">
        <f>13170</f>
        <v>13170.0</v>
      </c>
      <c r="P566" s="29" t="s">
        <v>1260</v>
      </c>
      <c r="Q566" s="25" t="n">
        <f>2672935500000</f>
        <v>2.6729355E12</v>
      </c>
      <c r="R566" s="29" t="s">
        <v>1261</v>
      </c>
      <c r="S566" s="25" t="n">
        <f>5904460423356</f>
        <v>5.904460423356E12</v>
      </c>
      <c r="T566" s="25" t="n">
        <f>398659491421</f>
        <v>3.98659491421E11</v>
      </c>
      <c r="U566" s="3" t="s">
        <v>49</v>
      </c>
      <c r="V566" s="27" t="n">
        <f>27514456957500</f>
        <v>2.75144569575E13</v>
      </c>
      <c r="W566" s="3" t="s">
        <v>1259</v>
      </c>
      <c r="X566" s="27" t="n">
        <f>2024435940000</f>
        <v>2.02443594E12</v>
      </c>
      <c r="Y566" s="27"/>
      <c r="Z566" s="25" t="n">
        <f>937295</f>
        <v>937295.0</v>
      </c>
      <c r="AA566" s="25" t="n">
        <f>78887</f>
        <v>78887.0</v>
      </c>
      <c r="AB566" s="2" t="s">
        <v>241</v>
      </c>
      <c r="AC566" s="26" t="n">
        <f>140637</f>
        <v>140637.0</v>
      </c>
      <c r="AD566" s="3" t="s">
        <v>118</v>
      </c>
      <c r="AE566" s="27" t="n">
        <f>78767</f>
        <v>78767.0</v>
      </c>
    </row>
    <row r="567">
      <c r="A567" s="20" t="s">
        <v>1133</v>
      </c>
      <c r="B567" s="21" t="s">
        <v>1134</v>
      </c>
      <c r="C567" s="22"/>
      <c r="D567" s="23"/>
      <c r="E567" s="24" t="s">
        <v>119</v>
      </c>
      <c r="F567" s="28" t="n">
        <f>119</f>
        <v>119.0</v>
      </c>
      <c r="G567" s="25" t="n">
        <f>3548096</f>
        <v>3548096.0</v>
      </c>
      <c r="H567" s="25" t="n">
        <f>13319</f>
        <v>13319.0</v>
      </c>
      <c r="I567" s="25" t="n">
        <f>232747</f>
        <v>232747.0</v>
      </c>
      <c r="J567" s="25" t="n">
        <f>29816</f>
        <v>29816.0</v>
      </c>
      <c r="K567" s="25" t="n">
        <f>1956</f>
        <v>1956.0</v>
      </c>
      <c r="L567" s="2" t="s">
        <v>134</v>
      </c>
      <c r="M567" s="26" t="n">
        <f>172754</f>
        <v>172754.0</v>
      </c>
      <c r="N567" s="3" t="s">
        <v>212</v>
      </c>
      <c r="O567" s="27" t="n">
        <f>5389</f>
        <v>5389.0</v>
      </c>
      <c r="P567" s="29" t="s">
        <v>1262</v>
      </c>
      <c r="Q567" s="25" t="n">
        <f>2035887500000</f>
        <v>2.0358875E12</v>
      </c>
      <c r="R567" s="29" t="s">
        <v>1263</v>
      </c>
      <c r="S567" s="25" t="n">
        <f>4558472584019</f>
        <v>4.558472584019E12</v>
      </c>
      <c r="T567" s="25" t="n">
        <f>299176420994</f>
        <v>2.99176420994E11</v>
      </c>
      <c r="U567" s="3" t="s">
        <v>134</v>
      </c>
      <c r="V567" s="27" t="n">
        <f>26698978875000</f>
        <v>2.6698978875E13</v>
      </c>
      <c r="W567" s="3" t="s">
        <v>212</v>
      </c>
      <c r="X567" s="27" t="n">
        <f>820995740000</f>
        <v>8.2099574E11</v>
      </c>
      <c r="Y567" s="27"/>
      <c r="Z567" s="25" t="n">
        <f>777777</f>
        <v>777777.0</v>
      </c>
      <c r="AA567" s="25" t="n">
        <f>68756</f>
        <v>68756.0</v>
      </c>
      <c r="AB567" s="2" t="s">
        <v>134</v>
      </c>
      <c r="AC567" s="26" t="n">
        <f>169827</f>
        <v>169827.0</v>
      </c>
      <c r="AD567" s="3" t="s">
        <v>172</v>
      </c>
      <c r="AE567" s="27" t="n">
        <f>63127</f>
        <v>63127.0</v>
      </c>
    </row>
    <row r="568">
      <c r="A568" s="20" t="s">
        <v>1133</v>
      </c>
      <c r="B568" s="21" t="s">
        <v>1134</v>
      </c>
      <c r="C568" s="22"/>
      <c r="D568" s="23"/>
      <c r="E568" s="24" t="s">
        <v>124</v>
      </c>
      <c r="F568" s="28" t="n">
        <f>124</f>
        <v>124.0</v>
      </c>
      <c r="G568" s="25" t="n">
        <f>3599975</f>
        <v>3599975.0</v>
      </c>
      <c r="H568" s="25" t="n">
        <f>7687</f>
        <v>7687.0</v>
      </c>
      <c r="I568" s="25" t="n">
        <f>224034</f>
        <v>224034.0</v>
      </c>
      <c r="J568" s="25" t="n">
        <f>29032</f>
        <v>29032.0</v>
      </c>
      <c r="K568" s="25" t="n">
        <f>1807</f>
        <v>1807.0</v>
      </c>
      <c r="L568" s="2" t="s">
        <v>49</v>
      </c>
      <c r="M568" s="26" t="n">
        <f>136008</f>
        <v>136008.0</v>
      </c>
      <c r="N568" s="3" t="s">
        <v>64</v>
      </c>
      <c r="O568" s="27" t="n">
        <f>12776</f>
        <v>12776.0</v>
      </c>
      <c r="P568" s="29" t="s">
        <v>1264</v>
      </c>
      <c r="Q568" s="25" t="n">
        <f>1168496000000</f>
        <v>1.168496E12</v>
      </c>
      <c r="R568" s="29" t="s">
        <v>1265</v>
      </c>
      <c r="S568" s="25" t="n">
        <f>4412942889103</f>
        <v>4.412942889103E12</v>
      </c>
      <c r="T568" s="25" t="n">
        <f>274589323781</f>
        <v>2.74589323781E11</v>
      </c>
      <c r="U568" s="3" t="s">
        <v>49</v>
      </c>
      <c r="V568" s="27" t="n">
        <f>20682631566300</f>
        <v>2.06826315663E13</v>
      </c>
      <c r="W568" s="3" t="s">
        <v>64</v>
      </c>
      <c r="X568" s="27" t="n">
        <f>1941152560000</f>
        <v>1.94115256E12</v>
      </c>
      <c r="Y568" s="27"/>
      <c r="Z568" s="25" t="n">
        <f>655952</f>
        <v>655952.0</v>
      </c>
      <c r="AA568" s="25" t="n">
        <f>68770</f>
        <v>68770.0</v>
      </c>
      <c r="AB568" s="2" t="s">
        <v>125</v>
      </c>
      <c r="AC568" s="26" t="n">
        <f>86047</f>
        <v>86047.0</v>
      </c>
      <c r="AD568" s="3" t="s">
        <v>280</v>
      </c>
      <c r="AE568" s="27" t="n">
        <f>65725</f>
        <v>65725.0</v>
      </c>
    </row>
    <row r="569">
      <c r="A569" s="20" t="s">
        <v>1133</v>
      </c>
      <c r="B569" s="21" t="s">
        <v>1134</v>
      </c>
      <c r="C569" s="22"/>
      <c r="D569" s="23"/>
      <c r="E569" s="24" t="s">
        <v>130</v>
      </c>
      <c r="F569" s="28" t="n">
        <f>121</f>
        <v>121.0</v>
      </c>
      <c r="G569" s="25" t="n">
        <f>4087545</f>
        <v>4087545.0</v>
      </c>
      <c r="H569" s="25" t="n">
        <f>6374</f>
        <v>6374.0</v>
      </c>
      <c r="I569" s="25" t="n">
        <f>266936</f>
        <v>266936.0</v>
      </c>
      <c r="J569" s="25" t="n">
        <f>33781</f>
        <v>33781.0</v>
      </c>
      <c r="K569" s="25" t="n">
        <f>2206</f>
        <v>2206.0</v>
      </c>
      <c r="L569" s="2" t="s">
        <v>307</v>
      </c>
      <c r="M569" s="26" t="n">
        <f>149548</f>
        <v>149548.0</v>
      </c>
      <c r="N569" s="3" t="s">
        <v>963</v>
      </c>
      <c r="O569" s="27" t="n">
        <f>13375</f>
        <v>13375.0</v>
      </c>
      <c r="P569" s="29" t="s">
        <v>1266</v>
      </c>
      <c r="Q569" s="25" t="n">
        <f>965098000000</f>
        <v>9.65098E11</v>
      </c>
      <c r="R569" s="29" t="s">
        <v>1267</v>
      </c>
      <c r="S569" s="25" t="n">
        <f>5115418602458</f>
        <v>5.115418602458E12</v>
      </c>
      <c r="T569" s="25" t="n">
        <f>333904418821</f>
        <v>3.33904418821E11</v>
      </c>
      <c r="U569" s="3" t="s">
        <v>307</v>
      </c>
      <c r="V569" s="27" t="n">
        <f>22694508630400</f>
        <v>2.26945086304E13</v>
      </c>
      <c r="W569" s="3" t="s">
        <v>963</v>
      </c>
      <c r="X569" s="27" t="n">
        <f>2025670130000</f>
        <v>2.02567013E12</v>
      </c>
      <c r="Y569" s="27"/>
      <c r="Z569" s="25" t="n">
        <f>766484</f>
        <v>766484.0</v>
      </c>
      <c r="AA569" s="25" t="n">
        <f>85736</f>
        <v>85736.0</v>
      </c>
      <c r="AB569" s="2" t="s">
        <v>552</v>
      </c>
      <c r="AC569" s="26" t="n">
        <f>110350</f>
        <v>110350.0</v>
      </c>
      <c r="AD569" s="3" t="s">
        <v>328</v>
      </c>
      <c r="AE569" s="27" t="n">
        <f>68565</f>
        <v>68565.0</v>
      </c>
    </row>
    <row r="570">
      <c r="A570" s="20" t="s">
        <v>1133</v>
      </c>
      <c r="B570" s="21" t="s">
        <v>1134</v>
      </c>
      <c r="C570" s="22"/>
      <c r="D570" s="23"/>
      <c r="E570" s="24" t="s">
        <v>136</v>
      </c>
      <c r="F570" s="28" t="n">
        <f>124</f>
        <v>124.0</v>
      </c>
      <c r="G570" s="25" t="n">
        <f>4100448</f>
        <v>4100448.0</v>
      </c>
      <c r="H570" s="25" t="n">
        <f>5547</f>
        <v>5547.0</v>
      </c>
      <c r="I570" s="25" t="n">
        <f>365260</f>
        <v>365260.0</v>
      </c>
      <c r="J570" s="25" t="n">
        <f>33068</f>
        <v>33068.0</v>
      </c>
      <c r="K570" s="25" t="n">
        <f>2946</f>
        <v>2946.0</v>
      </c>
      <c r="L570" s="2" t="s">
        <v>81</v>
      </c>
      <c r="M570" s="26" t="n">
        <f>139880</f>
        <v>139880.0</v>
      </c>
      <c r="N570" s="3" t="s">
        <v>138</v>
      </c>
      <c r="O570" s="27" t="n">
        <f>8054</f>
        <v>8054.0</v>
      </c>
      <c r="P570" s="29" t="s">
        <v>1268</v>
      </c>
      <c r="Q570" s="25" t="n">
        <f>841609750000</f>
        <v>8.4160975E11</v>
      </c>
      <c r="R570" s="29" t="s">
        <v>1269</v>
      </c>
      <c r="S570" s="25" t="n">
        <f>5021821333679</f>
        <v>5.021821333679E12</v>
      </c>
      <c r="T570" s="25" t="n">
        <f>447513494485</f>
        <v>4.47513494485E11</v>
      </c>
      <c r="U570" s="3" t="s">
        <v>81</v>
      </c>
      <c r="V570" s="27" t="n">
        <f>21261809430500</f>
        <v>2.12618094305E13</v>
      </c>
      <c r="W570" s="3" t="s">
        <v>138</v>
      </c>
      <c r="X570" s="27" t="n">
        <f>1223123930000</f>
        <v>1.22312393E12</v>
      </c>
      <c r="Y570" s="27"/>
      <c r="Z570" s="25" t="n">
        <f>804640</f>
        <v>804640.0</v>
      </c>
      <c r="AA570" s="25" t="n">
        <f>102754</f>
        <v>102754.0</v>
      </c>
      <c r="AB570" s="2" t="s">
        <v>125</v>
      </c>
      <c r="AC570" s="26" t="n">
        <f>118404</f>
        <v>118404.0</v>
      </c>
      <c r="AD570" s="3" t="s">
        <v>1008</v>
      </c>
      <c r="AE570" s="27" t="n">
        <f>77993</f>
        <v>77993.0</v>
      </c>
    </row>
    <row r="571">
      <c r="A571" s="20" t="s">
        <v>1133</v>
      </c>
      <c r="B571" s="21" t="s">
        <v>1134</v>
      </c>
      <c r="C571" s="22"/>
      <c r="D571" s="23"/>
      <c r="E571" s="24" t="s">
        <v>142</v>
      </c>
      <c r="F571" s="28" t="n">
        <f>120</f>
        <v>120.0</v>
      </c>
      <c r="G571" s="25" t="n">
        <f>4442304</f>
        <v>4442304.0</v>
      </c>
      <c r="H571" s="25" t="n">
        <f>5825</f>
        <v>5825.0</v>
      </c>
      <c r="I571" s="25" t="n">
        <f>381805</f>
        <v>381805.0</v>
      </c>
      <c r="J571" s="25" t="n">
        <f>37019</f>
        <v>37019.0</v>
      </c>
      <c r="K571" s="25" t="n">
        <f>3182</f>
        <v>3182.0</v>
      </c>
      <c r="L571" s="2" t="s">
        <v>88</v>
      </c>
      <c r="M571" s="26" t="n">
        <f>169140</f>
        <v>169140.0</v>
      </c>
      <c r="N571" s="3" t="s">
        <v>143</v>
      </c>
      <c r="O571" s="27" t="n">
        <f>11469</f>
        <v>11469.0</v>
      </c>
      <c r="P571" s="29" t="s">
        <v>1270</v>
      </c>
      <c r="Q571" s="25" t="n">
        <f>872714250000</f>
        <v>8.7271425E11</v>
      </c>
      <c r="R571" s="29" t="s">
        <v>1271</v>
      </c>
      <c r="S571" s="25" t="n">
        <f>5546172641656</f>
        <v>5.546172641656E12</v>
      </c>
      <c r="T571" s="25" t="n">
        <f>476547185989</f>
        <v>4.76547185989E11</v>
      </c>
      <c r="U571" s="3" t="s">
        <v>88</v>
      </c>
      <c r="V571" s="27" t="n">
        <f>25259040211400</f>
        <v>2.52590402114E13</v>
      </c>
      <c r="W571" s="3" t="s">
        <v>143</v>
      </c>
      <c r="X571" s="27" t="n">
        <f>1712743040000</f>
        <v>1.71274304E12</v>
      </c>
      <c r="Y571" s="27"/>
      <c r="Z571" s="25" t="n">
        <f>1083539</f>
        <v>1083539.0</v>
      </c>
      <c r="AA571" s="25" t="n">
        <f>120886</f>
        <v>120886.0</v>
      </c>
      <c r="AB571" s="2" t="s">
        <v>146</v>
      </c>
      <c r="AC571" s="26" t="n">
        <f>181164</f>
        <v>181164.0</v>
      </c>
      <c r="AD571" s="3" t="s">
        <v>458</v>
      </c>
      <c r="AE571" s="27" t="n">
        <f>79421</f>
        <v>79421.0</v>
      </c>
    </row>
    <row r="572">
      <c r="A572" s="20" t="s">
        <v>1133</v>
      </c>
      <c r="B572" s="21" t="s">
        <v>1134</v>
      </c>
      <c r="C572" s="22"/>
      <c r="D572" s="23"/>
      <c r="E572" s="24" t="s">
        <v>148</v>
      </c>
      <c r="F572" s="28" t="n">
        <f>124</f>
        <v>124.0</v>
      </c>
      <c r="G572" s="25" t="n">
        <f>3642288</f>
        <v>3642288.0</v>
      </c>
      <c r="H572" s="25" t="n">
        <f>3121</f>
        <v>3121.0</v>
      </c>
      <c r="I572" s="25" t="n">
        <f>369669</f>
        <v>369669.0</v>
      </c>
      <c r="J572" s="25" t="n">
        <f>29373</f>
        <v>29373.0</v>
      </c>
      <c r="K572" s="25" t="n">
        <f>2981</f>
        <v>2981.0</v>
      </c>
      <c r="L572" s="2" t="s">
        <v>141</v>
      </c>
      <c r="M572" s="26" t="n">
        <f>160726</f>
        <v>160726.0</v>
      </c>
      <c r="N572" s="3" t="s">
        <v>138</v>
      </c>
      <c r="O572" s="27" t="n">
        <f>10952</f>
        <v>10952.0</v>
      </c>
      <c r="P572" s="29" t="s">
        <v>1272</v>
      </c>
      <c r="Q572" s="25" t="n">
        <f>463216500000</f>
        <v>4.632165E11</v>
      </c>
      <c r="R572" s="29" t="s">
        <v>1273</v>
      </c>
      <c r="S572" s="25" t="n">
        <f>4371536116490</f>
        <v>4.37153611649E12</v>
      </c>
      <c r="T572" s="25" t="n">
        <f>443471775764</f>
        <v>4.43471775764E11</v>
      </c>
      <c r="U572" s="3" t="s">
        <v>141</v>
      </c>
      <c r="V572" s="27" t="n">
        <f>23910590458700</f>
        <v>2.39105904587E13</v>
      </c>
      <c r="W572" s="3" t="s">
        <v>138</v>
      </c>
      <c r="X572" s="27" t="n">
        <f>1596809920000</f>
        <v>1.59680992E12</v>
      </c>
      <c r="Y572" s="27"/>
      <c r="Z572" s="25" t="n">
        <f>1117381</f>
        <v>1117381.0</v>
      </c>
      <c r="AA572" s="25" t="n">
        <f>129574</f>
        <v>129574.0</v>
      </c>
      <c r="AB572" s="2" t="s">
        <v>128</v>
      </c>
      <c r="AC572" s="26" t="n">
        <f>187649</f>
        <v>187649.0</v>
      </c>
      <c r="AD572" s="3" t="s">
        <v>473</v>
      </c>
      <c r="AE572" s="27" t="n">
        <f>105734</f>
        <v>105734.0</v>
      </c>
    </row>
    <row r="573">
      <c r="A573" s="20" t="s">
        <v>1133</v>
      </c>
      <c r="B573" s="21" t="s">
        <v>1134</v>
      </c>
      <c r="C573" s="22"/>
      <c r="D573" s="23"/>
      <c r="E573" s="24" t="s">
        <v>151</v>
      </c>
      <c r="F573" s="28" t="n">
        <f>122</f>
        <v>122.0</v>
      </c>
      <c r="G573" s="25" t="n">
        <f>4028073</f>
        <v>4028073.0</v>
      </c>
      <c r="H573" s="25" t="n">
        <f>3376</f>
        <v>3376.0</v>
      </c>
      <c r="I573" s="25" t="n">
        <f>485214</f>
        <v>485214.0</v>
      </c>
      <c r="J573" s="25" t="n">
        <f>33017</f>
        <v>33017.0</v>
      </c>
      <c r="K573" s="25" t="n">
        <f>3977</f>
        <v>3977.0</v>
      </c>
      <c r="L573" s="2" t="s">
        <v>427</v>
      </c>
      <c r="M573" s="26" t="n">
        <f>215774</f>
        <v>215774.0</v>
      </c>
      <c r="N573" s="3" t="s">
        <v>528</v>
      </c>
      <c r="O573" s="27" t="n">
        <f>12516</f>
        <v>12516.0</v>
      </c>
      <c r="P573" s="29" t="s">
        <v>1274</v>
      </c>
      <c r="Q573" s="25" t="n">
        <f>496738000000</f>
        <v>4.96738E11</v>
      </c>
      <c r="R573" s="29" t="s">
        <v>1275</v>
      </c>
      <c r="S573" s="25" t="n">
        <f>4867940818204</f>
        <v>4.867940818204E12</v>
      </c>
      <c r="T573" s="25" t="n">
        <f>585828133204</f>
        <v>5.85828133204E11</v>
      </c>
      <c r="U573" s="3" t="s">
        <v>427</v>
      </c>
      <c r="V573" s="27" t="n">
        <f>32007996687400</f>
        <v>3.20079966874E13</v>
      </c>
      <c r="W573" s="3" t="s">
        <v>528</v>
      </c>
      <c r="X573" s="27" t="n">
        <f>1848119380000</f>
        <v>1.84811938E12</v>
      </c>
      <c r="Y573" s="27"/>
      <c r="Z573" s="25" t="n">
        <f>1376139</f>
        <v>1376139.0</v>
      </c>
      <c r="AA573" s="25" t="n">
        <f>177332</f>
        <v>177332.0</v>
      </c>
      <c r="AB573" s="2" t="s">
        <v>427</v>
      </c>
      <c r="AC573" s="26" t="n">
        <f>200718</f>
        <v>200718.0</v>
      </c>
      <c r="AD573" s="3" t="s">
        <v>156</v>
      </c>
      <c r="AE573" s="27" t="n">
        <f>132343</f>
        <v>132343.0</v>
      </c>
    </row>
    <row r="574">
      <c r="A574" s="20" t="s">
        <v>1133</v>
      </c>
      <c r="B574" s="21" t="s">
        <v>1134</v>
      </c>
      <c r="C574" s="22"/>
      <c r="D574" s="23"/>
      <c r="E574" s="24" t="s">
        <v>157</v>
      </c>
      <c r="F574" s="28" t="n">
        <f>124</f>
        <v>124.0</v>
      </c>
      <c r="G574" s="25" t="n">
        <f>5534258</f>
        <v>5534258.0</v>
      </c>
      <c r="H574" s="25" t="n">
        <f>6161</f>
        <v>6161.0</v>
      </c>
      <c r="I574" s="25" t="n">
        <f>590169</f>
        <v>590169.0</v>
      </c>
      <c r="J574" s="25" t="n">
        <f>44631</f>
        <v>44631.0</v>
      </c>
      <c r="K574" s="25" t="n">
        <f>4759</f>
        <v>4759.0</v>
      </c>
      <c r="L574" s="2" t="s">
        <v>128</v>
      </c>
      <c r="M574" s="26" t="n">
        <f>278982</f>
        <v>278982.0</v>
      </c>
      <c r="N574" s="3" t="s">
        <v>50</v>
      </c>
      <c r="O574" s="27" t="n">
        <f>7487</f>
        <v>7487.0</v>
      </c>
      <c r="P574" s="29" t="s">
        <v>1276</v>
      </c>
      <c r="Q574" s="25" t="n">
        <f>898428000000</f>
        <v>8.98428E11</v>
      </c>
      <c r="R574" s="29" t="s">
        <v>1277</v>
      </c>
      <c r="S574" s="25" t="n">
        <f>6517272426134</f>
        <v>6.517272426134E12</v>
      </c>
      <c r="T574" s="25" t="n">
        <f>695405831940</f>
        <v>6.9540583194E11</v>
      </c>
      <c r="U574" s="3" t="s">
        <v>128</v>
      </c>
      <c r="V574" s="27" t="n">
        <f>40569232610700</f>
        <v>4.05692326107E13</v>
      </c>
      <c r="W574" s="3" t="s">
        <v>50</v>
      </c>
      <c r="X574" s="27" t="n">
        <f>1096714070000</f>
        <v>1.09671407E12</v>
      </c>
      <c r="Y574" s="27"/>
      <c r="Z574" s="25" t="n">
        <f>1704399</f>
        <v>1704399.0</v>
      </c>
      <c r="AA574" s="25" t="n">
        <f>191850</f>
        <v>191850.0</v>
      </c>
      <c r="AB574" s="2" t="s">
        <v>93</v>
      </c>
      <c r="AC574" s="26" t="n">
        <f>256339</f>
        <v>256339.0</v>
      </c>
      <c r="AD574" s="3" t="s">
        <v>507</v>
      </c>
      <c r="AE574" s="27" t="n">
        <f>174334</f>
        <v>174334.0</v>
      </c>
    </row>
    <row r="575">
      <c r="A575" s="20" t="s">
        <v>1133</v>
      </c>
      <c r="B575" s="21" t="s">
        <v>1134</v>
      </c>
      <c r="C575" s="22"/>
      <c r="D575" s="23"/>
      <c r="E575" s="24" t="s">
        <v>160</v>
      </c>
      <c r="F575" s="28" t="n">
        <f>58</f>
        <v>58.0</v>
      </c>
      <c r="G575" s="25" t="n">
        <f>2669467</f>
        <v>2669467.0</v>
      </c>
      <c r="H575" s="25" t="n">
        <f>2698</f>
        <v>2698.0</v>
      </c>
      <c r="I575" s="25" t="n">
        <f>312147</f>
        <v>312147.0</v>
      </c>
      <c r="J575" s="25" t="n">
        <f>46025</f>
        <v>46025.0</v>
      </c>
      <c r="K575" s="25" t="n">
        <f>5382</f>
        <v>5382.0</v>
      </c>
      <c r="L575" s="2" t="s">
        <v>70</v>
      </c>
      <c r="M575" s="26" t="n">
        <f>258965</f>
        <v>258965.0</v>
      </c>
      <c r="N575" s="3" t="s">
        <v>275</v>
      </c>
      <c r="O575" s="27" t="n">
        <f>16552</f>
        <v>16552.0</v>
      </c>
      <c r="P575" s="29" t="s">
        <v>1278</v>
      </c>
      <c r="Q575" s="25" t="n">
        <f>394855000000</f>
        <v>3.94855E11</v>
      </c>
      <c r="R575" s="29" t="s">
        <v>1279</v>
      </c>
      <c r="S575" s="25" t="n">
        <f>6726967660974</f>
        <v>6.726967660974E12</v>
      </c>
      <c r="T575" s="25" t="n">
        <f>785962530112</f>
        <v>7.85962530112E11</v>
      </c>
      <c r="U575" s="3" t="s">
        <v>70</v>
      </c>
      <c r="V575" s="27" t="n">
        <f>37774583674900</f>
        <v>3.77745836749E13</v>
      </c>
      <c r="W575" s="3" t="s">
        <v>275</v>
      </c>
      <c r="X575" s="27" t="n">
        <f>2421436490000</f>
        <v>2.42143649E12</v>
      </c>
      <c r="Y575" s="27"/>
      <c r="Z575" s="25" t="n">
        <f>888925</f>
        <v>888925.0</v>
      </c>
      <c r="AA575" s="25" t="n">
        <f>189389</f>
        <v>189389.0</v>
      </c>
      <c r="AB575" s="2" t="s">
        <v>70</v>
      </c>
      <c r="AC575" s="26" t="n">
        <f>263213</f>
        <v>263213.0</v>
      </c>
      <c r="AD575" s="3" t="s">
        <v>625</v>
      </c>
      <c r="AE575" s="27" t="n">
        <f>188434</f>
        <v>188434.0</v>
      </c>
    </row>
    <row r="576">
      <c r="A576" s="20" t="s">
        <v>1280</v>
      </c>
      <c r="B576" s="21" t="s">
        <v>1281</v>
      </c>
      <c r="C576" s="22"/>
      <c r="D576" s="23"/>
      <c r="E576" s="24" t="s">
        <v>418</v>
      </c>
      <c r="F576" s="28" t="n">
        <f>68</f>
        <v>68.0</v>
      </c>
      <c r="G576" s="25" t="n">
        <f>46</f>
        <v>46.0</v>
      </c>
      <c r="H576" s="25"/>
      <c r="I576" s="25" t="str">
        <f>"－"</f>
        <v>－</v>
      </c>
      <c r="J576" s="25" t="n">
        <f>1</f>
        <v>1.0</v>
      </c>
      <c r="K576" s="25" t="str">
        <f>"－"</f>
        <v>－</v>
      </c>
      <c r="L576" s="2" t="s">
        <v>634</v>
      </c>
      <c r="M576" s="26" t="n">
        <f>20</f>
        <v>20.0</v>
      </c>
      <c r="N576" s="3" t="s">
        <v>765</v>
      </c>
      <c r="O576" s="27" t="str">
        <f>"－"</f>
        <v>－</v>
      </c>
      <c r="P576" s="29" t="s">
        <v>1282</v>
      </c>
      <c r="Q576" s="25"/>
      <c r="R576" s="29" t="s">
        <v>262</v>
      </c>
      <c r="S576" s="25" t="n">
        <f>9302824</f>
        <v>9302824.0</v>
      </c>
      <c r="T576" s="25" t="str">
        <f>"－"</f>
        <v>－</v>
      </c>
      <c r="U576" s="3" t="s">
        <v>634</v>
      </c>
      <c r="V576" s="27" t="n">
        <f>272180000</f>
        <v>2.7218E8</v>
      </c>
      <c r="W576" s="3" t="s">
        <v>765</v>
      </c>
      <c r="X576" s="27" t="str">
        <f>"－"</f>
        <v>－</v>
      </c>
      <c r="Y576" s="27"/>
      <c r="Z576" s="25" t="str">
        <f>"－"</f>
        <v>－</v>
      </c>
      <c r="AA576" s="25" t="n">
        <f>10</f>
        <v>10.0</v>
      </c>
      <c r="AB576" s="2" t="s">
        <v>634</v>
      </c>
      <c r="AC576" s="26" t="n">
        <f>20</f>
        <v>20.0</v>
      </c>
      <c r="AD576" s="3" t="s">
        <v>1283</v>
      </c>
      <c r="AE576" s="27" t="str">
        <f>"－"</f>
        <v>－</v>
      </c>
    </row>
    <row r="577">
      <c r="A577" s="20" t="s">
        <v>1280</v>
      </c>
      <c r="B577" s="21" t="s">
        <v>1281</v>
      </c>
      <c r="C577" s="22"/>
      <c r="D577" s="23"/>
      <c r="E577" s="24" t="s">
        <v>423</v>
      </c>
      <c r="F577" s="28" t="n">
        <f>123</f>
        <v>123.0</v>
      </c>
      <c r="G577" s="25" t="str">
        <f>"－"</f>
        <v>－</v>
      </c>
      <c r="H577" s="25"/>
      <c r="I577" s="25" t="str">
        <f>"－"</f>
        <v>－</v>
      </c>
      <c r="J577" s="25" t="str">
        <f>"－"</f>
        <v>－</v>
      </c>
      <c r="K577" s="25" t="str">
        <f>"－"</f>
        <v>－</v>
      </c>
      <c r="L577" s="2" t="s">
        <v>68</v>
      </c>
      <c r="M577" s="26" t="str">
        <f>"－"</f>
        <v>－</v>
      </c>
      <c r="N577" s="3" t="s">
        <v>68</v>
      </c>
      <c r="O577" s="27" t="str">
        <f>"－"</f>
        <v>－</v>
      </c>
      <c r="P577" s="29" t="s">
        <v>262</v>
      </c>
      <c r="Q577" s="25"/>
      <c r="R577" s="29" t="s">
        <v>262</v>
      </c>
      <c r="S577" s="25" t="str">
        <f>"－"</f>
        <v>－</v>
      </c>
      <c r="T577" s="25" t="str">
        <f>"－"</f>
        <v>－</v>
      </c>
      <c r="U577" s="3" t="s">
        <v>68</v>
      </c>
      <c r="V577" s="27" t="str">
        <f>"－"</f>
        <v>－</v>
      </c>
      <c r="W577" s="3" t="s">
        <v>68</v>
      </c>
      <c r="X577" s="27" t="str">
        <f>"－"</f>
        <v>－</v>
      </c>
      <c r="Y577" s="27"/>
      <c r="Z577" s="25" t="str">
        <f>"－"</f>
        <v>－</v>
      </c>
      <c r="AA577" s="25" t="str">
        <f>"－"</f>
        <v>－</v>
      </c>
      <c r="AB577" s="2" t="s">
        <v>68</v>
      </c>
      <c r="AC577" s="26" t="n">
        <f>10</f>
        <v>10.0</v>
      </c>
      <c r="AD577" s="3" t="s">
        <v>95</v>
      </c>
      <c r="AE577" s="27" t="str">
        <f>"－"</f>
        <v>－</v>
      </c>
    </row>
    <row r="578">
      <c r="A578" s="20" t="s">
        <v>1280</v>
      </c>
      <c r="B578" s="21" t="s">
        <v>1281</v>
      </c>
      <c r="C578" s="22"/>
      <c r="D578" s="23"/>
      <c r="E578" s="24" t="s">
        <v>426</v>
      </c>
      <c r="F578" s="28" t="n">
        <f>121</f>
        <v>121.0</v>
      </c>
      <c r="G578" s="25" t="str">
        <f>"－"</f>
        <v>－</v>
      </c>
      <c r="H578" s="25"/>
      <c r="I578" s="25" t="str">
        <f>"－"</f>
        <v>－</v>
      </c>
      <c r="J578" s="25" t="str">
        <f>"－"</f>
        <v>－</v>
      </c>
      <c r="K578" s="25" t="str">
        <f>"－"</f>
        <v>－</v>
      </c>
      <c r="L578" s="2" t="s">
        <v>156</v>
      </c>
      <c r="M578" s="26" t="str">
        <f>"－"</f>
        <v>－</v>
      </c>
      <c r="N578" s="3" t="s">
        <v>156</v>
      </c>
      <c r="O578" s="27" t="str">
        <f>"－"</f>
        <v>－</v>
      </c>
      <c r="P578" s="29" t="s">
        <v>262</v>
      </c>
      <c r="Q578" s="25"/>
      <c r="R578" s="29" t="s">
        <v>262</v>
      </c>
      <c r="S578" s="25" t="str">
        <f>"－"</f>
        <v>－</v>
      </c>
      <c r="T578" s="25" t="str">
        <f>"－"</f>
        <v>－</v>
      </c>
      <c r="U578" s="3" t="s">
        <v>156</v>
      </c>
      <c r="V578" s="27" t="str">
        <f>"－"</f>
        <v>－</v>
      </c>
      <c r="W578" s="3" t="s">
        <v>156</v>
      </c>
      <c r="X578" s="27" t="str">
        <f>"－"</f>
        <v>－</v>
      </c>
      <c r="Y578" s="27"/>
      <c r="Z578" s="25" t="str">
        <f>"－"</f>
        <v>－</v>
      </c>
      <c r="AA578" s="25" t="str">
        <f>"－"</f>
        <v>－</v>
      </c>
      <c r="AB578" s="2" t="s">
        <v>156</v>
      </c>
      <c r="AC578" s="26" t="str">
        <f>"－"</f>
        <v>－</v>
      </c>
      <c r="AD578" s="3" t="s">
        <v>156</v>
      </c>
      <c r="AE578" s="27" t="str">
        <f>"－"</f>
        <v>－</v>
      </c>
    </row>
    <row r="579">
      <c r="A579" s="20" t="s">
        <v>1280</v>
      </c>
      <c r="B579" s="21" t="s">
        <v>1281</v>
      </c>
      <c r="C579" s="22"/>
      <c r="D579" s="23"/>
      <c r="E579" s="24" t="s">
        <v>430</v>
      </c>
      <c r="F579" s="28" t="n">
        <f>124</f>
        <v>124.0</v>
      </c>
      <c r="G579" s="25" t="str">
        <f>"－"</f>
        <v>－</v>
      </c>
      <c r="H579" s="25"/>
      <c r="I579" s="25" t="str">
        <f>"－"</f>
        <v>－</v>
      </c>
      <c r="J579" s="25" t="str">
        <f>"－"</f>
        <v>－</v>
      </c>
      <c r="K579" s="25" t="str">
        <f>"－"</f>
        <v>－</v>
      </c>
      <c r="L579" s="2" t="s">
        <v>68</v>
      </c>
      <c r="M579" s="26" t="str">
        <f>"－"</f>
        <v>－</v>
      </c>
      <c r="N579" s="3" t="s">
        <v>68</v>
      </c>
      <c r="O579" s="27" t="str">
        <f>"－"</f>
        <v>－</v>
      </c>
      <c r="P579" s="29" t="s">
        <v>262</v>
      </c>
      <c r="Q579" s="25"/>
      <c r="R579" s="29" t="s">
        <v>262</v>
      </c>
      <c r="S579" s="25" t="str">
        <f>"－"</f>
        <v>－</v>
      </c>
      <c r="T579" s="25" t="str">
        <f>"－"</f>
        <v>－</v>
      </c>
      <c r="U579" s="3" t="s">
        <v>68</v>
      </c>
      <c r="V579" s="27" t="str">
        <f>"－"</f>
        <v>－</v>
      </c>
      <c r="W579" s="3" t="s">
        <v>68</v>
      </c>
      <c r="X579" s="27" t="str">
        <f>"－"</f>
        <v>－</v>
      </c>
      <c r="Y579" s="27"/>
      <c r="Z579" s="25" t="str">
        <f>"－"</f>
        <v>－</v>
      </c>
      <c r="AA579" s="25" t="str">
        <f>"－"</f>
        <v>－</v>
      </c>
      <c r="AB579" s="2" t="s">
        <v>68</v>
      </c>
      <c r="AC579" s="26" t="str">
        <f>"－"</f>
        <v>－</v>
      </c>
      <c r="AD579" s="3" t="s">
        <v>68</v>
      </c>
      <c r="AE579" s="27" t="str">
        <f>"－"</f>
        <v>－</v>
      </c>
    </row>
    <row r="580">
      <c r="A580" s="20" t="s">
        <v>1280</v>
      </c>
      <c r="B580" s="21" t="s">
        <v>1281</v>
      </c>
      <c r="C580" s="22"/>
      <c r="D580" s="23"/>
      <c r="E580" s="24" t="s">
        <v>433</v>
      </c>
      <c r="F580" s="28" t="n">
        <f>121</f>
        <v>121.0</v>
      </c>
      <c r="G580" s="25" t="str">
        <f>"－"</f>
        <v>－</v>
      </c>
      <c r="H580" s="25"/>
      <c r="I580" s="25" t="str">
        <f>"－"</f>
        <v>－</v>
      </c>
      <c r="J580" s="25" t="str">
        <f>"－"</f>
        <v>－</v>
      </c>
      <c r="K580" s="25" t="str">
        <f>"－"</f>
        <v>－</v>
      </c>
      <c r="L580" s="2" t="s">
        <v>156</v>
      </c>
      <c r="M580" s="26" t="str">
        <f>"－"</f>
        <v>－</v>
      </c>
      <c r="N580" s="3" t="s">
        <v>156</v>
      </c>
      <c r="O580" s="27" t="str">
        <f>"－"</f>
        <v>－</v>
      </c>
      <c r="P580" s="29" t="s">
        <v>262</v>
      </c>
      <c r="Q580" s="25"/>
      <c r="R580" s="29" t="s">
        <v>262</v>
      </c>
      <c r="S580" s="25" t="str">
        <f>"－"</f>
        <v>－</v>
      </c>
      <c r="T580" s="25" t="str">
        <f>"－"</f>
        <v>－</v>
      </c>
      <c r="U580" s="3" t="s">
        <v>156</v>
      </c>
      <c r="V580" s="27" t="str">
        <f>"－"</f>
        <v>－</v>
      </c>
      <c r="W580" s="3" t="s">
        <v>156</v>
      </c>
      <c r="X580" s="27" t="str">
        <f>"－"</f>
        <v>－</v>
      </c>
      <c r="Y580" s="27"/>
      <c r="Z580" s="25" t="str">
        <f>"－"</f>
        <v>－</v>
      </c>
      <c r="AA580" s="25" t="str">
        <f>"－"</f>
        <v>－</v>
      </c>
      <c r="AB580" s="2" t="s">
        <v>156</v>
      </c>
      <c r="AC580" s="26" t="str">
        <f>"－"</f>
        <v>－</v>
      </c>
      <c r="AD580" s="3" t="s">
        <v>156</v>
      </c>
      <c r="AE580" s="27" t="str">
        <f>"－"</f>
        <v>－</v>
      </c>
    </row>
    <row r="581">
      <c r="A581" s="20" t="s">
        <v>1280</v>
      </c>
      <c r="B581" s="21" t="s">
        <v>1281</v>
      </c>
      <c r="C581" s="22"/>
      <c r="D581" s="23"/>
      <c r="E581" s="24" t="s">
        <v>437</v>
      </c>
      <c r="F581" s="28" t="n">
        <f>124</f>
        <v>124.0</v>
      </c>
      <c r="G581" s="25" t="n">
        <f>7734</f>
        <v>7734.0</v>
      </c>
      <c r="H581" s="25"/>
      <c r="I581" s="25" t="str">
        <f>"－"</f>
        <v>－</v>
      </c>
      <c r="J581" s="25" t="n">
        <f>62</f>
        <v>62.0</v>
      </c>
      <c r="K581" s="25" t="str">
        <f>"－"</f>
        <v>－</v>
      </c>
      <c r="L581" s="2" t="s">
        <v>614</v>
      </c>
      <c r="M581" s="26" t="n">
        <f>1024</f>
        <v>1024.0</v>
      </c>
      <c r="N581" s="3" t="s">
        <v>68</v>
      </c>
      <c r="O581" s="27" t="str">
        <f>"－"</f>
        <v>－</v>
      </c>
      <c r="P581" s="29" t="s">
        <v>1284</v>
      </c>
      <c r="Q581" s="25"/>
      <c r="R581" s="29" t="s">
        <v>262</v>
      </c>
      <c r="S581" s="25" t="n">
        <f>887681577</f>
        <v>8.87681577E8</v>
      </c>
      <c r="T581" s="25" t="str">
        <f>"－"</f>
        <v>－</v>
      </c>
      <c r="U581" s="3" t="s">
        <v>614</v>
      </c>
      <c r="V581" s="27" t="n">
        <f>14586879000</f>
        <v>1.4586879E10</v>
      </c>
      <c r="W581" s="3" t="s">
        <v>68</v>
      </c>
      <c r="X581" s="27" t="str">
        <f>"－"</f>
        <v>－</v>
      </c>
      <c r="Y581" s="27"/>
      <c r="Z581" s="25" t="n">
        <f>20</f>
        <v>20.0</v>
      </c>
      <c r="AA581" s="25" t="n">
        <f>631</f>
        <v>631.0</v>
      </c>
      <c r="AB581" s="2" t="s">
        <v>81</v>
      </c>
      <c r="AC581" s="26" t="n">
        <f>798</f>
        <v>798.0</v>
      </c>
      <c r="AD581" s="3" t="s">
        <v>68</v>
      </c>
      <c r="AE581" s="27" t="str">
        <f>"－"</f>
        <v>－</v>
      </c>
    </row>
    <row r="582">
      <c r="A582" s="20" t="s">
        <v>1280</v>
      </c>
      <c r="B582" s="21" t="s">
        <v>1281</v>
      </c>
      <c r="C582" s="22"/>
      <c r="D582" s="23"/>
      <c r="E582" s="24" t="s">
        <v>440</v>
      </c>
      <c r="F582" s="28" t="n">
        <f>123</f>
        <v>123.0</v>
      </c>
      <c r="G582" s="25" t="n">
        <f>27727</f>
        <v>27727.0</v>
      </c>
      <c r="H582" s="25"/>
      <c r="I582" s="25" t="n">
        <f>19</f>
        <v>19.0</v>
      </c>
      <c r="J582" s="25" t="n">
        <f>225</f>
        <v>225.0</v>
      </c>
      <c r="K582" s="25" t="n">
        <f>0</f>
        <v>0.0</v>
      </c>
      <c r="L582" s="2" t="s">
        <v>282</v>
      </c>
      <c r="M582" s="26" t="n">
        <f>1271</f>
        <v>1271.0</v>
      </c>
      <c r="N582" s="3" t="s">
        <v>932</v>
      </c>
      <c r="O582" s="27" t="n">
        <f>2</f>
        <v>2.0</v>
      </c>
      <c r="P582" s="29" t="s">
        <v>1285</v>
      </c>
      <c r="Q582" s="25"/>
      <c r="R582" s="29" t="s">
        <v>1286</v>
      </c>
      <c r="S582" s="25" t="n">
        <f>3212594398</f>
        <v>3.212594398E9</v>
      </c>
      <c r="T582" s="25" t="n">
        <f>2194602</f>
        <v>2194602.0</v>
      </c>
      <c r="U582" s="3" t="s">
        <v>282</v>
      </c>
      <c r="V582" s="27" t="n">
        <f>17980928000</f>
        <v>1.7980928E10</v>
      </c>
      <c r="W582" s="3" t="s">
        <v>932</v>
      </c>
      <c r="X582" s="27" t="n">
        <f>28738500</f>
        <v>2.87385E7</v>
      </c>
      <c r="Y582" s="27"/>
      <c r="Z582" s="25" t="str">
        <f>"－"</f>
        <v>－</v>
      </c>
      <c r="AA582" s="25" t="n">
        <f>150</f>
        <v>150.0</v>
      </c>
      <c r="AB582" s="2" t="s">
        <v>275</v>
      </c>
      <c r="AC582" s="26" t="n">
        <f>1548</f>
        <v>1548.0</v>
      </c>
      <c r="AD582" s="3" t="s">
        <v>172</v>
      </c>
      <c r="AE582" s="27" t="n">
        <f>113</f>
        <v>113.0</v>
      </c>
    </row>
    <row r="583">
      <c r="A583" s="20" t="s">
        <v>1280</v>
      </c>
      <c r="B583" s="21" t="s">
        <v>1281</v>
      </c>
      <c r="C583" s="22"/>
      <c r="D583" s="23"/>
      <c r="E583" s="24" t="s">
        <v>443</v>
      </c>
      <c r="F583" s="28" t="n">
        <f>125</f>
        <v>125.0</v>
      </c>
      <c r="G583" s="25" t="n">
        <f>4338</f>
        <v>4338.0</v>
      </c>
      <c r="H583" s="25"/>
      <c r="I583" s="25" t="str">
        <f>"－"</f>
        <v>－</v>
      </c>
      <c r="J583" s="25" t="n">
        <f>35</f>
        <v>35.0</v>
      </c>
      <c r="K583" s="25" t="str">
        <f>"－"</f>
        <v>－</v>
      </c>
      <c r="L583" s="2" t="s">
        <v>373</v>
      </c>
      <c r="M583" s="26" t="n">
        <f>332</f>
        <v>332.0</v>
      </c>
      <c r="N583" s="3" t="s">
        <v>986</v>
      </c>
      <c r="O583" s="27" t="str">
        <f>"－"</f>
        <v>－</v>
      </c>
      <c r="P583" s="29" t="s">
        <v>1287</v>
      </c>
      <c r="Q583" s="25"/>
      <c r="R583" s="29" t="s">
        <v>262</v>
      </c>
      <c r="S583" s="25" t="n">
        <f>500174360</f>
        <v>5.0017436E8</v>
      </c>
      <c r="T583" s="25" t="str">
        <f>"－"</f>
        <v>－</v>
      </c>
      <c r="U583" s="3" t="s">
        <v>373</v>
      </c>
      <c r="V583" s="27" t="n">
        <f>4766869500</f>
        <v>4.7668695E9</v>
      </c>
      <c r="W583" s="3" t="s">
        <v>986</v>
      </c>
      <c r="X583" s="27" t="str">
        <f>"－"</f>
        <v>－</v>
      </c>
      <c r="Y583" s="27"/>
      <c r="Z583" s="25" t="str">
        <f>"－"</f>
        <v>－</v>
      </c>
      <c r="AA583" s="25" t="n">
        <f>295</f>
        <v>295.0</v>
      </c>
      <c r="AB583" s="2" t="s">
        <v>67</v>
      </c>
      <c r="AC583" s="26" t="n">
        <f>728</f>
        <v>728.0</v>
      </c>
      <c r="AD583" s="3" t="s">
        <v>95</v>
      </c>
      <c r="AE583" s="27" t="n">
        <f>85</f>
        <v>85.0</v>
      </c>
    </row>
    <row r="584">
      <c r="A584" s="20" t="s">
        <v>1280</v>
      </c>
      <c r="B584" s="21" t="s">
        <v>1281</v>
      </c>
      <c r="C584" s="22"/>
      <c r="D584" s="23"/>
      <c r="E584" s="24" t="s">
        <v>447</v>
      </c>
      <c r="F584" s="28" t="n">
        <f>120</f>
        <v>120.0</v>
      </c>
      <c r="G584" s="25" t="n">
        <f>13449</f>
        <v>13449.0</v>
      </c>
      <c r="H584" s="25"/>
      <c r="I584" s="25" t="n">
        <f>105</f>
        <v>105.0</v>
      </c>
      <c r="J584" s="25" t="n">
        <f>112</f>
        <v>112.0</v>
      </c>
      <c r="K584" s="25" t="n">
        <f>1</f>
        <v>1.0</v>
      </c>
      <c r="L584" s="2" t="s">
        <v>493</v>
      </c>
      <c r="M584" s="26" t="n">
        <f>1024</f>
        <v>1024.0</v>
      </c>
      <c r="N584" s="3" t="s">
        <v>108</v>
      </c>
      <c r="O584" s="27" t="n">
        <f>3</f>
        <v>3.0</v>
      </c>
      <c r="P584" s="29" t="s">
        <v>1288</v>
      </c>
      <c r="Q584" s="25"/>
      <c r="R584" s="29" t="s">
        <v>1289</v>
      </c>
      <c r="S584" s="25" t="n">
        <f>1614342367</f>
        <v>1.614342367E9</v>
      </c>
      <c r="T584" s="25" t="n">
        <f>12517317</f>
        <v>1.2517317E7</v>
      </c>
      <c r="U584" s="3" t="s">
        <v>493</v>
      </c>
      <c r="V584" s="27" t="n">
        <f>14932784000</f>
        <v>1.4932784E10</v>
      </c>
      <c r="W584" s="3" t="s">
        <v>108</v>
      </c>
      <c r="X584" s="27" t="n">
        <f>43336000</f>
        <v>4.3336E7</v>
      </c>
      <c r="Y584" s="27"/>
      <c r="Z584" s="25" t="n">
        <f>326</f>
        <v>326.0</v>
      </c>
      <c r="AA584" s="25" t="n">
        <f>392</f>
        <v>392.0</v>
      </c>
      <c r="AB584" s="2" t="s">
        <v>152</v>
      </c>
      <c r="AC584" s="26" t="n">
        <f>1113</f>
        <v>1113.0</v>
      </c>
      <c r="AD584" s="3" t="s">
        <v>290</v>
      </c>
      <c r="AE584" s="27" t="n">
        <f>230</f>
        <v>230.0</v>
      </c>
    </row>
    <row r="585">
      <c r="A585" s="20" t="s">
        <v>1280</v>
      </c>
      <c r="B585" s="21" t="s">
        <v>1281</v>
      </c>
      <c r="C585" s="22"/>
      <c r="D585" s="23"/>
      <c r="E585" s="24" t="s">
        <v>451</v>
      </c>
      <c r="F585" s="28" t="n">
        <f>125</f>
        <v>125.0</v>
      </c>
      <c r="G585" s="25" t="n">
        <f>4382</f>
        <v>4382.0</v>
      </c>
      <c r="H585" s="25"/>
      <c r="I585" s="25" t="n">
        <f>25</f>
        <v>25.0</v>
      </c>
      <c r="J585" s="25" t="n">
        <f>35</f>
        <v>35.0</v>
      </c>
      <c r="K585" s="25" t="n">
        <f>0</f>
        <v>0.0</v>
      </c>
      <c r="L585" s="2" t="s">
        <v>1002</v>
      </c>
      <c r="M585" s="26" t="n">
        <f>228</f>
        <v>228.0</v>
      </c>
      <c r="N585" s="3" t="s">
        <v>838</v>
      </c>
      <c r="O585" s="27" t="str">
        <f>"－"</f>
        <v>－</v>
      </c>
      <c r="P585" s="29" t="s">
        <v>1290</v>
      </c>
      <c r="Q585" s="25"/>
      <c r="R585" s="29" t="s">
        <v>1291</v>
      </c>
      <c r="S585" s="25" t="n">
        <f>504576536</f>
        <v>5.04576536E8</v>
      </c>
      <c r="T585" s="25" t="n">
        <f>2877648</f>
        <v>2877648.0</v>
      </c>
      <c r="U585" s="3" t="s">
        <v>1002</v>
      </c>
      <c r="V585" s="27" t="n">
        <f>3266893500</f>
        <v>3.2668935E9</v>
      </c>
      <c r="W585" s="3" t="s">
        <v>838</v>
      </c>
      <c r="X585" s="27" t="str">
        <f>"－"</f>
        <v>－</v>
      </c>
      <c r="Y585" s="27"/>
      <c r="Z585" s="25" t="n">
        <f>43</f>
        <v>43.0</v>
      </c>
      <c r="AA585" s="25" t="n">
        <f>102</f>
        <v>102.0</v>
      </c>
      <c r="AB585" s="2" t="s">
        <v>1084</v>
      </c>
      <c r="AC585" s="26" t="n">
        <f>748</f>
        <v>748.0</v>
      </c>
      <c r="AD585" s="3" t="s">
        <v>53</v>
      </c>
      <c r="AE585" s="27" t="n">
        <f>85</f>
        <v>85.0</v>
      </c>
    </row>
    <row r="586">
      <c r="A586" s="20" t="s">
        <v>1280</v>
      </c>
      <c r="B586" s="21" t="s">
        <v>1281</v>
      </c>
      <c r="C586" s="22"/>
      <c r="D586" s="23"/>
      <c r="E586" s="24" t="s">
        <v>454</v>
      </c>
      <c r="F586" s="28" t="n">
        <f>120</f>
        <v>120.0</v>
      </c>
      <c r="G586" s="25" t="n">
        <f>7734</f>
        <v>7734.0</v>
      </c>
      <c r="H586" s="25"/>
      <c r="I586" s="25" t="n">
        <f>24</f>
        <v>24.0</v>
      </c>
      <c r="J586" s="25" t="n">
        <f>64</f>
        <v>64.0</v>
      </c>
      <c r="K586" s="25" t="n">
        <f>0</f>
        <v>0.0</v>
      </c>
      <c r="L586" s="2" t="s">
        <v>1292</v>
      </c>
      <c r="M586" s="26" t="n">
        <f>684</f>
        <v>684.0</v>
      </c>
      <c r="N586" s="3" t="s">
        <v>120</v>
      </c>
      <c r="O586" s="27" t="str">
        <f>"－"</f>
        <v>－</v>
      </c>
      <c r="P586" s="29" t="s">
        <v>1293</v>
      </c>
      <c r="Q586" s="25"/>
      <c r="R586" s="29" t="s">
        <v>1294</v>
      </c>
      <c r="S586" s="25" t="n">
        <f>933763621</f>
        <v>9.33763621E8</v>
      </c>
      <c r="T586" s="25" t="n">
        <f>2899667</f>
        <v>2899667.0</v>
      </c>
      <c r="U586" s="3" t="s">
        <v>1292</v>
      </c>
      <c r="V586" s="27" t="n">
        <f>9906373000</f>
        <v>9.906373E9</v>
      </c>
      <c r="W586" s="3" t="s">
        <v>120</v>
      </c>
      <c r="X586" s="27" t="str">
        <f>"－"</f>
        <v>－</v>
      </c>
      <c r="Y586" s="27"/>
      <c r="Z586" s="25" t="n">
        <f>4</f>
        <v>4.0</v>
      </c>
      <c r="AA586" s="25" t="n">
        <f>293</f>
        <v>293.0</v>
      </c>
      <c r="AB586" s="2" t="s">
        <v>101</v>
      </c>
      <c r="AC586" s="26" t="n">
        <f>866</f>
        <v>866.0</v>
      </c>
      <c r="AD586" s="3" t="s">
        <v>290</v>
      </c>
      <c r="AE586" s="27" t="n">
        <f>94</f>
        <v>94.0</v>
      </c>
    </row>
    <row r="587">
      <c r="A587" s="20" t="s">
        <v>1280</v>
      </c>
      <c r="B587" s="21" t="s">
        <v>1281</v>
      </c>
      <c r="C587" s="22"/>
      <c r="D587" s="23"/>
      <c r="E587" s="24" t="s">
        <v>48</v>
      </c>
      <c r="F587" s="28" t="n">
        <f>124</f>
        <v>124.0</v>
      </c>
      <c r="G587" s="25" t="n">
        <f>13437</f>
        <v>13437.0</v>
      </c>
      <c r="H587" s="25"/>
      <c r="I587" s="25" t="n">
        <f>23</f>
        <v>23.0</v>
      </c>
      <c r="J587" s="25" t="n">
        <f>108</f>
        <v>108.0</v>
      </c>
      <c r="K587" s="25" t="n">
        <f>0</f>
        <v>0.0</v>
      </c>
      <c r="L587" s="2" t="s">
        <v>581</v>
      </c>
      <c r="M587" s="26" t="n">
        <f>658</f>
        <v>658.0</v>
      </c>
      <c r="N587" s="3" t="s">
        <v>298</v>
      </c>
      <c r="O587" s="27" t="n">
        <f>1</f>
        <v>1.0</v>
      </c>
      <c r="P587" s="29" t="s">
        <v>1295</v>
      </c>
      <c r="Q587" s="25"/>
      <c r="R587" s="29" t="s">
        <v>1296</v>
      </c>
      <c r="S587" s="25" t="n">
        <f>1585038093</f>
        <v>1.585038093E9</v>
      </c>
      <c r="T587" s="25" t="n">
        <f>2708544</f>
        <v>2708544.0</v>
      </c>
      <c r="U587" s="3" t="s">
        <v>581</v>
      </c>
      <c r="V587" s="27" t="n">
        <f>9633532500</f>
        <v>9.6335325E9</v>
      </c>
      <c r="W587" s="3" t="s">
        <v>298</v>
      </c>
      <c r="X587" s="27" t="n">
        <f>14592000</f>
        <v>1.4592E7</v>
      </c>
      <c r="Y587" s="27"/>
      <c r="Z587" s="25" t="n">
        <f>131</f>
        <v>131.0</v>
      </c>
      <c r="AA587" s="25" t="n">
        <f>260</f>
        <v>260.0</v>
      </c>
      <c r="AB587" s="2" t="s">
        <v>1297</v>
      </c>
      <c r="AC587" s="26" t="n">
        <f>1094</f>
        <v>1094.0</v>
      </c>
      <c r="AD587" s="3" t="s">
        <v>1030</v>
      </c>
      <c r="AE587" s="27" t="n">
        <f>220</f>
        <v>220.0</v>
      </c>
    </row>
    <row r="588">
      <c r="A588" s="20" t="s">
        <v>1280</v>
      </c>
      <c r="B588" s="21" t="s">
        <v>1281</v>
      </c>
      <c r="C588" s="22"/>
      <c r="D588" s="23"/>
      <c r="E588" s="24" t="s">
        <v>55</v>
      </c>
      <c r="F588" s="28" t="n">
        <f>121</f>
        <v>121.0</v>
      </c>
      <c r="G588" s="25" t="n">
        <f>31947</f>
        <v>31947.0</v>
      </c>
      <c r="H588" s="25"/>
      <c r="I588" s="25" t="n">
        <f>63</f>
        <v>63.0</v>
      </c>
      <c r="J588" s="25" t="n">
        <f>264</f>
        <v>264.0</v>
      </c>
      <c r="K588" s="25" t="n">
        <f>1</f>
        <v>1.0</v>
      </c>
      <c r="L588" s="2" t="s">
        <v>358</v>
      </c>
      <c r="M588" s="26" t="n">
        <f>1139</f>
        <v>1139.0</v>
      </c>
      <c r="N588" s="3" t="s">
        <v>1171</v>
      </c>
      <c r="O588" s="27" t="n">
        <f>11</f>
        <v>11.0</v>
      </c>
      <c r="P588" s="29" t="s">
        <v>1298</v>
      </c>
      <c r="Q588" s="25"/>
      <c r="R588" s="29" t="s">
        <v>1299</v>
      </c>
      <c r="S588" s="25" t="n">
        <f>3894076983</f>
        <v>3.894076983E9</v>
      </c>
      <c r="T588" s="25" t="n">
        <f>7663198</f>
        <v>7663198.0</v>
      </c>
      <c r="U588" s="3" t="s">
        <v>358</v>
      </c>
      <c r="V588" s="27" t="n">
        <f>16781636000</f>
        <v>1.6781636E10</v>
      </c>
      <c r="W588" s="3" t="s">
        <v>1171</v>
      </c>
      <c r="X588" s="27" t="n">
        <f>162115000</f>
        <v>1.62115E8</v>
      </c>
      <c r="Y588" s="27"/>
      <c r="Z588" s="25" t="n">
        <f>781</f>
        <v>781.0</v>
      </c>
      <c r="AA588" s="25" t="n">
        <f>625</f>
        <v>625.0</v>
      </c>
      <c r="AB588" s="2" t="s">
        <v>134</v>
      </c>
      <c r="AC588" s="26" t="n">
        <f>2374</f>
        <v>2374.0</v>
      </c>
      <c r="AD588" s="3" t="s">
        <v>328</v>
      </c>
      <c r="AE588" s="27" t="n">
        <f>254</f>
        <v>254.0</v>
      </c>
    </row>
    <row r="589">
      <c r="A589" s="20" t="s">
        <v>1280</v>
      </c>
      <c r="B589" s="21" t="s">
        <v>1281</v>
      </c>
      <c r="C589" s="22"/>
      <c r="D589" s="23"/>
      <c r="E589" s="24" t="s">
        <v>62</v>
      </c>
      <c r="F589" s="28" t="n">
        <f>123</f>
        <v>123.0</v>
      </c>
      <c r="G589" s="25" t="n">
        <f>8615</f>
        <v>8615.0</v>
      </c>
      <c r="H589" s="25"/>
      <c r="I589" s="25" t="n">
        <f>23</f>
        <v>23.0</v>
      </c>
      <c r="J589" s="25" t="n">
        <f>70</f>
        <v>70.0</v>
      </c>
      <c r="K589" s="25" t="n">
        <f>0</f>
        <v>0.0</v>
      </c>
      <c r="L589" s="2" t="s">
        <v>879</v>
      </c>
      <c r="M589" s="26" t="n">
        <f>785</f>
        <v>785.0</v>
      </c>
      <c r="N589" s="3" t="s">
        <v>1300</v>
      </c>
      <c r="O589" s="27" t="str">
        <f>"－"</f>
        <v>－</v>
      </c>
      <c r="P589" s="29" t="s">
        <v>1301</v>
      </c>
      <c r="Q589" s="25"/>
      <c r="R589" s="29" t="s">
        <v>1302</v>
      </c>
      <c r="S589" s="25" t="n">
        <f>1034739069</f>
        <v>1.034739069E9</v>
      </c>
      <c r="T589" s="25" t="n">
        <f>2770252</f>
        <v>2770252.0</v>
      </c>
      <c r="U589" s="3" t="s">
        <v>879</v>
      </c>
      <c r="V589" s="27" t="n">
        <f>11557658000</f>
        <v>1.1557658E10</v>
      </c>
      <c r="W589" s="3" t="s">
        <v>1300</v>
      </c>
      <c r="X589" s="27" t="str">
        <f>"－"</f>
        <v>－</v>
      </c>
      <c r="Y589" s="27"/>
      <c r="Z589" s="25" t="n">
        <f>7</f>
        <v>7.0</v>
      </c>
      <c r="AA589" s="25" t="n">
        <f>297</f>
        <v>297.0</v>
      </c>
      <c r="AB589" s="2" t="s">
        <v>972</v>
      </c>
      <c r="AC589" s="26" t="n">
        <f>643</f>
        <v>643.0</v>
      </c>
      <c r="AD589" s="3" t="s">
        <v>95</v>
      </c>
      <c r="AE589" s="27" t="n">
        <f>154</f>
        <v>154.0</v>
      </c>
    </row>
    <row r="590">
      <c r="A590" s="20" t="s">
        <v>1280</v>
      </c>
      <c r="B590" s="21" t="s">
        <v>1281</v>
      </c>
      <c r="C590" s="22"/>
      <c r="D590" s="23"/>
      <c r="E590" s="24" t="s">
        <v>69</v>
      </c>
      <c r="F590" s="28" t="n">
        <f>122</f>
        <v>122.0</v>
      </c>
      <c r="G590" s="25" t="n">
        <f>4830</f>
        <v>4830.0</v>
      </c>
      <c r="H590" s="25"/>
      <c r="I590" s="25" t="n">
        <f>42</f>
        <v>42.0</v>
      </c>
      <c r="J590" s="25" t="n">
        <f>40</f>
        <v>40.0</v>
      </c>
      <c r="K590" s="25" t="n">
        <f>0</f>
        <v>0.0</v>
      </c>
      <c r="L590" s="2" t="s">
        <v>358</v>
      </c>
      <c r="M590" s="26" t="n">
        <f>599</f>
        <v>599.0</v>
      </c>
      <c r="N590" s="3" t="s">
        <v>533</v>
      </c>
      <c r="O590" s="27" t="str">
        <f>"－"</f>
        <v>－</v>
      </c>
      <c r="P590" s="29" t="s">
        <v>1303</v>
      </c>
      <c r="Q590" s="25"/>
      <c r="R590" s="29" t="s">
        <v>1304</v>
      </c>
      <c r="S590" s="25" t="n">
        <f>598533348</f>
        <v>5.98533348E8</v>
      </c>
      <c r="T590" s="25" t="n">
        <f>5221713</f>
        <v>5221713.0</v>
      </c>
      <c r="U590" s="3" t="s">
        <v>358</v>
      </c>
      <c r="V590" s="27" t="n">
        <f>9059257000</f>
        <v>9.059257E9</v>
      </c>
      <c r="W590" s="3" t="s">
        <v>533</v>
      </c>
      <c r="X590" s="27" t="str">
        <f>"－"</f>
        <v>－</v>
      </c>
      <c r="Y590" s="27"/>
      <c r="Z590" s="25" t="str">
        <f>"－"</f>
        <v>－</v>
      </c>
      <c r="AA590" s="25" t="n">
        <f>109</f>
        <v>109.0</v>
      </c>
      <c r="AB590" s="2" t="s">
        <v>508</v>
      </c>
      <c r="AC590" s="26" t="n">
        <f>392</f>
        <v>392.0</v>
      </c>
      <c r="AD590" s="3" t="s">
        <v>282</v>
      </c>
      <c r="AE590" s="27" t="n">
        <f>69</f>
        <v>69.0</v>
      </c>
    </row>
    <row r="591">
      <c r="A591" s="20" t="s">
        <v>1280</v>
      </c>
      <c r="B591" s="21" t="s">
        <v>1281</v>
      </c>
      <c r="C591" s="22"/>
      <c r="D591" s="23"/>
      <c r="E591" s="24" t="s">
        <v>76</v>
      </c>
      <c r="F591" s="28" t="n">
        <f>123</f>
        <v>123.0</v>
      </c>
      <c r="G591" s="25" t="n">
        <f>912</f>
        <v>912.0</v>
      </c>
      <c r="H591" s="25"/>
      <c r="I591" s="25" t="str">
        <f>"－"</f>
        <v>－</v>
      </c>
      <c r="J591" s="25" t="n">
        <f>7</f>
        <v>7.0</v>
      </c>
      <c r="K591" s="25" t="str">
        <f>"－"</f>
        <v>－</v>
      </c>
      <c r="L591" s="2" t="s">
        <v>1002</v>
      </c>
      <c r="M591" s="26" t="n">
        <f>52</f>
        <v>52.0</v>
      </c>
      <c r="N591" s="3" t="s">
        <v>986</v>
      </c>
      <c r="O591" s="27" t="str">
        <f>"－"</f>
        <v>－</v>
      </c>
      <c r="P591" s="29" t="s">
        <v>1305</v>
      </c>
      <c r="Q591" s="25"/>
      <c r="R591" s="29" t="s">
        <v>262</v>
      </c>
      <c r="S591" s="25" t="n">
        <f>112375862</f>
        <v>1.12375862E8</v>
      </c>
      <c r="T591" s="25" t="str">
        <f>"－"</f>
        <v>－</v>
      </c>
      <c r="U591" s="3" t="s">
        <v>1002</v>
      </c>
      <c r="V591" s="27" t="n">
        <f>787410500</f>
        <v>7.874105E8</v>
      </c>
      <c r="W591" s="3" t="s">
        <v>986</v>
      </c>
      <c r="X591" s="27" t="str">
        <f>"－"</f>
        <v>－</v>
      </c>
      <c r="Y591" s="27"/>
      <c r="Z591" s="25" t="str">
        <f>"－"</f>
        <v>－</v>
      </c>
      <c r="AA591" s="25" t="n">
        <f>47</f>
        <v>47.0</v>
      </c>
      <c r="AB591" s="2" t="s">
        <v>240</v>
      </c>
      <c r="AC591" s="26" t="n">
        <f>167</f>
        <v>167.0</v>
      </c>
      <c r="AD591" s="3" t="s">
        <v>216</v>
      </c>
      <c r="AE591" s="27" t="n">
        <f>33</f>
        <v>33.0</v>
      </c>
    </row>
    <row r="592">
      <c r="A592" s="20" t="s">
        <v>1280</v>
      </c>
      <c r="B592" s="21" t="s">
        <v>1281</v>
      </c>
      <c r="C592" s="22"/>
      <c r="D592" s="23"/>
      <c r="E592" s="24" t="s">
        <v>83</v>
      </c>
      <c r="F592" s="28" t="n">
        <f>123</f>
        <v>123.0</v>
      </c>
      <c r="G592" s="25" t="n">
        <f>645</f>
        <v>645.0</v>
      </c>
      <c r="H592" s="25"/>
      <c r="I592" s="25" t="str">
        <f>"－"</f>
        <v>－</v>
      </c>
      <c r="J592" s="25" t="n">
        <f>5</f>
        <v>5.0</v>
      </c>
      <c r="K592" s="25" t="str">
        <f>"－"</f>
        <v>－</v>
      </c>
      <c r="L592" s="2" t="s">
        <v>427</v>
      </c>
      <c r="M592" s="26" t="n">
        <f>115</f>
        <v>115.0</v>
      </c>
      <c r="N592" s="3" t="s">
        <v>156</v>
      </c>
      <c r="O592" s="27" t="str">
        <f>"－"</f>
        <v>－</v>
      </c>
      <c r="P592" s="29" t="s">
        <v>1306</v>
      </c>
      <c r="Q592" s="25"/>
      <c r="R592" s="29" t="s">
        <v>262</v>
      </c>
      <c r="S592" s="25" t="n">
        <f>78903646</f>
        <v>7.8903646E7</v>
      </c>
      <c r="T592" s="25" t="str">
        <f>"－"</f>
        <v>－</v>
      </c>
      <c r="U592" s="3" t="s">
        <v>427</v>
      </c>
      <c r="V592" s="27" t="n">
        <f>1730220500</f>
        <v>1.7302205E9</v>
      </c>
      <c r="W592" s="3" t="s">
        <v>156</v>
      </c>
      <c r="X592" s="27" t="str">
        <f>"－"</f>
        <v>－</v>
      </c>
      <c r="Y592" s="27"/>
      <c r="Z592" s="25" t="str">
        <f>"－"</f>
        <v>－</v>
      </c>
      <c r="AA592" s="25" t="n">
        <f>59</f>
        <v>59.0</v>
      </c>
      <c r="AB592" s="2" t="s">
        <v>434</v>
      </c>
      <c r="AC592" s="26" t="n">
        <f>148</f>
        <v>148.0</v>
      </c>
      <c r="AD592" s="3" t="s">
        <v>75</v>
      </c>
      <c r="AE592" s="27" t="n">
        <f>20</f>
        <v>20.0</v>
      </c>
    </row>
    <row r="593">
      <c r="A593" s="20" t="s">
        <v>1280</v>
      </c>
      <c r="B593" s="21" t="s">
        <v>1281</v>
      </c>
      <c r="C593" s="22"/>
      <c r="D593" s="23"/>
      <c r="E593" s="24" t="s">
        <v>89</v>
      </c>
      <c r="F593" s="28" t="n">
        <f>124</f>
        <v>124.0</v>
      </c>
      <c r="G593" s="25" t="n">
        <f>957</f>
        <v>957.0</v>
      </c>
      <c r="H593" s="25"/>
      <c r="I593" s="25" t="str">
        <f>"－"</f>
        <v>－</v>
      </c>
      <c r="J593" s="25" t="n">
        <f>8</f>
        <v>8.0</v>
      </c>
      <c r="K593" s="25" t="str">
        <f>"－"</f>
        <v>－</v>
      </c>
      <c r="L593" s="2" t="s">
        <v>545</v>
      </c>
      <c r="M593" s="26" t="n">
        <f>100</f>
        <v>100.0</v>
      </c>
      <c r="N593" s="3" t="s">
        <v>744</v>
      </c>
      <c r="O593" s="27" t="str">
        <f>"－"</f>
        <v>－</v>
      </c>
      <c r="P593" s="29" t="s">
        <v>1307</v>
      </c>
      <c r="Q593" s="25"/>
      <c r="R593" s="29" t="s">
        <v>262</v>
      </c>
      <c r="S593" s="25" t="n">
        <f>116151270</f>
        <v>1.1615127E8</v>
      </c>
      <c r="T593" s="25" t="str">
        <f>"－"</f>
        <v>－</v>
      </c>
      <c r="U593" s="3" t="s">
        <v>545</v>
      </c>
      <c r="V593" s="27" t="n">
        <f>1497700000</f>
        <v>1.4977E9</v>
      </c>
      <c r="W593" s="3" t="s">
        <v>744</v>
      </c>
      <c r="X593" s="27" t="str">
        <f>"－"</f>
        <v>－</v>
      </c>
      <c r="Y593" s="27"/>
      <c r="Z593" s="25" t="str">
        <f>"－"</f>
        <v>－</v>
      </c>
      <c r="AA593" s="25" t="n">
        <f>62</f>
        <v>62.0</v>
      </c>
      <c r="AB593" s="2" t="s">
        <v>117</v>
      </c>
      <c r="AC593" s="26" t="n">
        <f>223</f>
        <v>223.0</v>
      </c>
      <c r="AD593" s="3" t="s">
        <v>216</v>
      </c>
      <c r="AE593" s="27" t="n">
        <f>44</f>
        <v>44.0</v>
      </c>
    </row>
    <row r="594">
      <c r="A594" s="20" t="s">
        <v>1280</v>
      </c>
      <c r="B594" s="21" t="s">
        <v>1281</v>
      </c>
      <c r="C594" s="22"/>
      <c r="D594" s="23"/>
      <c r="E594" s="24" t="s">
        <v>96</v>
      </c>
      <c r="F594" s="28" t="n">
        <f>121</f>
        <v>121.0</v>
      </c>
      <c r="G594" s="25" t="n">
        <f>449</f>
        <v>449.0</v>
      </c>
      <c r="H594" s="25"/>
      <c r="I594" s="25" t="str">
        <f>"－"</f>
        <v>－</v>
      </c>
      <c r="J594" s="25" t="n">
        <f>4</f>
        <v>4.0</v>
      </c>
      <c r="K594" s="25" t="str">
        <f>"－"</f>
        <v>－</v>
      </c>
      <c r="L594" s="2" t="s">
        <v>209</v>
      </c>
      <c r="M594" s="26" t="n">
        <f>109</f>
        <v>109.0</v>
      </c>
      <c r="N594" s="3" t="s">
        <v>156</v>
      </c>
      <c r="O594" s="27" t="str">
        <f>"－"</f>
        <v>－</v>
      </c>
      <c r="P594" s="29" t="s">
        <v>1308</v>
      </c>
      <c r="Q594" s="25"/>
      <c r="R594" s="29" t="s">
        <v>262</v>
      </c>
      <c r="S594" s="25" t="n">
        <f>55924479</f>
        <v>5.5924479E7</v>
      </c>
      <c r="T594" s="25" t="str">
        <f>"－"</f>
        <v>－</v>
      </c>
      <c r="U594" s="3" t="s">
        <v>209</v>
      </c>
      <c r="V594" s="27" t="n">
        <f>1642076000</f>
        <v>1.642076E9</v>
      </c>
      <c r="W594" s="3" t="s">
        <v>156</v>
      </c>
      <c r="X594" s="27" t="str">
        <f>"－"</f>
        <v>－</v>
      </c>
      <c r="Y594" s="27"/>
      <c r="Z594" s="25" t="str">
        <f>"－"</f>
        <v>－</v>
      </c>
      <c r="AA594" s="25" t="n">
        <f>39</f>
        <v>39.0</v>
      </c>
      <c r="AB594" s="2" t="s">
        <v>209</v>
      </c>
      <c r="AC594" s="26" t="n">
        <f>198</f>
        <v>198.0</v>
      </c>
      <c r="AD594" s="3" t="s">
        <v>75</v>
      </c>
      <c r="AE594" s="27" t="n">
        <f>25</f>
        <v>25.0</v>
      </c>
    </row>
    <row r="595">
      <c r="A595" s="20" t="s">
        <v>1280</v>
      </c>
      <c r="B595" s="21" t="s">
        <v>1281</v>
      </c>
      <c r="C595" s="22"/>
      <c r="D595" s="23"/>
      <c r="E595" s="24" t="s">
        <v>102</v>
      </c>
      <c r="F595" s="28" t="n">
        <f>124</f>
        <v>124.0</v>
      </c>
      <c r="G595" s="25" t="n">
        <f>2985</f>
        <v>2985.0</v>
      </c>
      <c r="H595" s="25"/>
      <c r="I595" s="25" t="str">
        <f>"－"</f>
        <v>－</v>
      </c>
      <c r="J595" s="25" t="n">
        <f>24</f>
        <v>24.0</v>
      </c>
      <c r="K595" s="25" t="str">
        <f>"－"</f>
        <v>－</v>
      </c>
      <c r="L595" s="2" t="s">
        <v>914</v>
      </c>
      <c r="M595" s="26" t="n">
        <f>514</f>
        <v>514.0</v>
      </c>
      <c r="N595" s="3" t="s">
        <v>225</v>
      </c>
      <c r="O595" s="27" t="str">
        <f>"－"</f>
        <v>－</v>
      </c>
      <c r="P595" s="29" t="s">
        <v>1309</v>
      </c>
      <c r="Q595" s="25"/>
      <c r="R595" s="29" t="s">
        <v>262</v>
      </c>
      <c r="S595" s="25" t="n">
        <f>362730004</f>
        <v>3.62730004E8</v>
      </c>
      <c r="T595" s="25" t="str">
        <f>"－"</f>
        <v>－</v>
      </c>
      <c r="U595" s="3" t="s">
        <v>914</v>
      </c>
      <c r="V595" s="27" t="n">
        <f>7714331000</f>
        <v>7.714331E9</v>
      </c>
      <c r="W595" s="3" t="s">
        <v>225</v>
      </c>
      <c r="X595" s="27" t="str">
        <f>"－"</f>
        <v>－</v>
      </c>
      <c r="Y595" s="27"/>
      <c r="Z595" s="25" t="n">
        <f>32</f>
        <v>32.0</v>
      </c>
      <c r="AA595" s="25" t="n">
        <f>162</f>
        <v>162.0</v>
      </c>
      <c r="AB595" s="2" t="s">
        <v>295</v>
      </c>
      <c r="AC595" s="26" t="n">
        <f>456</f>
        <v>456.0</v>
      </c>
      <c r="AD595" s="3" t="s">
        <v>82</v>
      </c>
      <c r="AE595" s="27" t="n">
        <f>23</f>
        <v>23.0</v>
      </c>
    </row>
    <row r="596">
      <c r="A596" s="20" t="s">
        <v>1280</v>
      </c>
      <c r="B596" s="21" t="s">
        <v>1281</v>
      </c>
      <c r="C596" s="22"/>
      <c r="D596" s="23"/>
      <c r="E596" s="24" t="s">
        <v>107</v>
      </c>
      <c r="F596" s="28" t="n">
        <f>117</f>
        <v>117.0</v>
      </c>
      <c r="G596" s="25" t="n">
        <f>621</f>
        <v>621.0</v>
      </c>
      <c r="H596" s="25"/>
      <c r="I596" s="25" t="str">
        <f>"－"</f>
        <v>－</v>
      </c>
      <c r="J596" s="25" t="n">
        <f>5</f>
        <v>5.0</v>
      </c>
      <c r="K596" s="25" t="str">
        <f>"－"</f>
        <v>－</v>
      </c>
      <c r="L596" s="2" t="s">
        <v>767</v>
      </c>
      <c r="M596" s="26" t="n">
        <f>110</f>
        <v>110.0</v>
      </c>
      <c r="N596" s="3" t="s">
        <v>265</v>
      </c>
      <c r="O596" s="27" t="str">
        <f>"－"</f>
        <v>－</v>
      </c>
      <c r="P596" s="29" t="s">
        <v>1310</v>
      </c>
      <c r="Q596" s="25"/>
      <c r="R596" s="29" t="s">
        <v>262</v>
      </c>
      <c r="S596" s="25" t="n">
        <f>81199624</f>
        <v>8.1199624E7</v>
      </c>
      <c r="T596" s="25" t="str">
        <f>"－"</f>
        <v>－</v>
      </c>
      <c r="U596" s="3" t="s">
        <v>767</v>
      </c>
      <c r="V596" s="27" t="n">
        <f>1677720000</f>
        <v>1.67772E9</v>
      </c>
      <c r="W596" s="3" t="s">
        <v>265</v>
      </c>
      <c r="X596" s="27" t="str">
        <f>"－"</f>
        <v>－</v>
      </c>
      <c r="Y596" s="27"/>
      <c r="Z596" s="25" t="str">
        <f>"－"</f>
        <v>－</v>
      </c>
      <c r="AA596" s="25" t="n">
        <f>57</f>
        <v>57.0</v>
      </c>
      <c r="AB596" s="2" t="s">
        <v>307</v>
      </c>
      <c r="AC596" s="26" t="n">
        <f>232</f>
        <v>232.0</v>
      </c>
      <c r="AD596" s="3" t="s">
        <v>75</v>
      </c>
      <c r="AE596" s="27" t="n">
        <f>37</f>
        <v>37.0</v>
      </c>
    </row>
    <row r="597">
      <c r="A597" s="20" t="s">
        <v>1280</v>
      </c>
      <c r="B597" s="21" t="s">
        <v>1281</v>
      </c>
      <c r="C597" s="22"/>
      <c r="D597" s="23"/>
      <c r="E597" s="24" t="s">
        <v>113</v>
      </c>
      <c r="F597" s="28" t="n">
        <f>124</f>
        <v>124.0</v>
      </c>
      <c r="G597" s="25" t="n">
        <f>1336</f>
        <v>1336.0</v>
      </c>
      <c r="H597" s="25"/>
      <c r="I597" s="25" t="str">
        <f>"－"</f>
        <v>－</v>
      </c>
      <c r="J597" s="25" t="n">
        <f>11</f>
        <v>11.0</v>
      </c>
      <c r="K597" s="25" t="str">
        <f>"－"</f>
        <v>－</v>
      </c>
      <c r="L597" s="2" t="s">
        <v>117</v>
      </c>
      <c r="M597" s="26" t="n">
        <f>326</f>
        <v>326.0</v>
      </c>
      <c r="N597" s="3" t="s">
        <v>68</v>
      </c>
      <c r="O597" s="27" t="str">
        <f>"－"</f>
        <v>－</v>
      </c>
      <c r="P597" s="29" t="s">
        <v>1311</v>
      </c>
      <c r="Q597" s="25"/>
      <c r="R597" s="29" t="s">
        <v>262</v>
      </c>
      <c r="S597" s="25" t="n">
        <f>165390048</f>
        <v>1.65390048E8</v>
      </c>
      <c r="T597" s="25" t="str">
        <f>"－"</f>
        <v>－</v>
      </c>
      <c r="U597" s="3" t="s">
        <v>117</v>
      </c>
      <c r="V597" s="27" t="n">
        <f>4963924500</f>
        <v>4.9639245E9</v>
      </c>
      <c r="W597" s="3" t="s">
        <v>68</v>
      </c>
      <c r="X597" s="27" t="str">
        <f>"－"</f>
        <v>－</v>
      </c>
      <c r="Y597" s="27"/>
      <c r="Z597" s="25" t="n">
        <f>9</f>
        <v>9.0</v>
      </c>
      <c r="AA597" s="25" t="n">
        <f>312</f>
        <v>312.0</v>
      </c>
      <c r="AB597" s="2" t="s">
        <v>117</v>
      </c>
      <c r="AC597" s="26" t="n">
        <f>338</f>
        <v>338.0</v>
      </c>
      <c r="AD597" s="3" t="s">
        <v>175</v>
      </c>
      <c r="AE597" s="27" t="n">
        <f>41</f>
        <v>41.0</v>
      </c>
    </row>
    <row r="598">
      <c r="A598" s="20" t="s">
        <v>1280</v>
      </c>
      <c r="B598" s="21" t="s">
        <v>1281</v>
      </c>
      <c r="C598" s="22"/>
      <c r="D598" s="23"/>
      <c r="E598" s="24" t="s">
        <v>119</v>
      </c>
      <c r="F598" s="28" t="n">
        <f>119</f>
        <v>119.0</v>
      </c>
      <c r="G598" s="25" t="n">
        <f>1351</f>
        <v>1351.0</v>
      </c>
      <c r="H598" s="25"/>
      <c r="I598" s="25" t="str">
        <f>"－"</f>
        <v>－</v>
      </c>
      <c r="J598" s="25" t="n">
        <f>11</f>
        <v>11.0</v>
      </c>
      <c r="K598" s="25" t="str">
        <f>"－"</f>
        <v>－</v>
      </c>
      <c r="L598" s="2" t="s">
        <v>60</v>
      </c>
      <c r="M598" s="26" t="n">
        <f>313</f>
        <v>313.0</v>
      </c>
      <c r="N598" s="3" t="s">
        <v>565</v>
      </c>
      <c r="O598" s="27" t="str">
        <f>"－"</f>
        <v>－</v>
      </c>
      <c r="P598" s="29" t="s">
        <v>1312</v>
      </c>
      <c r="Q598" s="25"/>
      <c r="R598" s="29" t="s">
        <v>262</v>
      </c>
      <c r="S598" s="25" t="n">
        <f>174010571</f>
        <v>1.74010571E8</v>
      </c>
      <c r="T598" s="25" t="str">
        <f>"－"</f>
        <v>－</v>
      </c>
      <c r="U598" s="3" t="s">
        <v>60</v>
      </c>
      <c r="V598" s="27" t="n">
        <f>4794017000</f>
        <v>4.794017E9</v>
      </c>
      <c r="W598" s="3" t="s">
        <v>565</v>
      </c>
      <c r="X598" s="27" t="str">
        <f>"－"</f>
        <v>－</v>
      </c>
      <c r="Y598" s="27"/>
      <c r="Z598" s="25" t="str">
        <f>"－"</f>
        <v>－</v>
      </c>
      <c r="AA598" s="25" t="n">
        <f>33</f>
        <v>33.0</v>
      </c>
      <c r="AB598" s="2" t="s">
        <v>60</v>
      </c>
      <c r="AC598" s="26" t="n">
        <f>470</f>
        <v>470.0</v>
      </c>
      <c r="AD598" s="3" t="s">
        <v>458</v>
      </c>
      <c r="AE598" s="27" t="n">
        <f>32</f>
        <v>32.0</v>
      </c>
    </row>
    <row r="599">
      <c r="A599" s="20" t="s">
        <v>1280</v>
      </c>
      <c r="B599" s="21" t="s">
        <v>1281</v>
      </c>
      <c r="C599" s="22"/>
      <c r="D599" s="23"/>
      <c r="E599" s="24" t="s">
        <v>124</v>
      </c>
      <c r="F599" s="28" t="n">
        <f>124</f>
        <v>124.0</v>
      </c>
      <c r="G599" s="25" t="n">
        <f>297</f>
        <v>297.0</v>
      </c>
      <c r="H599" s="25"/>
      <c r="I599" s="25" t="str">
        <f>"－"</f>
        <v>－</v>
      </c>
      <c r="J599" s="25" t="n">
        <f>2</f>
        <v>2.0</v>
      </c>
      <c r="K599" s="25" t="str">
        <f>"－"</f>
        <v>－</v>
      </c>
      <c r="L599" s="2" t="s">
        <v>1011</v>
      </c>
      <c r="M599" s="26" t="n">
        <f>24</f>
        <v>24.0</v>
      </c>
      <c r="N599" s="3" t="s">
        <v>68</v>
      </c>
      <c r="O599" s="27" t="str">
        <f>"－"</f>
        <v>－</v>
      </c>
      <c r="P599" s="29" t="s">
        <v>1313</v>
      </c>
      <c r="Q599" s="25"/>
      <c r="R599" s="29" t="s">
        <v>262</v>
      </c>
      <c r="S599" s="25" t="n">
        <f>36409556</f>
        <v>3.6409556E7</v>
      </c>
      <c r="T599" s="25" t="str">
        <f>"－"</f>
        <v>－</v>
      </c>
      <c r="U599" s="3" t="s">
        <v>1011</v>
      </c>
      <c r="V599" s="27" t="n">
        <f>364847000</f>
        <v>3.64847E8</v>
      </c>
      <c r="W599" s="3" t="s">
        <v>68</v>
      </c>
      <c r="X599" s="27" t="str">
        <f>"－"</f>
        <v>－</v>
      </c>
      <c r="Y599" s="27"/>
      <c r="Z599" s="25" t="n">
        <f>2</f>
        <v>2.0</v>
      </c>
      <c r="AA599" s="25" t="n">
        <f>28</f>
        <v>28.0</v>
      </c>
      <c r="AB599" s="2" t="s">
        <v>216</v>
      </c>
      <c r="AC599" s="26" t="n">
        <f>68</f>
        <v>68.0</v>
      </c>
      <c r="AD599" s="3" t="s">
        <v>952</v>
      </c>
      <c r="AE599" s="27" t="n">
        <f>22</f>
        <v>22.0</v>
      </c>
    </row>
    <row r="600">
      <c r="A600" s="20" t="s">
        <v>1280</v>
      </c>
      <c r="B600" s="21" t="s">
        <v>1281</v>
      </c>
      <c r="C600" s="22"/>
      <c r="D600" s="23"/>
      <c r="E600" s="24" t="s">
        <v>130</v>
      </c>
      <c r="F600" s="28" t="n">
        <f>121</f>
        <v>121.0</v>
      </c>
      <c r="G600" s="25" t="n">
        <f>489</f>
        <v>489.0</v>
      </c>
      <c r="H600" s="25"/>
      <c r="I600" s="25" t="str">
        <f>"－"</f>
        <v>－</v>
      </c>
      <c r="J600" s="25" t="n">
        <f>4</f>
        <v>4.0</v>
      </c>
      <c r="K600" s="25" t="str">
        <f>"－"</f>
        <v>－</v>
      </c>
      <c r="L600" s="2" t="s">
        <v>134</v>
      </c>
      <c r="M600" s="26" t="n">
        <f>37</f>
        <v>37.0</v>
      </c>
      <c r="N600" s="3" t="s">
        <v>156</v>
      </c>
      <c r="O600" s="27" t="str">
        <f>"－"</f>
        <v>－</v>
      </c>
      <c r="P600" s="29" t="s">
        <v>1314</v>
      </c>
      <c r="Q600" s="25"/>
      <c r="R600" s="29" t="s">
        <v>262</v>
      </c>
      <c r="S600" s="25" t="n">
        <f>61181132</f>
        <v>6.1181132E7</v>
      </c>
      <c r="T600" s="25" t="str">
        <f>"－"</f>
        <v>－</v>
      </c>
      <c r="U600" s="3" t="s">
        <v>134</v>
      </c>
      <c r="V600" s="27" t="n">
        <f>559167000</f>
        <v>5.59167E8</v>
      </c>
      <c r="W600" s="3" t="s">
        <v>156</v>
      </c>
      <c r="X600" s="27" t="str">
        <f>"－"</f>
        <v>－</v>
      </c>
      <c r="Y600" s="27"/>
      <c r="Z600" s="25" t="n">
        <f>34</f>
        <v>34.0</v>
      </c>
      <c r="AA600" s="25" t="n">
        <f>69</f>
        <v>69.0</v>
      </c>
      <c r="AB600" s="2" t="s">
        <v>88</v>
      </c>
      <c r="AC600" s="26" t="n">
        <f>121</f>
        <v>121.0</v>
      </c>
      <c r="AD600" s="3" t="s">
        <v>156</v>
      </c>
      <c r="AE600" s="27" t="n">
        <f>28</f>
        <v>28.0</v>
      </c>
    </row>
    <row r="601">
      <c r="A601" s="20" t="s">
        <v>1280</v>
      </c>
      <c r="B601" s="21" t="s">
        <v>1281</v>
      </c>
      <c r="C601" s="22"/>
      <c r="D601" s="23"/>
      <c r="E601" s="24" t="s">
        <v>136</v>
      </c>
      <c r="F601" s="28" t="n">
        <f>124</f>
        <v>124.0</v>
      </c>
      <c r="G601" s="25" t="n">
        <f>566</f>
        <v>566.0</v>
      </c>
      <c r="H601" s="25"/>
      <c r="I601" s="25" t="str">
        <f>"－"</f>
        <v>－</v>
      </c>
      <c r="J601" s="25" t="n">
        <f>5</f>
        <v>5.0</v>
      </c>
      <c r="K601" s="25" t="str">
        <f>"－"</f>
        <v>－</v>
      </c>
      <c r="L601" s="2" t="s">
        <v>141</v>
      </c>
      <c r="M601" s="26" t="n">
        <f>78</f>
        <v>78.0</v>
      </c>
      <c r="N601" s="3" t="s">
        <v>1158</v>
      </c>
      <c r="O601" s="27" t="str">
        <f>"－"</f>
        <v>－</v>
      </c>
      <c r="P601" s="29" t="s">
        <v>1315</v>
      </c>
      <c r="Q601" s="25"/>
      <c r="R601" s="29" t="s">
        <v>262</v>
      </c>
      <c r="S601" s="25" t="n">
        <f>69321089</f>
        <v>6.9321089E7</v>
      </c>
      <c r="T601" s="25" t="str">
        <f>"－"</f>
        <v>－</v>
      </c>
      <c r="U601" s="3" t="s">
        <v>141</v>
      </c>
      <c r="V601" s="27" t="n">
        <f>1184926000</f>
        <v>1.184926E9</v>
      </c>
      <c r="W601" s="3" t="s">
        <v>1158</v>
      </c>
      <c r="X601" s="27" t="str">
        <f>"－"</f>
        <v>－</v>
      </c>
      <c r="Y601" s="27"/>
      <c r="Z601" s="25" t="n">
        <f>42</f>
        <v>42.0</v>
      </c>
      <c r="AA601" s="25" t="n">
        <f>40</f>
        <v>40.0</v>
      </c>
      <c r="AB601" s="2" t="s">
        <v>141</v>
      </c>
      <c r="AC601" s="26" t="n">
        <f>113</f>
        <v>113.0</v>
      </c>
      <c r="AD601" s="3" t="s">
        <v>280</v>
      </c>
      <c r="AE601" s="27" t="n">
        <f>38</f>
        <v>38.0</v>
      </c>
    </row>
    <row r="602">
      <c r="A602" s="20" t="s">
        <v>1280</v>
      </c>
      <c r="B602" s="21" t="s">
        <v>1281</v>
      </c>
      <c r="C602" s="22"/>
      <c r="D602" s="23"/>
      <c r="E602" s="24" t="s">
        <v>142</v>
      </c>
      <c r="F602" s="28" t="n">
        <f>120</f>
        <v>120.0</v>
      </c>
      <c r="G602" s="25" t="n">
        <f>1513</f>
        <v>1513.0</v>
      </c>
      <c r="H602" s="25"/>
      <c r="I602" s="25" t="str">
        <f>"－"</f>
        <v>－</v>
      </c>
      <c r="J602" s="25" t="n">
        <f>13</f>
        <v>13.0</v>
      </c>
      <c r="K602" s="25" t="str">
        <f>"－"</f>
        <v>－</v>
      </c>
      <c r="L602" s="2" t="s">
        <v>135</v>
      </c>
      <c r="M602" s="26" t="n">
        <f>348</f>
        <v>348.0</v>
      </c>
      <c r="N602" s="3" t="s">
        <v>120</v>
      </c>
      <c r="O602" s="27" t="str">
        <f>"－"</f>
        <v>－</v>
      </c>
      <c r="P602" s="29" t="s">
        <v>1316</v>
      </c>
      <c r="Q602" s="25"/>
      <c r="R602" s="29" t="s">
        <v>262</v>
      </c>
      <c r="S602" s="25" t="n">
        <f>187657358</f>
        <v>1.87657358E8</v>
      </c>
      <c r="T602" s="25" t="str">
        <f>"－"</f>
        <v>－</v>
      </c>
      <c r="U602" s="3" t="s">
        <v>135</v>
      </c>
      <c r="V602" s="27" t="n">
        <f>5151694500</f>
        <v>5.1516945E9</v>
      </c>
      <c r="W602" s="3" t="s">
        <v>120</v>
      </c>
      <c r="X602" s="27" t="str">
        <f>"－"</f>
        <v>－</v>
      </c>
      <c r="Y602" s="27"/>
      <c r="Z602" s="25" t="n">
        <f>503</f>
        <v>503.0</v>
      </c>
      <c r="AA602" s="25" t="n">
        <f>272</f>
        <v>272.0</v>
      </c>
      <c r="AB602" s="2" t="s">
        <v>739</v>
      </c>
      <c r="AC602" s="26" t="n">
        <f>272</f>
        <v>272.0</v>
      </c>
      <c r="AD602" s="3" t="s">
        <v>282</v>
      </c>
      <c r="AE602" s="27" t="n">
        <f>30</f>
        <v>30.0</v>
      </c>
    </row>
    <row r="603">
      <c r="A603" s="20" t="s">
        <v>1280</v>
      </c>
      <c r="B603" s="21" t="s">
        <v>1281</v>
      </c>
      <c r="C603" s="22"/>
      <c r="D603" s="23"/>
      <c r="E603" s="24" t="s">
        <v>148</v>
      </c>
      <c r="F603" s="28" t="n">
        <f>124</f>
        <v>124.0</v>
      </c>
      <c r="G603" s="25" t="n">
        <f>1814</f>
        <v>1814.0</v>
      </c>
      <c r="H603" s="25"/>
      <c r="I603" s="25" t="str">
        <f>"－"</f>
        <v>－</v>
      </c>
      <c r="J603" s="25" t="n">
        <f>15</f>
        <v>15.0</v>
      </c>
      <c r="K603" s="25" t="str">
        <f>"－"</f>
        <v>－</v>
      </c>
      <c r="L603" s="2" t="s">
        <v>952</v>
      </c>
      <c r="M603" s="26" t="n">
        <f>214</f>
        <v>214.0</v>
      </c>
      <c r="N603" s="3" t="s">
        <v>570</v>
      </c>
      <c r="O603" s="27" t="str">
        <f>"－"</f>
        <v>－</v>
      </c>
      <c r="P603" s="29" t="s">
        <v>1317</v>
      </c>
      <c r="Q603" s="25"/>
      <c r="R603" s="29" t="s">
        <v>262</v>
      </c>
      <c r="S603" s="25" t="n">
        <f>217414621</f>
        <v>2.17414621E8</v>
      </c>
      <c r="T603" s="25" t="str">
        <f>"－"</f>
        <v>－</v>
      </c>
      <c r="U603" s="3" t="s">
        <v>952</v>
      </c>
      <c r="V603" s="27" t="n">
        <f>3178087500</f>
        <v>3.1780875E9</v>
      </c>
      <c r="W603" s="3" t="s">
        <v>570</v>
      </c>
      <c r="X603" s="27" t="str">
        <f>"－"</f>
        <v>－</v>
      </c>
      <c r="Y603" s="27"/>
      <c r="Z603" s="25" t="n">
        <f>1104</f>
        <v>1104.0</v>
      </c>
      <c r="AA603" s="25" t="n">
        <f>136</f>
        <v>136.0</v>
      </c>
      <c r="AB603" s="2" t="s">
        <v>879</v>
      </c>
      <c r="AC603" s="26" t="n">
        <f>297</f>
        <v>297.0</v>
      </c>
      <c r="AD603" s="3" t="s">
        <v>82</v>
      </c>
      <c r="AE603" s="27" t="n">
        <f>42</f>
        <v>42.0</v>
      </c>
    </row>
    <row r="604">
      <c r="A604" s="20" t="s">
        <v>1280</v>
      </c>
      <c r="B604" s="21" t="s">
        <v>1281</v>
      </c>
      <c r="C604" s="22"/>
      <c r="D604" s="23"/>
      <c r="E604" s="24" t="s">
        <v>151</v>
      </c>
      <c r="F604" s="28" t="n">
        <f>122</f>
        <v>122.0</v>
      </c>
      <c r="G604" s="25" t="n">
        <f>2095</f>
        <v>2095.0</v>
      </c>
      <c r="H604" s="25"/>
      <c r="I604" s="25" t="str">
        <f>"－"</f>
        <v>－</v>
      </c>
      <c r="J604" s="25" t="n">
        <f>17</f>
        <v>17.0</v>
      </c>
      <c r="K604" s="25" t="str">
        <f>"－"</f>
        <v>－</v>
      </c>
      <c r="L604" s="2" t="s">
        <v>74</v>
      </c>
      <c r="M604" s="26" t="n">
        <f>170</f>
        <v>170.0</v>
      </c>
      <c r="N604" s="3" t="s">
        <v>193</v>
      </c>
      <c r="O604" s="27" t="str">
        <f>"－"</f>
        <v>－</v>
      </c>
      <c r="P604" s="29" t="s">
        <v>1318</v>
      </c>
      <c r="Q604" s="25"/>
      <c r="R604" s="29" t="s">
        <v>262</v>
      </c>
      <c r="S604" s="25" t="n">
        <f>252686967</f>
        <v>2.52686967E8</v>
      </c>
      <c r="T604" s="25" t="str">
        <f>"－"</f>
        <v>－</v>
      </c>
      <c r="U604" s="3" t="s">
        <v>74</v>
      </c>
      <c r="V604" s="27" t="n">
        <f>2495463000</f>
        <v>2.495463E9</v>
      </c>
      <c r="W604" s="3" t="s">
        <v>193</v>
      </c>
      <c r="X604" s="27" t="str">
        <f>"－"</f>
        <v>－</v>
      </c>
      <c r="Y604" s="27"/>
      <c r="Z604" s="25" t="n">
        <f>1294</f>
        <v>1294.0</v>
      </c>
      <c r="AA604" s="25" t="n">
        <f>96</f>
        <v>96.0</v>
      </c>
      <c r="AB604" s="2" t="s">
        <v>559</v>
      </c>
      <c r="AC604" s="26" t="n">
        <f>298</f>
        <v>298.0</v>
      </c>
      <c r="AD604" s="3" t="s">
        <v>135</v>
      </c>
      <c r="AE604" s="27" t="n">
        <f>46</f>
        <v>46.0</v>
      </c>
    </row>
    <row r="605">
      <c r="A605" s="20" t="s">
        <v>1280</v>
      </c>
      <c r="B605" s="21" t="s">
        <v>1281</v>
      </c>
      <c r="C605" s="22"/>
      <c r="D605" s="23"/>
      <c r="E605" s="24" t="s">
        <v>157</v>
      </c>
      <c r="F605" s="28" t="n">
        <f>124</f>
        <v>124.0</v>
      </c>
      <c r="G605" s="25" t="n">
        <f>1753</f>
        <v>1753.0</v>
      </c>
      <c r="H605" s="25"/>
      <c r="I605" s="25" t="str">
        <f>"－"</f>
        <v>－</v>
      </c>
      <c r="J605" s="25" t="n">
        <f>14</f>
        <v>14.0</v>
      </c>
      <c r="K605" s="25" t="str">
        <f>"－"</f>
        <v>－</v>
      </c>
      <c r="L605" s="2" t="s">
        <v>137</v>
      </c>
      <c r="M605" s="26" t="n">
        <f>129</f>
        <v>129.0</v>
      </c>
      <c r="N605" s="3" t="s">
        <v>254</v>
      </c>
      <c r="O605" s="27" t="str">
        <f>"－"</f>
        <v>－</v>
      </c>
      <c r="P605" s="29" t="s">
        <v>1319</v>
      </c>
      <c r="Q605" s="25"/>
      <c r="R605" s="29" t="s">
        <v>262</v>
      </c>
      <c r="S605" s="25" t="n">
        <f>206369508</f>
        <v>2.06369508E8</v>
      </c>
      <c r="T605" s="25" t="str">
        <f>"－"</f>
        <v>－</v>
      </c>
      <c r="U605" s="3" t="s">
        <v>137</v>
      </c>
      <c r="V605" s="27" t="n">
        <f>1891493000</f>
        <v>1.891493E9</v>
      </c>
      <c r="W605" s="3" t="s">
        <v>254</v>
      </c>
      <c r="X605" s="27" t="str">
        <f>"－"</f>
        <v>－</v>
      </c>
      <c r="Y605" s="27"/>
      <c r="Z605" s="25" t="n">
        <f>1065</f>
        <v>1065.0</v>
      </c>
      <c r="AA605" s="25" t="n">
        <f>81</f>
        <v>81.0</v>
      </c>
      <c r="AB605" s="2" t="s">
        <v>536</v>
      </c>
      <c r="AC605" s="26" t="n">
        <f>263</f>
        <v>263.0</v>
      </c>
      <c r="AD605" s="3" t="s">
        <v>95</v>
      </c>
      <c r="AE605" s="27" t="n">
        <f>58</f>
        <v>58.0</v>
      </c>
    </row>
    <row r="606">
      <c r="A606" s="20" t="s">
        <v>1280</v>
      </c>
      <c r="B606" s="21" t="s">
        <v>1281</v>
      </c>
      <c r="C606" s="22"/>
      <c r="D606" s="23"/>
      <c r="E606" s="24" t="s">
        <v>160</v>
      </c>
      <c r="F606" s="28" t="n">
        <f>58</f>
        <v>58.0</v>
      </c>
      <c r="G606" s="25" t="n">
        <f>935</f>
        <v>935.0</v>
      </c>
      <c r="H606" s="25"/>
      <c r="I606" s="25" t="str">
        <f>"－"</f>
        <v>－</v>
      </c>
      <c r="J606" s="25" t="n">
        <f>16</f>
        <v>16.0</v>
      </c>
      <c r="K606" s="25" t="str">
        <f>"－"</f>
        <v>－</v>
      </c>
      <c r="L606" s="2" t="s">
        <v>70</v>
      </c>
      <c r="M606" s="26" t="n">
        <f>248</f>
        <v>248.0</v>
      </c>
      <c r="N606" s="3" t="s">
        <v>147</v>
      </c>
      <c r="O606" s="27" t="str">
        <f>"－"</f>
        <v>－</v>
      </c>
      <c r="P606" s="29" t="s">
        <v>1320</v>
      </c>
      <c r="Q606" s="25"/>
      <c r="R606" s="29" t="s">
        <v>262</v>
      </c>
      <c r="S606" s="25" t="n">
        <f>235535259</f>
        <v>2.35535259E8</v>
      </c>
      <c r="T606" s="25" t="str">
        <f>"－"</f>
        <v>－</v>
      </c>
      <c r="U606" s="3" t="s">
        <v>70</v>
      </c>
      <c r="V606" s="27" t="n">
        <f>3624810000</f>
        <v>3.62481E9</v>
      </c>
      <c r="W606" s="3" t="s">
        <v>147</v>
      </c>
      <c r="X606" s="27" t="str">
        <f>"－"</f>
        <v>－</v>
      </c>
      <c r="Y606" s="27"/>
      <c r="Z606" s="25" t="n">
        <f>696</f>
        <v>696.0</v>
      </c>
      <c r="AA606" s="25" t="n">
        <f>136</f>
        <v>136.0</v>
      </c>
      <c r="AB606" s="2" t="s">
        <v>84</v>
      </c>
      <c r="AC606" s="26" t="n">
        <f>218</f>
        <v>218.0</v>
      </c>
      <c r="AD606" s="3" t="s">
        <v>75</v>
      </c>
      <c r="AE606" s="27" t="n">
        <f>74</f>
        <v>74.0</v>
      </c>
    </row>
    <row r="607">
      <c r="A607" s="20" t="s">
        <v>1321</v>
      </c>
      <c r="B607" s="21" t="s">
        <v>1322</v>
      </c>
      <c r="C607" s="22"/>
      <c r="D607" s="23"/>
      <c r="E607" s="24" t="s">
        <v>258</v>
      </c>
      <c r="F607" s="28" t="n">
        <f>132</f>
        <v>132.0</v>
      </c>
      <c r="G607" s="25" t="n">
        <f>39459</f>
        <v>39459.0</v>
      </c>
      <c r="H607" s="25"/>
      <c r="I607" s="25" t="str">
        <f>"－"</f>
        <v>－</v>
      </c>
      <c r="J607" s="25" t="n">
        <f>299</f>
        <v>299.0</v>
      </c>
      <c r="K607" s="25" t="str">
        <f>"－"</f>
        <v>－</v>
      </c>
      <c r="L607" s="2" t="s">
        <v>879</v>
      </c>
      <c r="M607" s="26" t="n">
        <f>17010</f>
        <v>17010.0</v>
      </c>
      <c r="N607" s="3" t="s">
        <v>82</v>
      </c>
      <c r="O607" s="27" t="n">
        <f>2</f>
        <v>2.0</v>
      </c>
      <c r="P607" s="29" t="s">
        <v>1323</v>
      </c>
      <c r="Q607" s="25"/>
      <c r="R607" s="29" t="s">
        <v>262</v>
      </c>
      <c r="S607" s="25" t="n">
        <f>31676957955</f>
        <v>3.1676957955E10</v>
      </c>
      <c r="T607" s="25" t="str">
        <f>"－"</f>
        <v>－</v>
      </c>
      <c r="U607" s="3" t="s">
        <v>879</v>
      </c>
      <c r="V607" s="27" t="n">
        <f>1796477440000</f>
        <v>1.79647744E12</v>
      </c>
      <c r="W607" s="3" t="s">
        <v>82</v>
      </c>
      <c r="X607" s="27" t="n">
        <f>204910000</f>
        <v>2.0491E8</v>
      </c>
      <c r="Y607" s="27"/>
      <c r="Z607" s="25" t="str">
        <f>"－"</f>
        <v>－</v>
      </c>
      <c r="AA607" s="25" t="n">
        <f>1449</f>
        <v>1449.0</v>
      </c>
      <c r="AB607" s="2" t="s">
        <v>879</v>
      </c>
      <c r="AC607" s="26" t="n">
        <f>5100</f>
        <v>5100.0</v>
      </c>
      <c r="AD607" s="3" t="s">
        <v>1161</v>
      </c>
      <c r="AE607" s="27" t="n">
        <f>81</f>
        <v>81.0</v>
      </c>
    </row>
    <row r="608">
      <c r="A608" s="20" t="s">
        <v>1321</v>
      </c>
      <c r="B608" s="21" t="s">
        <v>1322</v>
      </c>
      <c r="C608" s="22"/>
      <c r="D608" s="23"/>
      <c r="E608" s="24" t="s">
        <v>264</v>
      </c>
      <c r="F608" s="28" t="n">
        <f>123</f>
        <v>123.0</v>
      </c>
      <c r="G608" s="25" t="n">
        <f>16438</f>
        <v>16438.0</v>
      </c>
      <c r="H608" s="25"/>
      <c r="I608" s="25" t="str">
        <f>"－"</f>
        <v>－</v>
      </c>
      <c r="J608" s="25" t="n">
        <f>134</f>
        <v>134.0</v>
      </c>
      <c r="K608" s="25" t="str">
        <f>"－"</f>
        <v>－</v>
      </c>
      <c r="L608" s="2" t="s">
        <v>209</v>
      </c>
      <c r="M608" s="26" t="n">
        <f>525</f>
        <v>525.0</v>
      </c>
      <c r="N608" s="3" t="s">
        <v>233</v>
      </c>
      <c r="O608" s="27" t="str">
        <f>"－"</f>
        <v>－</v>
      </c>
      <c r="P608" s="29" t="s">
        <v>1324</v>
      </c>
      <c r="Q608" s="25"/>
      <c r="R608" s="29" t="s">
        <v>262</v>
      </c>
      <c r="S608" s="25" t="n">
        <f>14723209512</f>
        <v>1.4723209512E10</v>
      </c>
      <c r="T608" s="25" t="str">
        <f>"－"</f>
        <v>－</v>
      </c>
      <c r="U608" s="3" t="s">
        <v>209</v>
      </c>
      <c r="V608" s="27" t="n">
        <f>57643200000</f>
        <v>5.76432E10</v>
      </c>
      <c r="W608" s="3" t="s">
        <v>233</v>
      </c>
      <c r="X608" s="27" t="str">
        <f>"－"</f>
        <v>－</v>
      </c>
      <c r="Y608" s="27"/>
      <c r="Z608" s="25" t="str">
        <f>"－"</f>
        <v>－</v>
      </c>
      <c r="AA608" s="25" t="n">
        <f>376</f>
        <v>376.0</v>
      </c>
      <c r="AB608" s="2" t="s">
        <v>1091</v>
      </c>
      <c r="AC608" s="26" t="n">
        <f>2043</f>
        <v>2043.0</v>
      </c>
      <c r="AD608" s="3" t="s">
        <v>1144</v>
      </c>
      <c r="AE608" s="27" t="n">
        <f>196</f>
        <v>196.0</v>
      </c>
    </row>
    <row r="609">
      <c r="A609" s="20" t="s">
        <v>1321</v>
      </c>
      <c r="B609" s="21" t="s">
        <v>1322</v>
      </c>
      <c r="C609" s="22"/>
      <c r="D609" s="23"/>
      <c r="E609" s="24" t="s">
        <v>268</v>
      </c>
      <c r="F609" s="28" t="n">
        <f>126</f>
        <v>126.0</v>
      </c>
      <c r="G609" s="25" t="n">
        <f>12296</f>
        <v>12296.0</v>
      </c>
      <c r="H609" s="25"/>
      <c r="I609" s="25" t="str">
        <f>"－"</f>
        <v>－</v>
      </c>
      <c r="J609" s="25" t="n">
        <f>98</f>
        <v>98.0</v>
      </c>
      <c r="K609" s="25" t="str">
        <f>"－"</f>
        <v>－</v>
      </c>
      <c r="L609" s="2" t="s">
        <v>103</v>
      </c>
      <c r="M609" s="26" t="n">
        <f>292</f>
        <v>292.0</v>
      </c>
      <c r="N609" s="3" t="s">
        <v>972</v>
      </c>
      <c r="O609" s="27" t="n">
        <f>20</f>
        <v>20.0</v>
      </c>
      <c r="P609" s="29" t="s">
        <v>1325</v>
      </c>
      <c r="Q609" s="25"/>
      <c r="R609" s="29" t="s">
        <v>262</v>
      </c>
      <c r="S609" s="25" t="n">
        <f>10499536190</f>
        <v>1.049953619E10</v>
      </c>
      <c r="T609" s="25" t="str">
        <f>"－"</f>
        <v>－</v>
      </c>
      <c r="U609" s="3" t="s">
        <v>103</v>
      </c>
      <c r="V609" s="27" t="n">
        <f>32170740000</f>
        <v>3.217074E10</v>
      </c>
      <c r="W609" s="3" t="s">
        <v>972</v>
      </c>
      <c r="X609" s="27" t="n">
        <f>2160000000</f>
        <v>2.16E9</v>
      </c>
      <c r="Y609" s="27"/>
      <c r="Z609" s="25" t="str">
        <f>"－"</f>
        <v>－</v>
      </c>
      <c r="AA609" s="25" t="n">
        <f>551</f>
        <v>551.0</v>
      </c>
      <c r="AB609" s="2" t="s">
        <v>50</v>
      </c>
      <c r="AC609" s="26" t="n">
        <f>553</f>
        <v>553.0</v>
      </c>
      <c r="AD609" s="3" t="s">
        <v>806</v>
      </c>
      <c r="AE609" s="27" t="n">
        <f>182</f>
        <v>182.0</v>
      </c>
    </row>
    <row r="610">
      <c r="A610" s="20" t="s">
        <v>1321</v>
      </c>
      <c r="B610" s="21" t="s">
        <v>1322</v>
      </c>
      <c r="C610" s="22"/>
      <c r="D610" s="23"/>
      <c r="E610" s="24" t="s">
        <v>272</v>
      </c>
      <c r="F610" s="28" t="n">
        <f>121</f>
        <v>121.0</v>
      </c>
      <c r="G610" s="25" t="n">
        <f>9026</f>
        <v>9026.0</v>
      </c>
      <c r="H610" s="25"/>
      <c r="I610" s="25" t="str">
        <f>"－"</f>
        <v>－</v>
      </c>
      <c r="J610" s="25" t="n">
        <f>75</f>
        <v>75.0</v>
      </c>
      <c r="K610" s="25" t="str">
        <f>"－"</f>
        <v>－</v>
      </c>
      <c r="L610" s="2" t="s">
        <v>275</v>
      </c>
      <c r="M610" s="26" t="n">
        <f>544</f>
        <v>544.0</v>
      </c>
      <c r="N610" s="3" t="s">
        <v>1326</v>
      </c>
      <c r="O610" s="27" t="n">
        <f>12</f>
        <v>12.0</v>
      </c>
      <c r="P610" s="29" t="s">
        <v>1327</v>
      </c>
      <c r="Q610" s="25"/>
      <c r="R610" s="29" t="s">
        <v>262</v>
      </c>
      <c r="S610" s="25" t="n">
        <f>7067350413</f>
        <v>7.067350413E9</v>
      </c>
      <c r="T610" s="25" t="str">
        <f>"－"</f>
        <v>－</v>
      </c>
      <c r="U610" s="3" t="s">
        <v>275</v>
      </c>
      <c r="V610" s="27" t="n">
        <f>52932800000</f>
        <v>5.29328E10</v>
      </c>
      <c r="W610" s="3" t="s">
        <v>1326</v>
      </c>
      <c r="X610" s="27" t="n">
        <f>1095600000</f>
        <v>1.0956E9</v>
      </c>
      <c r="Y610" s="27"/>
      <c r="Z610" s="25" t="str">
        <f>"－"</f>
        <v>－</v>
      </c>
      <c r="AA610" s="25" t="n">
        <f>492</f>
        <v>492.0</v>
      </c>
      <c r="AB610" s="2" t="s">
        <v>226</v>
      </c>
      <c r="AC610" s="26" t="n">
        <f>737</f>
        <v>737.0</v>
      </c>
      <c r="AD610" s="3" t="s">
        <v>411</v>
      </c>
      <c r="AE610" s="27" t="n">
        <f>369</f>
        <v>369.0</v>
      </c>
    </row>
    <row r="611">
      <c r="A611" s="20" t="s">
        <v>1321</v>
      </c>
      <c r="B611" s="21" t="s">
        <v>1322</v>
      </c>
      <c r="C611" s="22"/>
      <c r="D611" s="23"/>
      <c r="E611" s="24" t="s">
        <v>276</v>
      </c>
      <c r="F611" s="28" t="n">
        <f>125</f>
        <v>125.0</v>
      </c>
      <c r="G611" s="25" t="n">
        <f>3898</f>
        <v>3898.0</v>
      </c>
      <c r="H611" s="25"/>
      <c r="I611" s="25" t="str">
        <f>"－"</f>
        <v>－</v>
      </c>
      <c r="J611" s="25" t="n">
        <f>31</f>
        <v>31.0</v>
      </c>
      <c r="K611" s="25" t="str">
        <f>"－"</f>
        <v>－</v>
      </c>
      <c r="L611" s="2" t="s">
        <v>444</v>
      </c>
      <c r="M611" s="26" t="n">
        <f>191</f>
        <v>191.0</v>
      </c>
      <c r="N611" s="3" t="s">
        <v>64</v>
      </c>
      <c r="O611" s="27" t="n">
        <f>10</f>
        <v>10.0</v>
      </c>
      <c r="P611" s="29" t="s">
        <v>1328</v>
      </c>
      <c r="Q611" s="25"/>
      <c r="R611" s="29" t="s">
        <v>262</v>
      </c>
      <c r="S611" s="25" t="n">
        <f>2726395600</f>
        <v>2.7263956E9</v>
      </c>
      <c r="T611" s="25" t="str">
        <f>"－"</f>
        <v>－</v>
      </c>
      <c r="U611" s="3" t="s">
        <v>444</v>
      </c>
      <c r="V611" s="27" t="n">
        <f>16597900000</f>
        <v>1.65979E10</v>
      </c>
      <c r="W611" s="3" t="s">
        <v>64</v>
      </c>
      <c r="X611" s="27" t="n">
        <f>917000000</f>
        <v>9.17E8</v>
      </c>
      <c r="Y611" s="27"/>
      <c r="Z611" s="25" t="str">
        <f>"－"</f>
        <v>－</v>
      </c>
      <c r="AA611" s="25" t="n">
        <f>291</f>
        <v>291.0</v>
      </c>
      <c r="AB611" s="2" t="s">
        <v>947</v>
      </c>
      <c r="AC611" s="26" t="n">
        <f>589</f>
        <v>589.0</v>
      </c>
      <c r="AD611" s="3" t="s">
        <v>1092</v>
      </c>
      <c r="AE611" s="27" t="n">
        <f>220</f>
        <v>220.0</v>
      </c>
    </row>
    <row r="612">
      <c r="A612" s="20" t="s">
        <v>1321</v>
      </c>
      <c r="B612" s="21" t="s">
        <v>1322</v>
      </c>
      <c r="C612" s="22"/>
      <c r="D612" s="23"/>
      <c r="E612" s="24" t="s">
        <v>281</v>
      </c>
      <c r="F612" s="28" t="n">
        <f>120</f>
        <v>120.0</v>
      </c>
      <c r="G612" s="25" t="n">
        <f>3868</f>
        <v>3868.0</v>
      </c>
      <c r="H612" s="25"/>
      <c r="I612" s="25" t="str">
        <f>"－"</f>
        <v>－</v>
      </c>
      <c r="J612" s="25" t="n">
        <f>32</f>
        <v>32.0</v>
      </c>
      <c r="K612" s="25" t="str">
        <f>"－"</f>
        <v>－</v>
      </c>
      <c r="L612" s="2" t="s">
        <v>180</v>
      </c>
      <c r="M612" s="26" t="n">
        <f>200</f>
        <v>200.0</v>
      </c>
      <c r="N612" s="3" t="s">
        <v>533</v>
      </c>
      <c r="O612" s="27" t="n">
        <f>10</f>
        <v>10.0</v>
      </c>
      <c r="P612" s="29" t="s">
        <v>1329</v>
      </c>
      <c r="Q612" s="25"/>
      <c r="R612" s="29" t="s">
        <v>262</v>
      </c>
      <c r="S612" s="25" t="n">
        <f>2962620250</f>
        <v>2.96262025E9</v>
      </c>
      <c r="T612" s="25" t="str">
        <f>"－"</f>
        <v>－</v>
      </c>
      <c r="U612" s="3" t="s">
        <v>180</v>
      </c>
      <c r="V612" s="27" t="n">
        <f>18545900000</f>
        <v>1.85459E10</v>
      </c>
      <c r="W612" s="3" t="s">
        <v>400</v>
      </c>
      <c r="X612" s="27" t="n">
        <f>905000000</f>
        <v>9.05E8</v>
      </c>
      <c r="Y612" s="27"/>
      <c r="Z612" s="25" t="str">
        <f>"－"</f>
        <v>－</v>
      </c>
      <c r="AA612" s="25" t="n">
        <f>179</f>
        <v>179.0</v>
      </c>
      <c r="AB612" s="2" t="s">
        <v>743</v>
      </c>
      <c r="AC612" s="26" t="n">
        <f>446</f>
        <v>446.0</v>
      </c>
      <c r="AD612" s="3" t="s">
        <v>1292</v>
      </c>
      <c r="AE612" s="27" t="n">
        <f>110</f>
        <v>110.0</v>
      </c>
    </row>
    <row r="613">
      <c r="A613" s="20" t="s">
        <v>1321</v>
      </c>
      <c r="B613" s="21" t="s">
        <v>1322</v>
      </c>
      <c r="C613" s="22"/>
      <c r="D613" s="23"/>
      <c r="E613" s="24" t="s">
        <v>284</v>
      </c>
      <c r="F613" s="28" t="n">
        <f>126</f>
        <v>126.0</v>
      </c>
      <c r="G613" s="25" t="n">
        <f>2707</f>
        <v>2707.0</v>
      </c>
      <c r="H613" s="25"/>
      <c r="I613" s="25" t="str">
        <f>"－"</f>
        <v>－</v>
      </c>
      <c r="J613" s="25" t="n">
        <f>21</f>
        <v>21.0</v>
      </c>
      <c r="K613" s="25" t="str">
        <f>"－"</f>
        <v>－</v>
      </c>
      <c r="L613" s="2" t="s">
        <v>975</v>
      </c>
      <c r="M613" s="26" t="n">
        <f>81</f>
        <v>81.0</v>
      </c>
      <c r="N613" s="3" t="s">
        <v>545</v>
      </c>
      <c r="O613" s="27" t="n">
        <f>10</f>
        <v>10.0</v>
      </c>
      <c r="P613" s="29" t="s">
        <v>1330</v>
      </c>
      <c r="Q613" s="25"/>
      <c r="R613" s="29" t="s">
        <v>262</v>
      </c>
      <c r="S613" s="25" t="n">
        <f>2026838651</f>
        <v>2.026838651E9</v>
      </c>
      <c r="T613" s="25" t="str">
        <f>"－"</f>
        <v>－</v>
      </c>
      <c r="U613" s="3" t="s">
        <v>975</v>
      </c>
      <c r="V613" s="27" t="n">
        <f>7669700000</f>
        <v>7.6697E9</v>
      </c>
      <c r="W613" s="3" t="s">
        <v>545</v>
      </c>
      <c r="X613" s="27" t="n">
        <f>910000000</f>
        <v>9.1E8</v>
      </c>
      <c r="Y613" s="27"/>
      <c r="Z613" s="25" t="str">
        <f>"－"</f>
        <v>－</v>
      </c>
      <c r="AA613" s="25" t="n">
        <f>204</f>
        <v>204.0</v>
      </c>
      <c r="AB613" s="2" t="s">
        <v>570</v>
      </c>
      <c r="AC613" s="26" t="n">
        <f>292</f>
        <v>292.0</v>
      </c>
      <c r="AD613" s="3" t="s">
        <v>1331</v>
      </c>
      <c r="AE613" s="27" t="n">
        <f>141</f>
        <v>141.0</v>
      </c>
    </row>
    <row r="614">
      <c r="A614" s="20" t="s">
        <v>1321</v>
      </c>
      <c r="B614" s="21" t="s">
        <v>1322</v>
      </c>
      <c r="C614" s="22"/>
      <c r="D614" s="23"/>
      <c r="E614" s="24" t="s">
        <v>289</v>
      </c>
      <c r="F614" s="28" t="n">
        <f>121</f>
        <v>121.0</v>
      </c>
      <c r="G614" s="25" t="n">
        <f>2244</f>
        <v>2244.0</v>
      </c>
      <c r="H614" s="25"/>
      <c r="I614" s="25" t="str">
        <f>"－"</f>
        <v>－</v>
      </c>
      <c r="J614" s="25" t="n">
        <f>19</f>
        <v>19.0</v>
      </c>
      <c r="K614" s="25" t="str">
        <f>"－"</f>
        <v>－</v>
      </c>
      <c r="L614" s="2" t="s">
        <v>316</v>
      </c>
      <c r="M614" s="26" t="n">
        <f>106</f>
        <v>106.0</v>
      </c>
      <c r="N614" s="3" t="s">
        <v>205</v>
      </c>
      <c r="O614" s="27" t="n">
        <f>1</f>
        <v>1.0</v>
      </c>
      <c r="P614" s="29" t="s">
        <v>1332</v>
      </c>
      <c r="Q614" s="25"/>
      <c r="R614" s="29" t="s">
        <v>262</v>
      </c>
      <c r="S614" s="25" t="n">
        <f>1814567438</f>
        <v>1.814567438E9</v>
      </c>
      <c r="T614" s="25" t="str">
        <f>"－"</f>
        <v>－</v>
      </c>
      <c r="U614" s="3" t="s">
        <v>316</v>
      </c>
      <c r="V614" s="27" t="n">
        <f>10365000000</f>
        <v>1.0365E10</v>
      </c>
      <c r="W614" s="3" t="s">
        <v>205</v>
      </c>
      <c r="X614" s="27" t="n">
        <f>96870000</f>
        <v>9.687E7</v>
      </c>
      <c r="Y614" s="27"/>
      <c r="Z614" s="25" t="str">
        <f>"－"</f>
        <v>－</v>
      </c>
      <c r="AA614" s="25" t="n">
        <f>100</f>
        <v>100.0</v>
      </c>
      <c r="AB614" s="2" t="s">
        <v>316</v>
      </c>
      <c r="AC614" s="26" t="n">
        <f>222</f>
        <v>222.0</v>
      </c>
      <c r="AD614" s="3" t="s">
        <v>963</v>
      </c>
      <c r="AE614" s="27" t="n">
        <f>70</f>
        <v>70.0</v>
      </c>
    </row>
    <row r="615">
      <c r="A615" s="20" t="s">
        <v>1321</v>
      </c>
      <c r="B615" s="21" t="s">
        <v>1322</v>
      </c>
      <c r="C615" s="22"/>
      <c r="D615" s="23"/>
      <c r="E615" s="24" t="s">
        <v>294</v>
      </c>
      <c r="F615" s="28" t="n">
        <f>126</f>
        <v>126.0</v>
      </c>
      <c r="G615" s="25" t="n">
        <f>1728</f>
        <v>1728.0</v>
      </c>
      <c r="H615" s="25"/>
      <c r="I615" s="25" t="str">
        <f>"－"</f>
        <v>－</v>
      </c>
      <c r="J615" s="25" t="n">
        <f>14</f>
        <v>14.0</v>
      </c>
      <c r="K615" s="25" t="str">
        <f>"－"</f>
        <v>－</v>
      </c>
      <c r="L615" s="2" t="s">
        <v>991</v>
      </c>
      <c r="M615" s="26" t="n">
        <f>40</f>
        <v>40.0</v>
      </c>
      <c r="N615" s="3" t="s">
        <v>334</v>
      </c>
      <c r="O615" s="27" t="n">
        <f>1</f>
        <v>1.0</v>
      </c>
      <c r="P615" s="29" t="s">
        <v>1333</v>
      </c>
      <c r="Q615" s="25"/>
      <c r="R615" s="29" t="s">
        <v>262</v>
      </c>
      <c r="S615" s="25" t="n">
        <f>1387037302</f>
        <v>1.387037302E9</v>
      </c>
      <c r="T615" s="25" t="str">
        <f>"－"</f>
        <v>－</v>
      </c>
      <c r="U615" s="3" t="s">
        <v>614</v>
      </c>
      <c r="V615" s="27" t="n">
        <f>4080000000</f>
        <v>4.08E9</v>
      </c>
      <c r="W615" s="3" t="s">
        <v>334</v>
      </c>
      <c r="X615" s="27" t="n">
        <f>100900000</f>
        <v>1.009E8</v>
      </c>
      <c r="Y615" s="27"/>
      <c r="Z615" s="25" t="str">
        <f>"－"</f>
        <v>－</v>
      </c>
      <c r="AA615" s="25" t="n">
        <f>192</f>
        <v>192.0</v>
      </c>
      <c r="AB615" s="2" t="s">
        <v>216</v>
      </c>
      <c r="AC615" s="26" t="n">
        <f>203</f>
        <v>203.0</v>
      </c>
      <c r="AD615" s="3" t="s">
        <v>945</v>
      </c>
      <c r="AE615" s="27" t="n">
        <f>53</f>
        <v>53.0</v>
      </c>
    </row>
    <row r="616">
      <c r="A616" s="20" t="s">
        <v>1321</v>
      </c>
      <c r="B616" s="21" t="s">
        <v>1322</v>
      </c>
      <c r="C616" s="22"/>
      <c r="D616" s="23"/>
      <c r="E616" s="24" t="s">
        <v>299</v>
      </c>
      <c r="F616" s="28" t="n">
        <f>121</f>
        <v>121.0</v>
      </c>
      <c r="G616" s="25" t="n">
        <f>1641</f>
        <v>1641.0</v>
      </c>
      <c r="H616" s="25"/>
      <c r="I616" s="25" t="str">
        <f>"－"</f>
        <v>－</v>
      </c>
      <c r="J616" s="25" t="n">
        <f>14</f>
        <v>14.0</v>
      </c>
      <c r="K616" s="25" t="str">
        <f>"－"</f>
        <v>－</v>
      </c>
      <c r="L616" s="2" t="s">
        <v>316</v>
      </c>
      <c r="M616" s="26" t="n">
        <f>50</f>
        <v>50.0</v>
      </c>
      <c r="N616" s="3" t="s">
        <v>135</v>
      </c>
      <c r="O616" s="27" t="n">
        <f>1</f>
        <v>1.0</v>
      </c>
      <c r="P616" s="29" t="s">
        <v>1334</v>
      </c>
      <c r="Q616" s="25"/>
      <c r="R616" s="29" t="s">
        <v>262</v>
      </c>
      <c r="S616" s="25" t="n">
        <f>1426914215</f>
        <v>1.426914215E9</v>
      </c>
      <c r="T616" s="25" t="str">
        <f>"－"</f>
        <v>－</v>
      </c>
      <c r="U616" s="3" t="s">
        <v>316</v>
      </c>
      <c r="V616" s="27" t="n">
        <f>5514000000</f>
        <v>5.514E9</v>
      </c>
      <c r="W616" s="3" t="s">
        <v>135</v>
      </c>
      <c r="X616" s="27" t="n">
        <f>103000000</f>
        <v>1.03E8</v>
      </c>
      <c r="Y616" s="27"/>
      <c r="Z616" s="25" t="str">
        <f>"－"</f>
        <v>－</v>
      </c>
      <c r="AA616" s="25" t="n">
        <f>175</f>
        <v>175.0</v>
      </c>
      <c r="AB616" s="2" t="s">
        <v>369</v>
      </c>
      <c r="AC616" s="26" t="n">
        <f>220</f>
        <v>220.0</v>
      </c>
      <c r="AD616" s="3" t="s">
        <v>88</v>
      </c>
      <c r="AE616" s="27" t="str">
        <f>"－"</f>
        <v>－</v>
      </c>
    </row>
    <row r="617">
      <c r="A617" s="20" t="s">
        <v>1321</v>
      </c>
      <c r="B617" s="21" t="s">
        <v>1322</v>
      </c>
      <c r="C617" s="22"/>
      <c r="D617" s="23"/>
      <c r="E617" s="24" t="s">
        <v>301</v>
      </c>
      <c r="F617" s="28" t="n">
        <f>125</f>
        <v>125.0</v>
      </c>
      <c r="G617" s="25" t="n">
        <f>1465</f>
        <v>1465.0</v>
      </c>
      <c r="H617" s="25"/>
      <c r="I617" s="25" t="str">
        <f>"－"</f>
        <v>－</v>
      </c>
      <c r="J617" s="25" t="n">
        <f>12</f>
        <v>12.0</v>
      </c>
      <c r="K617" s="25" t="str">
        <f>"－"</f>
        <v>－</v>
      </c>
      <c r="L617" s="2" t="s">
        <v>1116</v>
      </c>
      <c r="M617" s="26" t="n">
        <f>40</f>
        <v>40.0</v>
      </c>
      <c r="N617" s="3" t="s">
        <v>129</v>
      </c>
      <c r="O617" s="27" t="n">
        <f>1</f>
        <v>1.0</v>
      </c>
      <c r="P617" s="29" t="s">
        <v>1335</v>
      </c>
      <c r="Q617" s="25"/>
      <c r="R617" s="29" t="s">
        <v>262</v>
      </c>
      <c r="S617" s="25" t="n">
        <f>1310167200</f>
        <v>1.3101672E9</v>
      </c>
      <c r="T617" s="25" t="str">
        <f>"－"</f>
        <v>－</v>
      </c>
      <c r="U617" s="3" t="s">
        <v>536</v>
      </c>
      <c r="V617" s="27" t="n">
        <f>4642000000</f>
        <v>4.642E9</v>
      </c>
      <c r="W617" s="3" t="s">
        <v>129</v>
      </c>
      <c r="X617" s="27" t="n">
        <f>121500000</f>
        <v>1.215E8</v>
      </c>
      <c r="Y617" s="27"/>
      <c r="Z617" s="25" t="str">
        <f>"－"</f>
        <v>－</v>
      </c>
      <c r="AA617" s="25" t="n">
        <f>142</f>
        <v>142.0</v>
      </c>
      <c r="AB617" s="2" t="s">
        <v>1331</v>
      </c>
      <c r="AC617" s="26" t="n">
        <f>221</f>
        <v>221.0</v>
      </c>
      <c r="AD617" s="3" t="s">
        <v>318</v>
      </c>
      <c r="AE617" s="27" t="n">
        <f>101</f>
        <v>101.0</v>
      </c>
    </row>
    <row r="618">
      <c r="A618" s="20" t="s">
        <v>1321</v>
      </c>
      <c r="B618" s="21" t="s">
        <v>1322</v>
      </c>
      <c r="C618" s="22"/>
      <c r="D618" s="23"/>
      <c r="E618" s="24" t="s">
        <v>304</v>
      </c>
      <c r="F618" s="28" t="n">
        <f>122</f>
        <v>122.0</v>
      </c>
      <c r="G618" s="25" t="n">
        <f>1246</f>
        <v>1246.0</v>
      </c>
      <c r="H618" s="25"/>
      <c r="I618" s="25" t="str">
        <f>"－"</f>
        <v>－</v>
      </c>
      <c r="J618" s="25" t="n">
        <f>10</f>
        <v>10.0</v>
      </c>
      <c r="K618" s="25" t="str">
        <f>"－"</f>
        <v>－</v>
      </c>
      <c r="L618" s="2" t="s">
        <v>185</v>
      </c>
      <c r="M618" s="26" t="n">
        <f>40</f>
        <v>40.0</v>
      </c>
      <c r="N618" s="3" t="s">
        <v>156</v>
      </c>
      <c r="O618" s="27" t="n">
        <f>1</f>
        <v>1.0</v>
      </c>
      <c r="P618" s="29" t="s">
        <v>1336</v>
      </c>
      <c r="Q618" s="25"/>
      <c r="R618" s="29" t="s">
        <v>262</v>
      </c>
      <c r="S618" s="25" t="n">
        <f>1146665574</f>
        <v>1.146665574E9</v>
      </c>
      <c r="T618" s="25" t="str">
        <f>"－"</f>
        <v>－</v>
      </c>
      <c r="U618" s="3" t="s">
        <v>71</v>
      </c>
      <c r="V618" s="27" t="n">
        <f>4580000000</f>
        <v>4.58E9</v>
      </c>
      <c r="W618" s="3" t="s">
        <v>156</v>
      </c>
      <c r="X618" s="27" t="n">
        <f>121100000</f>
        <v>1.211E8</v>
      </c>
      <c r="Y618" s="27"/>
      <c r="Z618" s="25" t="str">
        <f>"－"</f>
        <v>－</v>
      </c>
      <c r="AA618" s="25" t="n">
        <f>172</f>
        <v>172.0</v>
      </c>
      <c r="AB618" s="2" t="s">
        <v>767</v>
      </c>
      <c r="AC618" s="26" t="n">
        <f>197</f>
        <v>197.0</v>
      </c>
      <c r="AD618" s="3" t="s">
        <v>314</v>
      </c>
      <c r="AE618" s="27" t="n">
        <f>94</f>
        <v>94.0</v>
      </c>
    </row>
    <row r="619">
      <c r="A619" s="20" t="s">
        <v>1321</v>
      </c>
      <c r="B619" s="21" t="s">
        <v>1322</v>
      </c>
      <c r="C619" s="22"/>
      <c r="D619" s="23"/>
      <c r="E619" s="24" t="s">
        <v>308</v>
      </c>
      <c r="F619" s="28" t="n">
        <f>125</f>
        <v>125.0</v>
      </c>
      <c r="G619" s="25" t="n">
        <f>1948</f>
        <v>1948.0</v>
      </c>
      <c r="H619" s="25"/>
      <c r="I619" s="25" t="str">
        <f>"－"</f>
        <v>－</v>
      </c>
      <c r="J619" s="25" t="n">
        <f>16</f>
        <v>16.0</v>
      </c>
      <c r="K619" s="25" t="str">
        <f>"－"</f>
        <v>－</v>
      </c>
      <c r="L619" s="2" t="s">
        <v>947</v>
      </c>
      <c r="M619" s="26" t="n">
        <f>40</f>
        <v>40.0</v>
      </c>
      <c r="N619" s="3" t="s">
        <v>129</v>
      </c>
      <c r="O619" s="27" t="n">
        <f>1</f>
        <v>1.0</v>
      </c>
      <c r="P619" s="29" t="s">
        <v>1337</v>
      </c>
      <c r="Q619" s="25"/>
      <c r="R619" s="29" t="s">
        <v>262</v>
      </c>
      <c r="S619" s="25" t="n">
        <f>1703965200</f>
        <v>1.7039652E9</v>
      </c>
      <c r="T619" s="25" t="str">
        <f>"－"</f>
        <v>－</v>
      </c>
      <c r="U619" s="3" t="s">
        <v>614</v>
      </c>
      <c r="V619" s="27" t="n">
        <f>4402000000</f>
        <v>4.402E9</v>
      </c>
      <c r="W619" s="3" t="s">
        <v>129</v>
      </c>
      <c r="X619" s="27" t="n">
        <f>110300000</f>
        <v>1.103E8</v>
      </c>
      <c r="Y619" s="27"/>
      <c r="Z619" s="25" t="str">
        <f>"－"</f>
        <v>－</v>
      </c>
      <c r="AA619" s="25" t="n">
        <f>194</f>
        <v>194.0</v>
      </c>
      <c r="AB619" s="2" t="s">
        <v>388</v>
      </c>
      <c r="AC619" s="26" t="n">
        <f>228</f>
        <v>228.0</v>
      </c>
      <c r="AD619" s="3" t="s">
        <v>192</v>
      </c>
      <c r="AE619" s="27" t="n">
        <f>94</f>
        <v>94.0</v>
      </c>
    </row>
    <row r="620">
      <c r="A620" s="20" t="s">
        <v>1321</v>
      </c>
      <c r="B620" s="21" t="s">
        <v>1322</v>
      </c>
      <c r="C620" s="22"/>
      <c r="D620" s="23"/>
      <c r="E620" s="24" t="s">
        <v>311</v>
      </c>
      <c r="F620" s="28" t="n">
        <f>123</f>
        <v>123.0</v>
      </c>
      <c r="G620" s="25" t="n">
        <f>1347</f>
        <v>1347.0</v>
      </c>
      <c r="H620" s="25"/>
      <c r="I620" s="25" t="str">
        <f>"－"</f>
        <v>－</v>
      </c>
      <c r="J620" s="25" t="n">
        <f>11</f>
        <v>11.0</v>
      </c>
      <c r="K620" s="25" t="str">
        <f>"－"</f>
        <v>－</v>
      </c>
      <c r="L620" s="2" t="s">
        <v>57</v>
      </c>
      <c r="M620" s="26" t="n">
        <f>40</f>
        <v>40.0</v>
      </c>
      <c r="N620" s="3" t="s">
        <v>156</v>
      </c>
      <c r="O620" s="27" t="n">
        <f>1</f>
        <v>1.0</v>
      </c>
      <c r="P620" s="29" t="s">
        <v>1338</v>
      </c>
      <c r="Q620" s="25"/>
      <c r="R620" s="29" t="s">
        <v>262</v>
      </c>
      <c r="S620" s="25" t="n">
        <f>1281637398</f>
        <v>1.281637398E9</v>
      </c>
      <c r="T620" s="25" t="str">
        <f>"－"</f>
        <v>－</v>
      </c>
      <c r="U620" s="3" t="s">
        <v>314</v>
      </c>
      <c r="V620" s="27" t="n">
        <f>4474000000</f>
        <v>4.474E9</v>
      </c>
      <c r="W620" s="3" t="s">
        <v>156</v>
      </c>
      <c r="X620" s="27" t="n">
        <f>109700000</f>
        <v>1.097E8</v>
      </c>
      <c r="Y620" s="27"/>
      <c r="Z620" s="25" t="str">
        <f>"－"</f>
        <v>－</v>
      </c>
      <c r="AA620" s="25" t="n">
        <f>105</f>
        <v>105.0</v>
      </c>
      <c r="AB620" s="2" t="s">
        <v>328</v>
      </c>
      <c r="AC620" s="26" t="n">
        <f>213</f>
        <v>213.0</v>
      </c>
      <c r="AD620" s="3" t="s">
        <v>307</v>
      </c>
      <c r="AE620" s="27" t="str">
        <f>"－"</f>
        <v>－</v>
      </c>
    </row>
    <row r="621">
      <c r="A621" s="20" t="s">
        <v>1321</v>
      </c>
      <c r="B621" s="21" t="s">
        <v>1322</v>
      </c>
      <c r="C621" s="22"/>
      <c r="D621" s="23"/>
      <c r="E621" s="24" t="s">
        <v>317</v>
      </c>
      <c r="F621" s="28" t="n">
        <f>126</f>
        <v>126.0</v>
      </c>
      <c r="G621" s="25" t="n">
        <f>1387</f>
        <v>1387.0</v>
      </c>
      <c r="H621" s="25"/>
      <c r="I621" s="25" t="str">
        <f>"－"</f>
        <v>－</v>
      </c>
      <c r="J621" s="25" t="n">
        <f>11</f>
        <v>11.0</v>
      </c>
      <c r="K621" s="25" t="str">
        <f>"－"</f>
        <v>－</v>
      </c>
      <c r="L621" s="2" t="s">
        <v>671</v>
      </c>
      <c r="M621" s="26" t="n">
        <f>40</f>
        <v>40.0</v>
      </c>
      <c r="N621" s="3" t="s">
        <v>269</v>
      </c>
      <c r="O621" s="27" t="n">
        <f>1</f>
        <v>1.0</v>
      </c>
      <c r="P621" s="29" t="s">
        <v>1339</v>
      </c>
      <c r="Q621" s="25"/>
      <c r="R621" s="29" t="s">
        <v>262</v>
      </c>
      <c r="S621" s="25" t="n">
        <f>1399110317</f>
        <v>1.399110317E9</v>
      </c>
      <c r="T621" s="25" t="str">
        <f>"－"</f>
        <v>－</v>
      </c>
      <c r="U621" s="3" t="s">
        <v>833</v>
      </c>
      <c r="V621" s="27" t="n">
        <f>5100000000</f>
        <v>5.1E9</v>
      </c>
      <c r="W621" s="3" t="s">
        <v>269</v>
      </c>
      <c r="X621" s="27" t="n">
        <f>125700000</f>
        <v>1.257E8</v>
      </c>
      <c r="Y621" s="27"/>
      <c r="Z621" s="25" t="str">
        <f>"－"</f>
        <v>－</v>
      </c>
      <c r="AA621" s="25" t="n">
        <f>150</f>
        <v>150.0</v>
      </c>
      <c r="AB621" s="2" t="s">
        <v>269</v>
      </c>
      <c r="AC621" s="26" t="n">
        <f>150</f>
        <v>150.0</v>
      </c>
      <c r="AD621" s="3" t="s">
        <v>991</v>
      </c>
      <c r="AE621" s="27" t="n">
        <f>68</f>
        <v>68.0</v>
      </c>
    </row>
    <row r="622">
      <c r="A622" s="20" t="s">
        <v>1321</v>
      </c>
      <c r="B622" s="21" t="s">
        <v>1322</v>
      </c>
      <c r="C622" s="22"/>
      <c r="D622" s="23"/>
      <c r="E622" s="24" t="s">
        <v>322</v>
      </c>
      <c r="F622" s="28" t="n">
        <f>121</f>
        <v>121.0</v>
      </c>
      <c r="G622" s="25" t="n">
        <f>1163</f>
        <v>1163.0</v>
      </c>
      <c r="H622" s="25"/>
      <c r="I622" s="25" t="str">
        <f>"－"</f>
        <v>－</v>
      </c>
      <c r="J622" s="25" t="n">
        <f>10</f>
        <v>10.0</v>
      </c>
      <c r="K622" s="25" t="str">
        <f>"－"</f>
        <v>－</v>
      </c>
      <c r="L622" s="2" t="s">
        <v>1171</v>
      </c>
      <c r="M622" s="26" t="n">
        <f>50</f>
        <v>50.0</v>
      </c>
      <c r="N622" s="3" t="s">
        <v>156</v>
      </c>
      <c r="O622" s="27" t="n">
        <f>1</f>
        <v>1.0</v>
      </c>
      <c r="P622" s="29" t="s">
        <v>1340</v>
      </c>
      <c r="Q622" s="25"/>
      <c r="R622" s="29" t="s">
        <v>262</v>
      </c>
      <c r="S622" s="25" t="n">
        <f>1203318512</f>
        <v>1.203318512E9</v>
      </c>
      <c r="T622" s="25" t="str">
        <f>"－"</f>
        <v>－</v>
      </c>
      <c r="U622" s="3" t="s">
        <v>1171</v>
      </c>
      <c r="V622" s="27" t="n">
        <f>6250000000</f>
        <v>6.25E9</v>
      </c>
      <c r="W622" s="3" t="s">
        <v>156</v>
      </c>
      <c r="X622" s="27" t="n">
        <f>124700000</f>
        <v>1.247E8</v>
      </c>
      <c r="Y622" s="27"/>
      <c r="Z622" s="25" t="str">
        <f>"－"</f>
        <v>－</v>
      </c>
      <c r="AA622" s="25" t="n">
        <f>127</f>
        <v>127.0</v>
      </c>
      <c r="AB622" s="2" t="s">
        <v>98</v>
      </c>
      <c r="AC622" s="26" t="n">
        <f>163</f>
        <v>163.0</v>
      </c>
      <c r="AD622" s="3" t="s">
        <v>194</v>
      </c>
      <c r="AE622" s="27" t="n">
        <f>45</f>
        <v>45.0</v>
      </c>
    </row>
    <row r="623">
      <c r="A623" s="20" t="s">
        <v>1321</v>
      </c>
      <c r="B623" s="21" t="s">
        <v>1322</v>
      </c>
      <c r="C623" s="22"/>
      <c r="D623" s="23"/>
      <c r="E623" s="24" t="s">
        <v>325</v>
      </c>
      <c r="F623" s="28" t="n">
        <f>126</f>
        <v>126.0</v>
      </c>
      <c r="G623" s="25" t="n">
        <f>1079</f>
        <v>1079.0</v>
      </c>
      <c r="H623" s="25"/>
      <c r="I623" s="25" t="str">
        <f>"－"</f>
        <v>－</v>
      </c>
      <c r="J623" s="25" t="n">
        <f>9</f>
        <v>9.0</v>
      </c>
      <c r="K623" s="25" t="str">
        <f>"－"</f>
        <v>－</v>
      </c>
      <c r="L623" s="2" t="s">
        <v>94</v>
      </c>
      <c r="M623" s="26" t="n">
        <f>60</f>
        <v>60.0</v>
      </c>
      <c r="N623" s="3" t="s">
        <v>259</v>
      </c>
      <c r="O623" s="27" t="str">
        <f>"－"</f>
        <v>－</v>
      </c>
      <c r="P623" s="29" t="s">
        <v>1341</v>
      </c>
      <c r="Q623" s="25"/>
      <c r="R623" s="29" t="s">
        <v>262</v>
      </c>
      <c r="S623" s="25" t="n">
        <f>1110077063</f>
        <v>1.110077063E9</v>
      </c>
      <c r="T623" s="25" t="str">
        <f>"－"</f>
        <v>－</v>
      </c>
      <c r="U623" s="3" t="s">
        <v>94</v>
      </c>
      <c r="V623" s="27" t="n">
        <f>8132000000</f>
        <v>8.132E9</v>
      </c>
      <c r="W623" s="3" t="s">
        <v>259</v>
      </c>
      <c r="X623" s="27" t="str">
        <f>"－"</f>
        <v>－</v>
      </c>
      <c r="Y623" s="27"/>
      <c r="Z623" s="25" t="str">
        <f>"－"</f>
        <v>－</v>
      </c>
      <c r="AA623" s="25" t="n">
        <f>154</f>
        <v>154.0</v>
      </c>
      <c r="AB623" s="2" t="s">
        <v>129</v>
      </c>
      <c r="AC623" s="26" t="n">
        <f>154</f>
        <v>154.0</v>
      </c>
      <c r="AD623" s="3" t="s">
        <v>1122</v>
      </c>
      <c r="AE623" s="27" t="n">
        <f>11</f>
        <v>11.0</v>
      </c>
    </row>
    <row r="624">
      <c r="A624" s="20" t="s">
        <v>1321</v>
      </c>
      <c r="B624" s="21" t="s">
        <v>1322</v>
      </c>
      <c r="C624" s="22"/>
      <c r="D624" s="23"/>
      <c r="E624" s="24" t="s">
        <v>327</v>
      </c>
      <c r="F624" s="28" t="n">
        <f>121</f>
        <v>121.0</v>
      </c>
      <c r="G624" s="25" t="n">
        <f>988</f>
        <v>988.0</v>
      </c>
      <c r="H624" s="25"/>
      <c r="I624" s="25" t="str">
        <f>"－"</f>
        <v>－</v>
      </c>
      <c r="J624" s="25" t="n">
        <f>8</f>
        <v>8.0</v>
      </c>
      <c r="K624" s="25" t="str">
        <f>"－"</f>
        <v>－</v>
      </c>
      <c r="L624" s="2" t="s">
        <v>482</v>
      </c>
      <c r="M624" s="26" t="n">
        <f>30</f>
        <v>30.0</v>
      </c>
      <c r="N624" s="3" t="s">
        <v>328</v>
      </c>
      <c r="O624" s="27" t="n">
        <f>1</f>
        <v>1.0</v>
      </c>
      <c r="P624" s="29" t="s">
        <v>1342</v>
      </c>
      <c r="Q624" s="25"/>
      <c r="R624" s="29" t="s">
        <v>262</v>
      </c>
      <c r="S624" s="25" t="n">
        <f>1105265207</f>
        <v>1.105265207E9</v>
      </c>
      <c r="T624" s="25" t="str">
        <f>"－"</f>
        <v>－</v>
      </c>
      <c r="U624" s="3" t="s">
        <v>482</v>
      </c>
      <c r="V624" s="27" t="n">
        <f>4016100000</f>
        <v>4.0161E9</v>
      </c>
      <c r="W624" s="3" t="s">
        <v>328</v>
      </c>
      <c r="X624" s="27" t="n">
        <f>131600000</f>
        <v>1.316E8</v>
      </c>
      <c r="Y624" s="27"/>
      <c r="Z624" s="25" t="str">
        <f>"－"</f>
        <v>－</v>
      </c>
      <c r="AA624" s="25" t="n">
        <f>144</f>
        <v>144.0</v>
      </c>
      <c r="AB624" s="2" t="s">
        <v>328</v>
      </c>
      <c r="AC624" s="26" t="n">
        <f>155</f>
        <v>155.0</v>
      </c>
      <c r="AD624" s="3" t="s">
        <v>751</v>
      </c>
      <c r="AE624" s="27" t="str">
        <f>"－"</f>
        <v>－</v>
      </c>
    </row>
    <row r="625">
      <c r="A625" s="20" t="s">
        <v>1321</v>
      </c>
      <c r="B625" s="21" t="s">
        <v>1322</v>
      </c>
      <c r="C625" s="22"/>
      <c r="D625" s="23"/>
      <c r="E625" s="24" t="s">
        <v>330</v>
      </c>
      <c r="F625" s="28" t="n">
        <f>124</f>
        <v>124.0</v>
      </c>
      <c r="G625" s="25" t="n">
        <f>1179</f>
        <v>1179.0</v>
      </c>
      <c r="H625" s="25"/>
      <c r="I625" s="25" t="str">
        <f>"－"</f>
        <v>－</v>
      </c>
      <c r="J625" s="25" t="n">
        <f>10</f>
        <v>10.0</v>
      </c>
      <c r="K625" s="25" t="str">
        <f>"－"</f>
        <v>－</v>
      </c>
      <c r="L625" s="2" t="s">
        <v>302</v>
      </c>
      <c r="M625" s="26" t="n">
        <f>52</f>
        <v>52.0</v>
      </c>
      <c r="N625" s="3" t="s">
        <v>125</v>
      </c>
      <c r="O625" s="27" t="str">
        <f>"－"</f>
        <v>－</v>
      </c>
      <c r="P625" s="29" t="s">
        <v>1343</v>
      </c>
      <c r="Q625" s="25"/>
      <c r="R625" s="29" t="s">
        <v>262</v>
      </c>
      <c r="S625" s="25" t="n">
        <f>1354398952</f>
        <v>1.354398952E9</v>
      </c>
      <c r="T625" s="25" t="str">
        <f>"－"</f>
        <v>－</v>
      </c>
      <c r="U625" s="3" t="s">
        <v>302</v>
      </c>
      <c r="V625" s="27" t="n">
        <f>7592000000</f>
        <v>7.592E9</v>
      </c>
      <c r="W625" s="3" t="s">
        <v>125</v>
      </c>
      <c r="X625" s="27" t="str">
        <f>"－"</f>
        <v>－</v>
      </c>
      <c r="Y625" s="27"/>
      <c r="Z625" s="25" t="str">
        <f>"－"</f>
        <v>－</v>
      </c>
      <c r="AA625" s="25" t="n">
        <f>117</f>
        <v>117.0</v>
      </c>
      <c r="AB625" s="2" t="s">
        <v>1097</v>
      </c>
      <c r="AC625" s="26" t="n">
        <f>150</f>
        <v>150.0</v>
      </c>
      <c r="AD625" s="3" t="s">
        <v>302</v>
      </c>
      <c r="AE625" s="27" t="str">
        <f>"－"</f>
        <v>－</v>
      </c>
    </row>
    <row r="626">
      <c r="A626" s="20" t="s">
        <v>1321</v>
      </c>
      <c r="B626" s="21" t="s">
        <v>1322</v>
      </c>
      <c r="C626" s="22"/>
      <c r="D626" s="23"/>
      <c r="E626" s="24" t="s">
        <v>336</v>
      </c>
      <c r="F626" s="28" t="n">
        <f>122</f>
        <v>122.0</v>
      </c>
      <c r="G626" s="25" t="n">
        <f>123</f>
        <v>123.0</v>
      </c>
      <c r="H626" s="25"/>
      <c r="I626" s="25" t="str">
        <f>"－"</f>
        <v>－</v>
      </c>
      <c r="J626" s="25" t="n">
        <f>1</f>
        <v>1.0</v>
      </c>
      <c r="K626" s="25" t="str">
        <f>"－"</f>
        <v>－</v>
      </c>
      <c r="L626" s="2" t="s">
        <v>209</v>
      </c>
      <c r="M626" s="26" t="n">
        <f>61</f>
        <v>61.0</v>
      </c>
      <c r="N626" s="3" t="s">
        <v>422</v>
      </c>
      <c r="O626" s="27" t="str">
        <f>"－"</f>
        <v>－</v>
      </c>
      <c r="P626" s="29" t="s">
        <v>1344</v>
      </c>
      <c r="Q626" s="25"/>
      <c r="R626" s="29" t="s">
        <v>262</v>
      </c>
      <c r="S626" s="25" t="n">
        <f>147862213</f>
        <v>1.47862213E8</v>
      </c>
      <c r="T626" s="25" t="str">
        <f>"－"</f>
        <v>－</v>
      </c>
      <c r="U626" s="3" t="s">
        <v>209</v>
      </c>
      <c r="V626" s="27" t="n">
        <f>8957240000</f>
        <v>8.95724E9</v>
      </c>
      <c r="W626" s="3" t="s">
        <v>422</v>
      </c>
      <c r="X626" s="27" t="str">
        <f>"－"</f>
        <v>－</v>
      </c>
      <c r="Y626" s="27"/>
      <c r="Z626" s="25" t="str">
        <f>"－"</f>
        <v>－</v>
      </c>
      <c r="AA626" s="25" t="str">
        <f>"－"</f>
        <v>－</v>
      </c>
      <c r="AB626" s="2" t="s">
        <v>147</v>
      </c>
      <c r="AC626" s="26" t="n">
        <f>118</f>
        <v>118.0</v>
      </c>
      <c r="AD626" s="3" t="s">
        <v>209</v>
      </c>
      <c r="AE626" s="27" t="str">
        <f>"－"</f>
        <v>－</v>
      </c>
    </row>
    <row r="627">
      <c r="A627" s="20" t="s">
        <v>1321</v>
      </c>
      <c r="B627" s="21" t="s">
        <v>1322</v>
      </c>
      <c r="C627" s="22"/>
      <c r="D627" s="23"/>
      <c r="E627" s="24" t="s">
        <v>338</v>
      </c>
      <c r="F627" s="28" t="n">
        <f>125</f>
        <v>125.0</v>
      </c>
      <c r="G627" s="25" t="str">
        <f>"－"</f>
        <v>－</v>
      </c>
      <c r="H627" s="25"/>
      <c r="I627" s="25" t="str">
        <f>"－"</f>
        <v>－</v>
      </c>
      <c r="J627" s="25" t="str">
        <f>"－"</f>
        <v>－</v>
      </c>
      <c r="K627" s="25" t="str">
        <f>"－"</f>
        <v>－</v>
      </c>
      <c r="L627" s="2" t="s">
        <v>68</v>
      </c>
      <c r="M627" s="26" t="str">
        <f>"－"</f>
        <v>－</v>
      </c>
      <c r="N627" s="3" t="s">
        <v>68</v>
      </c>
      <c r="O627" s="27" t="str">
        <f>"－"</f>
        <v>－</v>
      </c>
      <c r="P627" s="29" t="s">
        <v>262</v>
      </c>
      <c r="Q627" s="25"/>
      <c r="R627" s="29" t="s">
        <v>262</v>
      </c>
      <c r="S627" s="25" t="str">
        <f>"－"</f>
        <v>－</v>
      </c>
      <c r="T627" s="25" t="str">
        <f>"－"</f>
        <v>－</v>
      </c>
      <c r="U627" s="3" t="s">
        <v>68</v>
      </c>
      <c r="V627" s="27" t="str">
        <f>"－"</f>
        <v>－</v>
      </c>
      <c r="W627" s="3" t="s">
        <v>68</v>
      </c>
      <c r="X627" s="27" t="str">
        <f>"－"</f>
        <v>－</v>
      </c>
      <c r="Y627" s="27"/>
      <c r="Z627" s="25" t="str">
        <f>"－"</f>
        <v>－</v>
      </c>
      <c r="AA627" s="25" t="str">
        <f>"－"</f>
        <v>－</v>
      </c>
      <c r="AB627" s="2" t="s">
        <v>68</v>
      </c>
      <c r="AC627" s="26" t="str">
        <f>"－"</f>
        <v>－</v>
      </c>
      <c r="AD627" s="3" t="s">
        <v>68</v>
      </c>
      <c r="AE627" s="27" t="str">
        <f>"－"</f>
        <v>－</v>
      </c>
    </row>
    <row r="628">
      <c r="A628" s="20" t="s">
        <v>1321</v>
      </c>
      <c r="B628" s="21" t="s">
        <v>1322</v>
      </c>
      <c r="C628" s="22"/>
      <c r="D628" s="23"/>
      <c r="E628" s="24" t="s">
        <v>342</v>
      </c>
      <c r="F628" s="28" t="n">
        <f>121</f>
        <v>121.0</v>
      </c>
      <c r="G628" s="25" t="str">
        <f>"－"</f>
        <v>－</v>
      </c>
      <c r="H628" s="25"/>
      <c r="I628" s="25" t="str">
        <f>"－"</f>
        <v>－</v>
      </c>
      <c r="J628" s="25" t="str">
        <f>"－"</f>
        <v>－</v>
      </c>
      <c r="K628" s="25" t="str">
        <f>"－"</f>
        <v>－</v>
      </c>
      <c r="L628" s="2" t="s">
        <v>156</v>
      </c>
      <c r="M628" s="26" t="str">
        <f>"－"</f>
        <v>－</v>
      </c>
      <c r="N628" s="3" t="s">
        <v>156</v>
      </c>
      <c r="O628" s="27" t="str">
        <f>"－"</f>
        <v>－</v>
      </c>
      <c r="P628" s="29" t="s">
        <v>262</v>
      </c>
      <c r="Q628" s="25"/>
      <c r="R628" s="29" t="s">
        <v>262</v>
      </c>
      <c r="S628" s="25" t="str">
        <f>"－"</f>
        <v>－</v>
      </c>
      <c r="T628" s="25" t="str">
        <f>"－"</f>
        <v>－</v>
      </c>
      <c r="U628" s="3" t="s">
        <v>156</v>
      </c>
      <c r="V628" s="27" t="str">
        <f>"－"</f>
        <v>－</v>
      </c>
      <c r="W628" s="3" t="s">
        <v>156</v>
      </c>
      <c r="X628" s="27" t="str">
        <f>"－"</f>
        <v>－</v>
      </c>
      <c r="Y628" s="27"/>
      <c r="Z628" s="25" t="str">
        <f>"－"</f>
        <v>－</v>
      </c>
      <c r="AA628" s="25" t="str">
        <f>"－"</f>
        <v>－</v>
      </c>
      <c r="AB628" s="2" t="s">
        <v>156</v>
      </c>
      <c r="AC628" s="26" t="str">
        <f>"－"</f>
        <v>－</v>
      </c>
      <c r="AD628" s="3" t="s">
        <v>156</v>
      </c>
      <c r="AE628" s="27" t="str">
        <f>"－"</f>
        <v>－</v>
      </c>
    </row>
    <row r="629">
      <c r="A629" s="20" t="s">
        <v>1321</v>
      </c>
      <c r="B629" s="21" t="s">
        <v>1322</v>
      </c>
      <c r="C629" s="22"/>
      <c r="D629" s="23"/>
      <c r="E629" s="24" t="s">
        <v>347</v>
      </c>
      <c r="F629" s="28" t="n">
        <f>124</f>
        <v>124.0</v>
      </c>
      <c r="G629" s="25" t="str">
        <f>"－"</f>
        <v>－</v>
      </c>
      <c r="H629" s="25"/>
      <c r="I629" s="25" t="str">
        <f>"－"</f>
        <v>－</v>
      </c>
      <c r="J629" s="25" t="str">
        <f>"－"</f>
        <v>－</v>
      </c>
      <c r="K629" s="25" t="str">
        <f>"－"</f>
        <v>－</v>
      </c>
      <c r="L629" s="2" t="s">
        <v>68</v>
      </c>
      <c r="M629" s="26" t="str">
        <f>"－"</f>
        <v>－</v>
      </c>
      <c r="N629" s="3" t="s">
        <v>68</v>
      </c>
      <c r="O629" s="27" t="str">
        <f>"－"</f>
        <v>－</v>
      </c>
      <c r="P629" s="29" t="s">
        <v>262</v>
      </c>
      <c r="Q629" s="25"/>
      <c r="R629" s="29" t="s">
        <v>262</v>
      </c>
      <c r="S629" s="25" t="str">
        <f>"－"</f>
        <v>－</v>
      </c>
      <c r="T629" s="25" t="str">
        <f>"－"</f>
        <v>－</v>
      </c>
      <c r="U629" s="3" t="s">
        <v>68</v>
      </c>
      <c r="V629" s="27" t="str">
        <f>"－"</f>
        <v>－</v>
      </c>
      <c r="W629" s="3" t="s">
        <v>68</v>
      </c>
      <c r="X629" s="27" t="str">
        <f>"－"</f>
        <v>－</v>
      </c>
      <c r="Y629" s="27"/>
      <c r="Z629" s="25" t="str">
        <f>"－"</f>
        <v>－</v>
      </c>
      <c r="AA629" s="25" t="str">
        <f>"－"</f>
        <v>－</v>
      </c>
      <c r="AB629" s="2" t="s">
        <v>68</v>
      </c>
      <c r="AC629" s="26" t="str">
        <f>"－"</f>
        <v>－</v>
      </c>
      <c r="AD629" s="3" t="s">
        <v>68</v>
      </c>
      <c r="AE629" s="27" t="str">
        <f>"－"</f>
        <v>－</v>
      </c>
    </row>
    <row r="630">
      <c r="A630" s="20" t="s">
        <v>1321</v>
      </c>
      <c r="B630" s="21" t="s">
        <v>1322</v>
      </c>
      <c r="C630" s="22"/>
      <c r="D630" s="23"/>
      <c r="E630" s="24" t="s">
        <v>351</v>
      </c>
      <c r="F630" s="28" t="n">
        <f>123</f>
        <v>123.0</v>
      </c>
      <c r="G630" s="25" t="str">
        <f>"－"</f>
        <v>－</v>
      </c>
      <c r="H630" s="25"/>
      <c r="I630" s="25" t="str">
        <f>"－"</f>
        <v>－</v>
      </c>
      <c r="J630" s="25" t="str">
        <f>"－"</f>
        <v>－</v>
      </c>
      <c r="K630" s="25" t="str">
        <f>"－"</f>
        <v>－</v>
      </c>
      <c r="L630" s="2" t="s">
        <v>156</v>
      </c>
      <c r="M630" s="26" t="str">
        <f>"－"</f>
        <v>－</v>
      </c>
      <c r="N630" s="3" t="s">
        <v>156</v>
      </c>
      <c r="O630" s="27" t="str">
        <f>"－"</f>
        <v>－</v>
      </c>
      <c r="P630" s="29" t="s">
        <v>262</v>
      </c>
      <c r="Q630" s="25"/>
      <c r="R630" s="29" t="s">
        <v>262</v>
      </c>
      <c r="S630" s="25" t="str">
        <f>"－"</f>
        <v>－</v>
      </c>
      <c r="T630" s="25" t="str">
        <f>"－"</f>
        <v>－</v>
      </c>
      <c r="U630" s="3" t="s">
        <v>156</v>
      </c>
      <c r="V630" s="27" t="str">
        <f>"－"</f>
        <v>－</v>
      </c>
      <c r="W630" s="3" t="s">
        <v>156</v>
      </c>
      <c r="X630" s="27" t="str">
        <f>"－"</f>
        <v>－</v>
      </c>
      <c r="Y630" s="27"/>
      <c r="Z630" s="25" t="str">
        <f>"－"</f>
        <v>－</v>
      </c>
      <c r="AA630" s="25" t="str">
        <f>"－"</f>
        <v>－</v>
      </c>
      <c r="AB630" s="2" t="s">
        <v>156</v>
      </c>
      <c r="AC630" s="26" t="str">
        <f>"－"</f>
        <v>－</v>
      </c>
      <c r="AD630" s="3" t="s">
        <v>156</v>
      </c>
      <c r="AE630" s="27" t="str">
        <f>"－"</f>
        <v>－</v>
      </c>
    </row>
    <row r="631">
      <c r="A631" s="20" t="s">
        <v>1321</v>
      </c>
      <c r="B631" s="21" t="s">
        <v>1322</v>
      </c>
      <c r="C631" s="22"/>
      <c r="D631" s="23"/>
      <c r="E631" s="24" t="s">
        <v>354</v>
      </c>
      <c r="F631" s="28" t="n">
        <f>125</f>
        <v>125.0</v>
      </c>
      <c r="G631" s="25" t="str">
        <f>"－"</f>
        <v>－</v>
      </c>
      <c r="H631" s="25"/>
      <c r="I631" s="25" t="str">
        <f>"－"</f>
        <v>－</v>
      </c>
      <c r="J631" s="25" t="str">
        <f>"－"</f>
        <v>－</v>
      </c>
      <c r="K631" s="25" t="str">
        <f>"－"</f>
        <v>－</v>
      </c>
      <c r="L631" s="2" t="s">
        <v>633</v>
      </c>
      <c r="M631" s="26" t="str">
        <f>"－"</f>
        <v>－</v>
      </c>
      <c r="N631" s="3" t="s">
        <v>633</v>
      </c>
      <c r="O631" s="27" t="str">
        <f>"－"</f>
        <v>－</v>
      </c>
      <c r="P631" s="29" t="s">
        <v>262</v>
      </c>
      <c r="Q631" s="25"/>
      <c r="R631" s="29" t="s">
        <v>262</v>
      </c>
      <c r="S631" s="25" t="str">
        <f>"－"</f>
        <v>－</v>
      </c>
      <c r="T631" s="25" t="str">
        <f>"－"</f>
        <v>－</v>
      </c>
      <c r="U631" s="3" t="s">
        <v>633</v>
      </c>
      <c r="V631" s="27" t="str">
        <f>"－"</f>
        <v>－</v>
      </c>
      <c r="W631" s="3" t="s">
        <v>633</v>
      </c>
      <c r="X631" s="27" t="str">
        <f>"－"</f>
        <v>－</v>
      </c>
      <c r="Y631" s="27"/>
      <c r="Z631" s="25" t="str">
        <f>"－"</f>
        <v>－</v>
      </c>
      <c r="AA631" s="25" t="str">
        <f>"－"</f>
        <v>－</v>
      </c>
      <c r="AB631" s="2" t="s">
        <v>633</v>
      </c>
      <c r="AC631" s="26" t="str">
        <f>"－"</f>
        <v>－</v>
      </c>
      <c r="AD631" s="3" t="s">
        <v>633</v>
      </c>
      <c r="AE631" s="27" t="str">
        <f>"－"</f>
        <v>－</v>
      </c>
    </row>
    <row r="632">
      <c r="A632" s="20" t="s">
        <v>1321</v>
      </c>
      <c r="B632" s="21" t="s">
        <v>1322</v>
      </c>
      <c r="C632" s="22"/>
      <c r="D632" s="23"/>
      <c r="E632" s="24" t="s">
        <v>357</v>
      </c>
      <c r="F632" s="28" t="n">
        <f>121</f>
        <v>121.0</v>
      </c>
      <c r="G632" s="25" t="str">
        <f>"－"</f>
        <v>－</v>
      </c>
      <c r="H632" s="25"/>
      <c r="I632" s="25" t="str">
        <f>"－"</f>
        <v>－</v>
      </c>
      <c r="J632" s="25" t="str">
        <f>"－"</f>
        <v>－</v>
      </c>
      <c r="K632" s="25" t="str">
        <f>"－"</f>
        <v>－</v>
      </c>
      <c r="L632" s="2" t="s">
        <v>156</v>
      </c>
      <c r="M632" s="26" t="str">
        <f>"－"</f>
        <v>－</v>
      </c>
      <c r="N632" s="3" t="s">
        <v>156</v>
      </c>
      <c r="O632" s="27" t="str">
        <f>"－"</f>
        <v>－</v>
      </c>
      <c r="P632" s="29" t="s">
        <v>262</v>
      </c>
      <c r="Q632" s="25"/>
      <c r="R632" s="29" t="s">
        <v>262</v>
      </c>
      <c r="S632" s="25" t="str">
        <f>"－"</f>
        <v>－</v>
      </c>
      <c r="T632" s="25" t="str">
        <f>"－"</f>
        <v>－</v>
      </c>
      <c r="U632" s="3" t="s">
        <v>156</v>
      </c>
      <c r="V632" s="27" t="str">
        <f>"－"</f>
        <v>－</v>
      </c>
      <c r="W632" s="3" t="s">
        <v>156</v>
      </c>
      <c r="X632" s="27" t="str">
        <f>"－"</f>
        <v>－</v>
      </c>
      <c r="Y632" s="27"/>
      <c r="Z632" s="25" t="str">
        <f>"－"</f>
        <v>－</v>
      </c>
      <c r="AA632" s="25" t="str">
        <f>"－"</f>
        <v>－</v>
      </c>
      <c r="AB632" s="2" t="s">
        <v>156</v>
      </c>
      <c r="AC632" s="26" t="str">
        <f>"－"</f>
        <v>－</v>
      </c>
      <c r="AD632" s="3" t="s">
        <v>156</v>
      </c>
      <c r="AE632" s="27" t="str">
        <f>"－"</f>
        <v>－</v>
      </c>
    </row>
    <row r="633">
      <c r="A633" s="20" t="s">
        <v>1321</v>
      </c>
      <c r="B633" s="21" t="s">
        <v>1322</v>
      </c>
      <c r="C633" s="22"/>
      <c r="D633" s="23"/>
      <c r="E633" s="24" t="s">
        <v>361</v>
      </c>
      <c r="F633" s="28" t="n">
        <f>125</f>
        <v>125.0</v>
      </c>
      <c r="G633" s="25" t="str">
        <f>"－"</f>
        <v>－</v>
      </c>
      <c r="H633" s="25"/>
      <c r="I633" s="25" t="str">
        <f>"－"</f>
        <v>－</v>
      </c>
      <c r="J633" s="25" t="str">
        <f>"－"</f>
        <v>－</v>
      </c>
      <c r="K633" s="25" t="str">
        <f>"－"</f>
        <v>－</v>
      </c>
      <c r="L633" s="2" t="s">
        <v>215</v>
      </c>
      <c r="M633" s="26" t="str">
        <f>"－"</f>
        <v>－</v>
      </c>
      <c r="N633" s="3" t="s">
        <v>215</v>
      </c>
      <c r="O633" s="27" t="str">
        <f>"－"</f>
        <v>－</v>
      </c>
      <c r="P633" s="29" t="s">
        <v>262</v>
      </c>
      <c r="Q633" s="25"/>
      <c r="R633" s="29" t="s">
        <v>262</v>
      </c>
      <c r="S633" s="25" t="str">
        <f>"－"</f>
        <v>－</v>
      </c>
      <c r="T633" s="25" t="str">
        <f>"－"</f>
        <v>－</v>
      </c>
      <c r="U633" s="3" t="s">
        <v>215</v>
      </c>
      <c r="V633" s="27" t="str">
        <f>"－"</f>
        <v>－</v>
      </c>
      <c r="W633" s="3" t="s">
        <v>215</v>
      </c>
      <c r="X633" s="27" t="str">
        <f>"－"</f>
        <v>－</v>
      </c>
      <c r="Y633" s="27"/>
      <c r="Z633" s="25" t="str">
        <f>"－"</f>
        <v>－</v>
      </c>
      <c r="AA633" s="25" t="str">
        <f>"－"</f>
        <v>－</v>
      </c>
      <c r="AB633" s="2" t="s">
        <v>215</v>
      </c>
      <c r="AC633" s="26" t="str">
        <f>"－"</f>
        <v>－</v>
      </c>
      <c r="AD633" s="3" t="s">
        <v>215</v>
      </c>
      <c r="AE633" s="27" t="str">
        <f>"－"</f>
        <v>－</v>
      </c>
    </row>
    <row r="634">
      <c r="A634" s="20" t="s">
        <v>1321</v>
      </c>
      <c r="B634" s="21" t="s">
        <v>1322</v>
      </c>
      <c r="C634" s="22"/>
      <c r="D634" s="23"/>
      <c r="E634" s="24" t="s">
        <v>365</v>
      </c>
      <c r="F634" s="28" t="n">
        <f>120</f>
        <v>120.0</v>
      </c>
      <c r="G634" s="25" t="str">
        <f>"－"</f>
        <v>－</v>
      </c>
      <c r="H634" s="25"/>
      <c r="I634" s="25" t="str">
        <f>"－"</f>
        <v>－</v>
      </c>
      <c r="J634" s="25" t="str">
        <f>"－"</f>
        <v>－</v>
      </c>
      <c r="K634" s="25" t="str">
        <f>"－"</f>
        <v>－</v>
      </c>
      <c r="L634" s="2" t="s">
        <v>156</v>
      </c>
      <c r="M634" s="26" t="str">
        <f>"－"</f>
        <v>－</v>
      </c>
      <c r="N634" s="3" t="s">
        <v>156</v>
      </c>
      <c r="O634" s="27" t="str">
        <f>"－"</f>
        <v>－</v>
      </c>
      <c r="P634" s="29" t="s">
        <v>262</v>
      </c>
      <c r="Q634" s="25"/>
      <c r="R634" s="29" t="s">
        <v>262</v>
      </c>
      <c r="S634" s="25" t="str">
        <f>"－"</f>
        <v>－</v>
      </c>
      <c r="T634" s="25" t="str">
        <f>"－"</f>
        <v>－</v>
      </c>
      <c r="U634" s="3" t="s">
        <v>156</v>
      </c>
      <c r="V634" s="27" t="str">
        <f>"－"</f>
        <v>－</v>
      </c>
      <c r="W634" s="3" t="s">
        <v>156</v>
      </c>
      <c r="X634" s="27" t="str">
        <f>"－"</f>
        <v>－</v>
      </c>
      <c r="Y634" s="27"/>
      <c r="Z634" s="25" t="str">
        <f>"－"</f>
        <v>－</v>
      </c>
      <c r="AA634" s="25" t="str">
        <f>"－"</f>
        <v>－</v>
      </c>
      <c r="AB634" s="2" t="s">
        <v>156</v>
      </c>
      <c r="AC634" s="26" t="str">
        <f>"－"</f>
        <v>－</v>
      </c>
      <c r="AD634" s="3" t="s">
        <v>156</v>
      </c>
      <c r="AE634" s="27" t="str">
        <f>"－"</f>
        <v>－</v>
      </c>
    </row>
    <row r="635">
      <c r="A635" s="20" t="s">
        <v>1321</v>
      </c>
      <c r="B635" s="21" t="s">
        <v>1322</v>
      </c>
      <c r="C635" s="22"/>
      <c r="D635" s="23"/>
      <c r="E635" s="24" t="s">
        <v>370</v>
      </c>
      <c r="F635" s="28" t="n">
        <f>52</f>
        <v>52.0</v>
      </c>
      <c r="G635" s="25" t="str">
        <f>"－"</f>
        <v>－</v>
      </c>
      <c r="H635" s="25"/>
      <c r="I635" s="25" t="str">
        <f>"－"</f>
        <v>－</v>
      </c>
      <c r="J635" s="25" t="str">
        <f>"－"</f>
        <v>－</v>
      </c>
      <c r="K635" s="25" t="str">
        <f>"－"</f>
        <v>－</v>
      </c>
      <c r="L635" s="2" t="s">
        <v>68</v>
      </c>
      <c r="M635" s="26" t="str">
        <f>"－"</f>
        <v>－</v>
      </c>
      <c r="N635" s="3" t="s">
        <v>68</v>
      </c>
      <c r="O635" s="27" t="str">
        <f>"－"</f>
        <v>－</v>
      </c>
      <c r="P635" s="29" t="s">
        <v>262</v>
      </c>
      <c r="Q635" s="25"/>
      <c r="R635" s="29" t="s">
        <v>262</v>
      </c>
      <c r="S635" s="25" t="str">
        <f>"－"</f>
        <v>－</v>
      </c>
      <c r="T635" s="25" t="str">
        <f>"－"</f>
        <v>－</v>
      </c>
      <c r="U635" s="3" t="s">
        <v>68</v>
      </c>
      <c r="V635" s="27" t="str">
        <f>"－"</f>
        <v>－</v>
      </c>
      <c r="W635" s="3" t="s">
        <v>68</v>
      </c>
      <c r="X635" s="27" t="str">
        <f>"－"</f>
        <v>－</v>
      </c>
      <c r="Y635" s="27"/>
      <c r="Z635" s="25" t="str">
        <f>"－"</f>
        <v>－</v>
      </c>
      <c r="AA635" s="25" t="str">
        <f>"－"</f>
        <v>－</v>
      </c>
      <c r="AB635" s="2" t="s">
        <v>68</v>
      </c>
      <c r="AC635" s="26" t="str">
        <f>"－"</f>
        <v>－</v>
      </c>
      <c r="AD635" s="3" t="s">
        <v>68</v>
      </c>
      <c r="AE635" s="27" t="str">
        <f>"－"</f>
        <v>－</v>
      </c>
    </row>
    <row r="636">
      <c r="A636" s="20" t="s">
        <v>1321</v>
      </c>
      <c r="B636" s="21" t="s">
        <v>1322</v>
      </c>
      <c r="C636" s="22"/>
      <c r="D636" s="23"/>
      <c r="E636" s="24" t="s">
        <v>454</v>
      </c>
      <c r="F636" s="28" t="n">
        <f>58</f>
        <v>58.0</v>
      </c>
      <c r="G636" s="25" t="n">
        <f>2940</f>
        <v>2940.0</v>
      </c>
      <c r="H636" s="25"/>
      <c r="I636" s="25" t="n">
        <f>608</f>
        <v>608.0</v>
      </c>
      <c r="J636" s="25" t="n">
        <f>51</f>
        <v>51.0</v>
      </c>
      <c r="K636" s="25" t="n">
        <f>10</f>
        <v>10.0</v>
      </c>
      <c r="L636" s="2" t="s">
        <v>323</v>
      </c>
      <c r="M636" s="26" t="n">
        <f>265</f>
        <v>265.0</v>
      </c>
      <c r="N636" s="3" t="s">
        <v>513</v>
      </c>
      <c r="O636" s="27" t="n">
        <f>1</f>
        <v>1.0</v>
      </c>
      <c r="P636" s="29" t="s">
        <v>1345</v>
      </c>
      <c r="Q636" s="25"/>
      <c r="R636" s="29" t="s">
        <v>1346</v>
      </c>
      <c r="S636" s="25" t="n">
        <f>10110024483</f>
        <v>1.0110024483E10</v>
      </c>
      <c r="T636" s="25" t="n">
        <f>2091407241</f>
        <v>2.091407241E9</v>
      </c>
      <c r="U636" s="3" t="s">
        <v>323</v>
      </c>
      <c r="V636" s="27" t="n">
        <f>52645650000</f>
        <v>5.264565E10</v>
      </c>
      <c r="W636" s="3" t="s">
        <v>513</v>
      </c>
      <c r="X636" s="27" t="n">
        <f>199650000</f>
        <v>1.9965E8</v>
      </c>
      <c r="Y636" s="27"/>
      <c r="Z636" s="25" t="n">
        <f>415</f>
        <v>415.0</v>
      </c>
      <c r="AA636" s="25" t="n">
        <f>141</f>
        <v>141.0</v>
      </c>
      <c r="AB636" s="2" t="s">
        <v>205</v>
      </c>
      <c r="AC636" s="26" t="n">
        <f>549</f>
        <v>549.0</v>
      </c>
      <c r="AD636" s="3" t="s">
        <v>528</v>
      </c>
      <c r="AE636" s="27" t="n">
        <f>83</f>
        <v>83.0</v>
      </c>
    </row>
    <row r="637">
      <c r="A637" s="20" t="s">
        <v>1321</v>
      </c>
      <c r="B637" s="21" t="s">
        <v>1322</v>
      </c>
      <c r="C637" s="22"/>
      <c r="D637" s="23"/>
      <c r="E637" s="24" t="s">
        <v>48</v>
      </c>
      <c r="F637" s="28" t="n">
        <f>124</f>
        <v>124.0</v>
      </c>
      <c r="G637" s="25" t="n">
        <f>2101</f>
        <v>2101.0</v>
      </c>
      <c r="H637" s="25"/>
      <c r="I637" s="25" t="n">
        <f>932</f>
        <v>932.0</v>
      </c>
      <c r="J637" s="25" t="n">
        <f>17</f>
        <v>17.0</v>
      </c>
      <c r="K637" s="25" t="n">
        <f>8</f>
        <v>8.0</v>
      </c>
      <c r="L637" s="2" t="s">
        <v>362</v>
      </c>
      <c r="M637" s="26" t="n">
        <f>209</f>
        <v>209.0</v>
      </c>
      <c r="N637" s="3" t="s">
        <v>879</v>
      </c>
      <c r="O637" s="27" t="str">
        <f>"－"</f>
        <v>－</v>
      </c>
      <c r="P637" s="29" t="s">
        <v>1347</v>
      </c>
      <c r="Q637" s="25"/>
      <c r="R637" s="29" t="s">
        <v>1348</v>
      </c>
      <c r="S637" s="25" t="n">
        <f>3439489032</f>
        <v>3.439489032E9</v>
      </c>
      <c r="T637" s="25" t="n">
        <f>1519820968</f>
        <v>1.519820968E9</v>
      </c>
      <c r="U637" s="3" t="s">
        <v>362</v>
      </c>
      <c r="V637" s="27" t="n">
        <f>41982050000</f>
        <v>4.198205E10</v>
      </c>
      <c r="W637" s="3" t="s">
        <v>879</v>
      </c>
      <c r="X637" s="27" t="str">
        <f>"－"</f>
        <v>－</v>
      </c>
      <c r="Y637" s="27"/>
      <c r="Z637" s="25" t="n">
        <f>702</f>
        <v>702.0</v>
      </c>
      <c r="AA637" s="25" t="n">
        <f>104</f>
        <v>104.0</v>
      </c>
      <c r="AB637" s="2" t="s">
        <v>1259</v>
      </c>
      <c r="AC637" s="26" t="n">
        <f>466</f>
        <v>466.0</v>
      </c>
      <c r="AD637" s="3" t="s">
        <v>128</v>
      </c>
      <c r="AE637" s="27" t="n">
        <f>22</f>
        <v>22.0</v>
      </c>
    </row>
    <row r="638">
      <c r="A638" s="20" t="s">
        <v>1321</v>
      </c>
      <c r="B638" s="21" t="s">
        <v>1322</v>
      </c>
      <c r="C638" s="22"/>
      <c r="D638" s="23"/>
      <c r="E638" s="24" t="s">
        <v>55</v>
      </c>
      <c r="F638" s="28" t="n">
        <f>121</f>
        <v>121.0</v>
      </c>
      <c r="G638" s="25" t="n">
        <f>612</f>
        <v>612.0</v>
      </c>
      <c r="H638" s="25"/>
      <c r="I638" s="25" t="n">
        <f>41</f>
        <v>41.0</v>
      </c>
      <c r="J638" s="25" t="n">
        <f>5</f>
        <v>5.0</v>
      </c>
      <c r="K638" s="25" t="n">
        <f>0</f>
        <v>0.0</v>
      </c>
      <c r="L638" s="2" t="s">
        <v>180</v>
      </c>
      <c r="M638" s="26" t="n">
        <f>115</f>
        <v>115.0</v>
      </c>
      <c r="N638" s="3" t="s">
        <v>171</v>
      </c>
      <c r="O638" s="27" t="str">
        <f>"－"</f>
        <v>－</v>
      </c>
      <c r="P638" s="29" t="s">
        <v>1349</v>
      </c>
      <c r="Q638" s="25"/>
      <c r="R638" s="29" t="s">
        <v>1350</v>
      </c>
      <c r="S638" s="25" t="n">
        <f>1074340083</f>
        <v>1.074340083E9</v>
      </c>
      <c r="T638" s="25" t="n">
        <f>72019421</f>
        <v>7.2019421E7</v>
      </c>
      <c r="U638" s="3" t="s">
        <v>180</v>
      </c>
      <c r="V638" s="27" t="n">
        <f>23965500000</f>
        <v>2.39655E10</v>
      </c>
      <c r="W638" s="3" t="s">
        <v>171</v>
      </c>
      <c r="X638" s="27" t="str">
        <f>"－"</f>
        <v>－</v>
      </c>
      <c r="Y638" s="27"/>
      <c r="Z638" s="25" t="str">
        <f>"－"</f>
        <v>－</v>
      </c>
      <c r="AA638" s="25" t="str">
        <f>"－"</f>
        <v>－</v>
      </c>
      <c r="AB638" s="2" t="s">
        <v>1091</v>
      </c>
      <c r="AC638" s="26" t="n">
        <f>162</f>
        <v>162.0</v>
      </c>
      <c r="AD638" s="3" t="s">
        <v>462</v>
      </c>
      <c r="AE638" s="27" t="str">
        <f>"－"</f>
        <v>－</v>
      </c>
    </row>
    <row r="639">
      <c r="A639" s="20" t="s">
        <v>1321</v>
      </c>
      <c r="B639" s="21" t="s">
        <v>1322</v>
      </c>
      <c r="C639" s="22"/>
      <c r="D639" s="23"/>
      <c r="E639" s="24" t="s">
        <v>62</v>
      </c>
      <c r="F639" s="28" t="n">
        <f>123</f>
        <v>123.0</v>
      </c>
      <c r="G639" s="25" t="n">
        <f>2366</f>
        <v>2366.0</v>
      </c>
      <c r="H639" s="25"/>
      <c r="I639" s="25" t="n">
        <f>423</f>
        <v>423.0</v>
      </c>
      <c r="J639" s="25" t="n">
        <f>19</f>
        <v>19.0</v>
      </c>
      <c r="K639" s="25" t="n">
        <f>3</f>
        <v>3.0</v>
      </c>
      <c r="L639" s="2" t="s">
        <v>332</v>
      </c>
      <c r="M639" s="26" t="n">
        <f>147</f>
        <v>147.0</v>
      </c>
      <c r="N639" s="3" t="s">
        <v>68</v>
      </c>
      <c r="O639" s="27" t="str">
        <f>"－"</f>
        <v>－</v>
      </c>
      <c r="P639" s="29" t="s">
        <v>1351</v>
      </c>
      <c r="Q639" s="25"/>
      <c r="R639" s="29" t="s">
        <v>1352</v>
      </c>
      <c r="S639" s="25" t="n">
        <f>2629301789</f>
        <v>2.629301789E9</v>
      </c>
      <c r="T639" s="25" t="n">
        <f>471946992</f>
        <v>4.71946992E8</v>
      </c>
      <c r="U639" s="3" t="s">
        <v>332</v>
      </c>
      <c r="V639" s="27" t="n">
        <f>19863080000</f>
        <v>1.986308E10</v>
      </c>
      <c r="W639" s="3" t="s">
        <v>68</v>
      </c>
      <c r="X639" s="27" t="str">
        <f>"－"</f>
        <v>－</v>
      </c>
      <c r="Y639" s="27"/>
      <c r="Z639" s="25" t="n">
        <f>207</f>
        <v>207.0</v>
      </c>
      <c r="AA639" s="25" t="n">
        <f>127</f>
        <v>127.0</v>
      </c>
      <c r="AB639" s="2" t="s">
        <v>49</v>
      </c>
      <c r="AC639" s="26" t="n">
        <f>247</f>
        <v>247.0</v>
      </c>
      <c r="AD639" s="3" t="s">
        <v>68</v>
      </c>
      <c r="AE639" s="27" t="str">
        <f>"－"</f>
        <v>－</v>
      </c>
    </row>
    <row r="640">
      <c r="A640" s="20" t="s">
        <v>1321</v>
      </c>
      <c r="B640" s="21" t="s">
        <v>1322</v>
      </c>
      <c r="C640" s="22"/>
      <c r="D640" s="23"/>
      <c r="E640" s="24" t="s">
        <v>69</v>
      </c>
      <c r="F640" s="28" t="n">
        <f>122</f>
        <v>122.0</v>
      </c>
      <c r="G640" s="25" t="n">
        <f>704</f>
        <v>704.0</v>
      </c>
      <c r="H640" s="25"/>
      <c r="I640" s="25" t="n">
        <f>295</f>
        <v>295.0</v>
      </c>
      <c r="J640" s="25" t="n">
        <f>6</f>
        <v>6.0</v>
      </c>
      <c r="K640" s="25" t="n">
        <f>2</f>
        <v>2.0</v>
      </c>
      <c r="L640" s="2" t="s">
        <v>134</v>
      </c>
      <c r="M640" s="26" t="n">
        <f>153</f>
        <v>153.0</v>
      </c>
      <c r="N640" s="3" t="s">
        <v>419</v>
      </c>
      <c r="O640" s="27" t="str">
        <f>"－"</f>
        <v>－</v>
      </c>
      <c r="P640" s="29" t="s">
        <v>1353</v>
      </c>
      <c r="Q640" s="25"/>
      <c r="R640" s="29" t="s">
        <v>1354</v>
      </c>
      <c r="S640" s="25" t="n">
        <f>874348033</f>
        <v>8.74348033E8</v>
      </c>
      <c r="T640" s="25" t="n">
        <f>371993770</f>
        <v>3.7199377E8</v>
      </c>
      <c r="U640" s="3" t="s">
        <v>134</v>
      </c>
      <c r="V640" s="27" t="n">
        <f>23278310000</f>
        <v>2.327831E10</v>
      </c>
      <c r="W640" s="3" t="s">
        <v>419</v>
      </c>
      <c r="X640" s="27" t="str">
        <f>"－"</f>
        <v>－</v>
      </c>
      <c r="Y640" s="27"/>
      <c r="Z640" s="25" t="n">
        <f>271</f>
        <v>271.0</v>
      </c>
      <c r="AA640" s="25" t="n">
        <f>42</f>
        <v>42.0</v>
      </c>
      <c r="AB640" s="2" t="s">
        <v>75</v>
      </c>
      <c r="AC640" s="26" t="n">
        <f>168</f>
        <v>168.0</v>
      </c>
      <c r="AD640" s="3" t="s">
        <v>414</v>
      </c>
      <c r="AE640" s="27" t="n">
        <f>40</f>
        <v>40.0</v>
      </c>
    </row>
    <row r="641">
      <c r="A641" s="20" t="s">
        <v>1321</v>
      </c>
      <c r="B641" s="21" t="s">
        <v>1322</v>
      </c>
      <c r="C641" s="22"/>
      <c r="D641" s="23"/>
      <c r="E641" s="24" t="s">
        <v>76</v>
      </c>
      <c r="F641" s="28" t="n">
        <f>123</f>
        <v>123.0</v>
      </c>
      <c r="G641" s="25" t="n">
        <f>139</f>
        <v>139.0</v>
      </c>
      <c r="H641" s="25"/>
      <c r="I641" s="25" t="str">
        <f>"－"</f>
        <v>－</v>
      </c>
      <c r="J641" s="25" t="n">
        <f>1</f>
        <v>1.0</v>
      </c>
      <c r="K641" s="25" t="str">
        <f>"－"</f>
        <v>－</v>
      </c>
      <c r="L641" s="2" t="s">
        <v>125</v>
      </c>
      <c r="M641" s="26" t="n">
        <f>17</f>
        <v>17.0</v>
      </c>
      <c r="N641" s="3" t="s">
        <v>68</v>
      </c>
      <c r="O641" s="27" t="str">
        <f>"－"</f>
        <v>－</v>
      </c>
      <c r="P641" s="29" t="s">
        <v>1355</v>
      </c>
      <c r="Q641" s="25"/>
      <c r="R641" s="29" t="s">
        <v>262</v>
      </c>
      <c r="S641" s="25" t="n">
        <f>180352683</f>
        <v>1.80352683E8</v>
      </c>
      <c r="T641" s="25" t="str">
        <f>"－"</f>
        <v>－</v>
      </c>
      <c r="U641" s="3" t="s">
        <v>125</v>
      </c>
      <c r="V641" s="27" t="n">
        <f>2706680000</f>
        <v>2.70668E9</v>
      </c>
      <c r="W641" s="3" t="s">
        <v>68</v>
      </c>
      <c r="X641" s="27" t="str">
        <f>"－"</f>
        <v>－</v>
      </c>
      <c r="Y641" s="27"/>
      <c r="Z641" s="25" t="n">
        <f>7</f>
        <v>7.0</v>
      </c>
      <c r="AA641" s="25" t="n">
        <f>19</f>
        <v>19.0</v>
      </c>
      <c r="AB641" s="2" t="s">
        <v>473</v>
      </c>
      <c r="AC641" s="26" t="n">
        <f>55</f>
        <v>55.0</v>
      </c>
      <c r="AD641" s="3" t="s">
        <v>976</v>
      </c>
      <c r="AE641" s="27" t="n">
        <f>2</f>
        <v>2.0</v>
      </c>
    </row>
    <row r="642">
      <c r="A642" s="20" t="s">
        <v>1321</v>
      </c>
      <c r="B642" s="21" t="s">
        <v>1322</v>
      </c>
      <c r="C642" s="22"/>
      <c r="D642" s="23"/>
      <c r="E642" s="24" t="s">
        <v>83</v>
      </c>
      <c r="F642" s="28" t="n">
        <f>123</f>
        <v>123.0</v>
      </c>
      <c r="G642" s="25" t="n">
        <f>190</f>
        <v>190.0</v>
      </c>
      <c r="H642" s="25"/>
      <c r="I642" s="25" t="str">
        <f>"－"</f>
        <v>－</v>
      </c>
      <c r="J642" s="25" t="n">
        <f>2</f>
        <v>2.0</v>
      </c>
      <c r="K642" s="25" t="str">
        <f>"－"</f>
        <v>－</v>
      </c>
      <c r="L642" s="2" t="s">
        <v>242</v>
      </c>
      <c r="M642" s="26" t="n">
        <f>36</f>
        <v>36.0</v>
      </c>
      <c r="N642" s="3" t="s">
        <v>156</v>
      </c>
      <c r="O642" s="27" t="str">
        <f>"－"</f>
        <v>－</v>
      </c>
      <c r="P642" s="29" t="s">
        <v>1356</v>
      </c>
      <c r="Q642" s="25"/>
      <c r="R642" s="29" t="s">
        <v>262</v>
      </c>
      <c r="S642" s="25" t="n">
        <f>237659350</f>
        <v>2.3765935E8</v>
      </c>
      <c r="T642" s="25" t="str">
        <f>"－"</f>
        <v>－</v>
      </c>
      <c r="U642" s="3" t="s">
        <v>242</v>
      </c>
      <c r="V642" s="27" t="n">
        <f>5511000000</f>
        <v>5.511E9</v>
      </c>
      <c r="W642" s="3" t="s">
        <v>156</v>
      </c>
      <c r="X642" s="27" t="str">
        <f>"－"</f>
        <v>－</v>
      </c>
      <c r="Y642" s="27"/>
      <c r="Z642" s="25" t="n">
        <f>4</f>
        <v>4.0</v>
      </c>
      <c r="AA642" s="25" t="n">
        <f>8</f>
        <v>8.0</v>
      </c>
      <c r="AB642" s="2" t="s">
        <v>773</v>
      </c>
      <c r="AC642" s="26" t="n">
        <f>41</f>
        <v>41.0</v>
      </c>
      <c r="AD642" s="3" t="s">
        <v>57</v>
      </c>
      <c r="AE642" s="27" t="n">
        <f>6</f>
        <v>6.0</v>
      </c>
    </row>
    <row r="643">
      <c r="A643" s="20" t="s">
        <v>1321</v>
      </c>
      <c r="B643" s="21" t="s">
        <v>1322</v>
      </c>
      <c r="C643" s="22"/>
      <c r="D643" s="23"/>
      <c r="E643" s="24" t="s">
        <v>89</v>
      </c>
      <c r="F643" s="28" t="n">
        <f>124</f>
        <v>124.0</v>
      </c>
      <c r="G643" s="25" t="n">
        <f>113</f>
        <v>113.0</v>
      </c>
      <c r="H643" s="25"/>
      <c r="I643" s="25" t="str">
        <f>"－"</f>
        <v>－</v>
      </c>
      <c r="J643" s="25" t="n">
        <f>1</f>
        <v>1.0</v>
      </c>
      <c r="K643" s="25" t="str">
        <f>"－"</f>
        <v>－</v>
      </c>
      <c r="L643" s="2" t="s">
        <v>947</v>
      </c>
      <c r="M643" s="26" t="n">
        <f>12</f>
        <v>12.0</v>
      </c>
      <c r="N643" s="3" t="s">
        <v>254</v>
      </c>
      <c r="O643" s="27" t="str">
        <f>"－"</f>
        <v>－</v>
      </c>
      <c r="P643" s="29" t="s">
        <v>1357</v>
      </c>
      <c r="Q643" s="25"/>
      <c r="R643" s="29" t="s">
        <v>262</v>
      </c>
      <c r="S643" s="25" t="n">
        <f>140832339</f>
        <v>1.40832339E8</v>
      </c>
      <c r="T643" s="25" t="str">
        <f>"－"</f>
        <v>－</v>
      </c>
      <c r="U643" s="3" t="s">
        <v>90</v>
      </c>
      <c r="V643" s="27" t="n">
        <f>1868600000</f>
        <v>1.8686E9</v>
      </c>
      <c r="W643" s="3" t="s">
        <v>254</v>
      </c>
      <c r="X643" s="27" t="str">
        <f>"－"</f>
        <v>－</v>
      </c>
      <c r="Y643" s="27"/>
      <c r="Z643" s="25" t="n">
        <f>4</f>
        <v>4.0</v>
      </c>
      <c r="AA643" s="25" t="n">
        <f>1</f>
        <v>1.0</v>
      </c>
      <c r="AB643" s="2" t="s">
        <v>846</v>
      </c>
      <c r="AC643" s="26" t="n">
        <f>13</f>
        <v>13.0</v>
      </c>
      <c r="AD643" s="3" t="s">
        <v>947</v>
      </c>
      <c r="AE643" s="27" t="n">
        <f>1</f>
        <v>1.0</v>
      </c>
    </row>
    <row r="644">
      <c r="A644" s="20" t="s">
        <v>1321</v>
      </c>
      <c r="B644" s="21" t="s">
        <v>1322</v>
      </c>
      <c r="C644" s="22"/>
      <c r="D644" s="23"/>
      <c r="E644" s="24" t="s">
        <v>96</v>
      </c>
      <c r="F644" s="28" t="n">
        <f>121</f>
        <v>121.0</v>
      </c>
      <c r="G644" s="25" t="n">
        <f>91</f>
        <v>91.0</v>
      </c>
      <c r="H644" s="25"/>
      <c r="I644" s="25" t="str">
        <f>"－"</f>
        <v>－</v>
      </c>
      <c r="J644" s="25" t="n">
        <f>1</f>
        <v>1.0</v>
      </c>
      <c r="K644" s="25" t="str">
        <f>"－"</f>
        <v>－</v>
      </c>
      <c r="L644" s="2" t="s">
        <v>189</v>
      </c>
      <c r="M644" s="26" t="n">
        <f>13</f>
        <v>13.0</v>
      </c>
      <c r="N644" s="3" t="s">
        <v>156</v>
      </c>
      <c r="O644" s="27" t="str">
        <f>"－"</f>
        <v>－</v>
      </c>
      <c r="P644" s="29" t="s">
        <v>1358</v>
      </c>
      <c r="Q644" s="25"/>
      <c r="R644" s="29" t="s">
        <v>262</v>
      </c>
      <c r="S644" s="25" t="n">
        <f>117336446</f>
        <v>1.17336446E8</v>
      </c>
      <c r="T644" s="25" t="str">
        <f>"－"</f>
        <v>－</v>
      </c>
      <c r="U644" s="3" t="s">
        <v>189</v>
      </c>
      <c r="V644" s="27" t="n">
        <f>2032190000</f>
        <v>2.03219E9</v>
      </c>
      <c r="W644" s="3" t="s">
        <v>156</v>
      </c>
      <c r="X644" s="27" t="str">
        <f>"－"</f>
        <v>－</v>
      </c>
      <c r="Y644" s="27"/>
      <c r="Z644" s="25" t="n">
        <f>1</f>
        <v>1.0</v>
      </c>
      <c r="AA644" s="25" t="n">
        <f>6</f>
        <v>6.0</v>
      </c>
      <c r="AB644" s="2" t="s">
        <v>249</v>
      </c>
      <c r="AC644" s="26" t="n">
        <f>7</f>
        <v>7.0</v>
      </c>
      <c r="AD644" s="3" t="s">
        <v>932</v>
      </c>
      <c r="AE644" s="27" t="str">
        <f>"－"</f>
        <v>－</v>
      </c>
    </row>
    <row r="645">
      <c r="A645" s="20" t="s">
        <v>1321</v>
      </c>
      <c r="B645" s="21" t="s">
        <v>1322</v>
      </c>
      <c r="C645" s="22"/>
      <c r="D645" s="23"/>
      <c r="E645" s="24" t="s">
        <v>102</v>
      </c>
      <c r="F645" s="28" t="n">
        <f>124</f>
        <v>124.0</v>
      </c>
      <c r="G645" s="25" t="n">
        <f>61</f>
        <v>61.0</v>
      </c>
      <c r="H645" s="25"/>
      <c r="I645" s="25" t="str">
        <f>"－"</f>
        <v>－</v>
      </c>
      <c r="J645" s="25" t="n">
        <f>0</f>
        <v>0.0</v>
      </c>
      <c r="K645" s="25" t="str">
        <f>"－"</f>
        <v>－</v>
      </c>
      <c r="L645" s="2" t="s">
        <v>295</v>
      </c>
      <c r="M645" s="26" t="n">
        <f>12</f>
        <v>12.0</v>
      </c>
      <c r="N645" s="3" t="s">
        <v>215</v>
      </c>
      <c r="O645" s="27" t="str">
        <f>"－"</f>
        <v>－</v>
      </c>
      <c r="P645" s="29" t="s">
        <v>1359</v>
      </c>
      <c r="Q645" s="25"/>
      <c r="R645" s="29" t="s">
        <v>262</v>
      </c>
      <c r="S645" s="25" t="n">
        <f>76119113</f>
        <v>7.6119113E7</v>
      </c>
      <c r="T645" s="25" t="str">
        <f>"－"</f>
        <v>－</v>
      </c>
      <c r="U645" s="3" t="s">
        <v>295</v>
      </c>
      <c r="V645" s="27" t="n">
        <f>1849320000</f>
        <v>1.84932E9</v>
      </c>
      <c r="W645" s="3" t="s">
        <v>215</v>
      </c>
      <c r="X645" s="27" t="str">
        <f>"－"</f>
        <v>－</v>
      </c>
      <c r="Y645" s="27"/>
      <c r="Z645" s="25" t="str">
        <f>"－"</f>
        <v>－</v>
      </c>
      <c r="AA645" s="25" t="n">
        <f>3</f>
        <v>3.0</v>
      </c>
      <c r="AB645" s="2" t="s">
        <v>295</v>
      </c>
      <c r="AC645" s="26" t="n">
        <f>11</f>
        <v>11.0</v>
      </c>
      <c r="AD645" s="3" t="s">
        <v>633</v>
      </c>
      <c r="AE645" s="27" t="str">
        <f>"－"</f>
        <v>－</v>
      </c>
    </row>
    <row r="646">
      <c r="A646" s="20" t="s">
        <v>1321</v>
      </c>
      <c r="B646" s="21" t="s">
        <v>1322</v>
      </c>
      <c r="C646" s="22"/>
      <c r="D646" s="23"/>
      <c r="E646" s="24" t="s">
        <v>107</v>
      </c>
      <c r="F646" s="28" t="n">
        <f>117</f>
        <v>117.0</v>
      </c>
      <c r="G646" s="25" t="n">
        <f>39</f>
        <v>39.0</v>
      </c>
      <c r="H646" s="25"/>
      <c r="I646" s="25" t="str">
        <f>"－"</f>
        <v>－</v>
      </c>
      <c r="J646" s="25" t="n">
        <f>0</f>
        <v>0.0</v>
      </c>
      <c r="K646" s="25" t="str">
        <f>"－"</f>
        <v>－</v>
      </c>
      <c r="L646" s="2" t="s">
        <v>60</v>
      </c>
      <c r="M646" s="26" t="n">
        <f>6</f>
        <v>6.0</v>
      </c>
      <c r="N646" s="3" t="s">
        <v>156</v>
      </c>
      <c r="O646" s="27" t="str">
        <f>"－"</f>
        <v>－</v>
      </c>
      <c r="P646" s="29" t="s">
        <v>1360</v>
      </c>
      <c r="Q646" s="25"/>
      <c r="R646" s="29" t="s">
        <v>262</v>
      </c>
      <c r="S646" s="25" t="n">
        <f>53156923</f>
        <v>5.3156923E7</v>
      </c>
      <c r="T646" s="25" t="str">
        <f>"－"</f>
        <v>－</v>
      </c>
      <c r="U646" s="3" t="s">
        <v>767</v>
      </c>
      <c r="V646" s="27" t="n">
        <f>956820000</f>
        <v>9.5682E8</v>
      </c>
      <c r="W646" s="3" t="s">
        <v>156</v>
      </c>
      <c r="X646" s="27" t="str">
        <f>"－"</f>
        <v>－</v>
      </c>
      <c r="Y646" s="27"/>
      <c r="Z646" s="25" t="str">
        <f>"－"</f>
        <v>－</v>
      </c>
      <c r="AA646" s="25" t="str">
        <f>"－"</f>
        <v>－</v>
      </c>
      <c r="AB646" s="2" t="s">
        <v>1283</v>
      </c>
      <c r="AC646" s="26" t="n">
        <f>6</f>
        <v>6.0</v>
      </c>
      <c r="AD646" s="3" t="s">
        <v>482</v>
      </c>
      <c r="AE646" s="27" t="str">
        <f>"－"</f>
        <v>－</v>
      </c>
    </row>
    <row r="647">
      <c r="A647" s="20" t="s">
        <v>1321</v>
      </c>
      <c r="B647" s="21" t="s">
        <v>1322</v>
      </c>
      <c r="C647" s="22"/>
      <c r="D647" s="23"/>
      <c r="E647" s="24" t="s">
        <v>113</v>
      </c>
      <c r="F647" s="28" t="n">
        <f>124</f>
        <v>124.0</v>
      </c>
      <c r="G647" s="25" t="str">
        <f>"－"</f>
        <v>－</v>
      </c>
      <c r="H647" s="25"/>
      <c r="I647" s="25" t="str">
        <f>"－"</f>
        <v>－</v>
      </c>
      <c r="J647" s="25" t="str">
        <f>"－"</f>
        <v>－</v>
      </c>
      <c r="K647" s="25" t="str">
        <f>"－"</f>
        <v>－</v>
      </c>
      <c r="L647" s="2" t="s">
        <v>68</v>
      </c>
      <c r="M647" s="26" t="str">
        <f>"－"</f>
        <v>－</v>
      </c>
      <c r="N647" s="3" t="s">
        <v>68</v>
      </c>
      <c r="O647" s="27" t="str">
        <f>"－"</f>
        <v>－</v>
      </c>
      <c r="P647" s="29" t="s">
        <v>262</v>
      </c>
      <c r="Q647" s="25"/>
      <c r="R647" s="29" t="s">
        <v>262</v>
      </c>
      <c r="S647" s="25" t="str">
        <f>"－"</f>
        <v>－</v>
      </c>
      <c r="T647" s="25" t="str">
        <f>"－"</f>
        <v>－</v>
      </c>
      <c r="U647" s="3" t="s">
        <v>68</v>
      </c>
      <c r="V647" s="27" t="str">
        <f>"－"</f>
        <v>－</v>
      </c>
      <c r="W647" s="3" t="s">
        <v>68</v>
      </c>
      <c r="X647" s="27" t="str">
        <f>"－"</f>
        <v>－</v>
      </c>
      <c r="Y647" s="27"/>
      <c r="Z647" s="25" t="str">
        <f>"－"</f>
        <v>－</v>
      </c>
      <c r="AA647" s="25" t="str">
        <f>"－"</f>
        <v>－</v>
      </c>
      <c r="AB647" s="2" t="s">
        <v>68</v>
      </c>
      <c r="AC647" s="26" t="str">
        <f>"－"</f>
        <v>－</v>
      </c>
      <c r="AD647" s="3" t="s">
        <v>68</v>
      </c>
      <c r="AE647" s="27" t="str">
        <f>"－"</f>
        <v>－</v>
      </c>
    </row>
    <row r="648">
      <c r="A648" s="20" t="s">
        <v>1321</v>
      </c>
      <c r="B648" s="21" t="s">
        <v>1322</v>
      </c>
      <c r="C648" s="22"/>
      <c r="D648" s="23"/>
      <c r="E648" s="24" t="s">
        <v>119</v>
      </c>
      <c r="F648" s="28" t="n">
        <f>119</f>
        <v>119.0</v>
      </c>
      <c r="G648" s="25" t="str">
        <f>"－"</f>
        <v>－</v>
      </c>
      <c r="H648" s="25"/>
      <c r="I648" s="25" t="str">
        <f>"－"</f>
        <v>－</v>
      </c>
      <c r="J648" s="25" t="str">
        <f>"－"</f>
        <v>－</v>
      </c>
      <c r="K648" s="25" t="str">
        <f>"－"</f>
        <v>－</v>
      </c>
      <c r="L648" s="2" t="s">
        <v>328</v>
      </c>
      <c r="M648" s="26" t="str">
        <f>"－"</f>
        <v>－</v>
      </c>
      <c r="N648" s="3" t="s">
        <v>328</v>
      </c>
      <c r="O648" s="27" t="str">
        <f>"－"</f>
        <v>－</v>
      </c>
      <c r="P648" s="29" t="s">
        <v>262</v>
      </c>
      <c r="Q648" s="25"/>
      <c r="R648" s="29" t="s">
        <v>262</v>
      </c>
      <c r="S648" s="25" t="str">
        <f>"－"</f>
        <v>－</v>
      </c>
      <c r="T648" s="25" t="str">
        <f>"－"</f>
        <v>－</v>
      </c>
      <c r="U648" s="3" t="s">
        <v>328</v>
      </c>
      <c r="V648" s="27" t="str">
        <f>"－"</f>
        <v>－</v>
      </c>
      <c r="W648" s="3" t="s">
        <v>328</v>
      </c>
      <c r="X648" s="27" t="str">
        <f>"－"</f>
        <v>－</v>
      </c>
      <c r="Y648" s="27"/>
      <c r="Z648" s="25" t="str">
        <f>"－"</f>
        <v>－</v>
      </c>
      <c r="AA648" s="25" t="str">
        <f>"－"</f>
        <v>－</v>
      </c>
      <c r="AB648" s="2" t="s">
        <v>328</v>
      </c>
      <c r="AC648" s="26" t="str">
        <f>"－"</f>
        <v>－</v>
      </c>
      <c r="AD648" s="3" t="s">
        <v>328</v>
      </c>
      <c r="AE648" s="27" t="str">
        <f>"－"</f>
        <v>－</v>
      </c>
    </row>
    <row r="649">
      <c r="A649" s="20" t="s">
        <v>1321</v>
      </c>
      <c r="B649" s="21" t="s">
        <v>1322</v>
      </c>
      <c r="C649" s="22"/>
      <c r="D649" s="23"/>
      <c r="E649" s="24" t="s">
        <v>124</v>
      </c>
      <c r="F649" s="28" t="n">
        <f>124</f>
        <v>124.0</v>
      </c>
      <c r="G649" s="25" t="str">
        <f>"－"</f>
        <v>－</v>
      </c>
      <c r="H649" s="25"/>
      <c r="I649" s="25" t="str">
        <f>"－"</f>
        <v>－</v>
      </c>
      <c r="J649" s="25" t="str">
        <f>"－"</f>
        <v>－</v>
      </c>
      <c r="K649" s="25" t="str">
        <f>"－"</f>
        <v>－</v>
      </c>
      <c r="L649" s="2" t="s">
        <v>68</v>
      </c>
      <c r="M649" s="26" t="str">
        <f>"－"</f>
        <v>－</v>
      </c>
      <c r="N649" s="3" t="s">
        <v>68</v>
      </c>
      <c r="O649" s="27" t="str">
        <f>"－"</f>
        <v>－</v>
      </c>
      <c r="P649" s="29" t="s">
        <v>262</v>
      </c>
      <c r="Q649" s="25"/>
      <c r="R649" s="29" t="s">
        <v>262</v>
      </c>
      <c r="S649" s="25" t="str">
        <f>"－"</f>
        <v>－</v>
      </c>
      <c r="T649" s="25" t="str">
        <f>"－"</f>
        <v>－</v>
      </c>
      <c r="U649" s="3" t="s">
        <v>68</v>
      </c>
      <c r="V649" s="27" t="str">
        <f>"－"</f>
        <v>－</v>
      </c>
      <c r="W649" s="3" t="s">
        <v>68</v>
      </c>
      <c r="X649" s="27" t="str">
        <f>"－"</f>
        <v>－</v>
      </c>
      <c r="Y649" s="27"/>
      <c r="Z649" s="25" t="str">
        <f>"－"</f>
        <v>－</v>
      </c>
      <c r="AA649" s="25" t="str">
        <f>"－"</f>
        <v>－</v>
      </c>
      <c r="AB649" s="2" t="s">
        <v>68</v>
      </c>
      <c r="AC649" s="26" t="str">
        <f>"－"</f>
        <v>－</v>
      </c>
      <c r="AD649" s="3" t="s">
        <v>68</v>
      </c>
      <c r="AE649" s="27" t="str">
        <f>"－"</f>
        <v>－</v>
      </c>
    </row>
    <row r="650">
      <c r="A650" s="20" t="s">
        <v>1321</v>
      </c>
      <c r="B650" s="21" t="s">
        <v>1322</v>
      </c>
      <c r="C650" s="22"/>
      <c r="D650" s="23"/>
      <c r="E650" s="24" t="s">
        <v>130</v>
      </c>
      <c r="F650" s="28" t="n">
        <f>121</f>
        <v>121.0</v>
      </c>
      <c r="G650" s="25" t="str">
        <f>"－"</f>
        <v>－</v>
      </c>
      <c r="H650" s="25"/>
      <c r="I650" s="25" t="str">
        <f>"－"</f>
        <v>－</v>
      </c>
      <c r="J650" s="25" t="str">
        <f>"－"</f>
        <v>－</v>
      </c>
      <c r="K650" s="25" t="str">
        <f>"－"</f>
        <v>－</v>
      </c>
      <c r="L650" s="2" t="s">
        <v>156</v>
      </c>
      <c r="M650" s="26" t="str">
        <f>"－"</f>
        <v>－</v>
      </c>
      <c r="N650" s="3" t="s">
        <v>156</v>
      </c>
      <c r="O650" s="27" t="str">
        <f>"－"</f>
        <v>－</v>
      </c>
      <c r="P650" s="29" t="s">
        <v>262</v>
      </c>
      <c r="Q650" s="25"/>
      <c r="R650" s="29" t="s">
        <v>262</v>
      </c>
      <c r="S650" s="25" t="str">
        <f>"－"</f>
        <v>－</v>
      </c>
      <c r="T650" s="25" t="str">
        <f>"－"</f>
        <v>－</v>
      </c>
      <c r="U650" s="3" t="s">
        <v>156</v>
      </c>
      <c r="V650" s="27" t="str">
        <f>"－"</f>
        <v>－</v>
      </c>
      <c r="W650" s="3" t="s">
        <v>156</v>
      </c>
      <c r="X650" s="27" t="str">
        <f>"－"</f>
        <v>－</v>
      </c>
      <c r="Y650" s="27"/>
      <c r="Z650" s="25" t="str">
        <f>"－"</f>
        <v>－</v>
      </c>
      <c r="AA650" s="25" t="str">
        <f>"－"</f>
        <v>－</v>
      </c>
      <c r="AB650" s="2" t="s">
        <v>156</v>
      </c>
      <c r="AC650" s="26" t="str">
        <f>"－"</f>
        <v>－</v>
      </c>
      <c r="AD650" s="3" t="s">
        <v>156</v>
      </c>
      <c r="AE650" s="27" t="str">
        <f>"－"</f>
        <v>－</v>
      </c>
    </row>
    <row r="651">
      <c r="A651" s="20" t="s">
        <v>1321</v>
      </c>
      <c r="B651" s="21" t="s">
        <v>1322</v>
      </c>
      <c r="C651" s="22"/>
      <c r="D651" s="23"/>
      <c r="E651" s="24" t="s">
        <v>136</v>
      </c>
      <c r="F651" s="28" t="n">
        <f>124</f>
        <v>124.0</v>
      </c>
      <c r="G651" s="25" t="str">
        <f>"－"</f>
        <v>－</v>
      </c>
      <c r="H651" s="25"/>
      <c r="I651" s="25" t="str">
        <f>"－"</f>
        <v>－</v>
      </c>
      <c r="J651" s="25" t="str">
        <f>"－"</f>
        <v>－</v>
      </c>
      <c r="K651" s="25" t="str">
        <f>"－"</f>
        <v>－</v>
      </c>
      <c r="L651" s="2" t="s">
        <v>68</v>
      </c>
      <c r="M651" s="26" t="str">
        <f>"－"</f>
        <v>－</v>
      </c>
      <c r="N651" s="3" t="s">
        <v>68</v>
      </c>
      <c r="O651" s="27" t="str">
        <f>"－"</f>
        <v>－</v>
      </c>
      <c r="P651" s="29" t="s">
        <v>262</v>
      </c>
      <c r="Q651" s="25"/>
      <c r="R651" s="29" t="s">
        <v>262</v>
      </c>
      <c r="S651" s="25" t="str">
        <f>"－"</f>
        <v>－</v>
      </c>
      <c r="T651" s="25" t="str">
        <f>"－"</f>
        <v>－</v>
      </c>
      <c r="U651" s="3" t="s">
        <v>68</v>
      </c>
      <c r="V651" s="27" t="str">
        <f>"－"</f>
        <v>－</v>
      </c>
      <c r="W651" s="3" t="s">
        <v>68</v>
      </c>
      <c r="X651" s="27" t="str">
        <f>"－"</f>
        <v>－</v>
      </c>
      <c r="Y651" s="27"/>
      <c r="Z651" s="25" t="str">
        <f>"－"</f>
        <v>－</v>
      </c>
      <c r="AA651" s="25" t="str">
        <f>"－"</f>
        <v>－</v>
      </c>
      <c r="AB651" s="2" t="s">
        <v>68</v>
      </c>
      <c r="AC651" s="26" t="str">
        <f>"－"</f>
        <v>－</v>
      </c>
      <c r="AD651" s="3" t="s">
        <v>68</v>
      </c>
      <c r="AE651" s="27" t="str">
        <f>"－"</f>
        <v>－</v>
      </c>
    </row>
    <row r="652">
      <c r="A652" s="20" t="s">
        <v>1321</v>
      </c>
      <c r="B652" s="21" t="s">
        <v>1322</v>
      </c>
      <c r="C652" s="22"/>
      <c r="D652" s="23"/>
      <c r="E652" s="24" t="s">
        <v>142</v>
      </c>
      <c r="F652" s="28" t="n">
        <f>120</f>
        <v>120.0</v>
      </c>
      <c r="G652" s="25" t="n">
        <f>72</f>
        <v>72.0</v>
      </c>
      <c r="H652" s="25"/>
      <c r="I652" s="25" t="n">
        <f>3</f>
        <v>3.0</v>
      </c>
      <c r="J652" s="25" t="n">
        <f>1</f>
        <v>1.0</v>
      </c>
      <c r="K652" s="25" t="n">
        <f>0</f>
        <v>0.0</v>
      </c>
      <c r="L652" s="2" t="s">
        <v>1168</v>
      </c>
      <c r="M652" s="26" t="n">
        <f>13</f>
        <v>13.0</v>
      </c>
      <c r="N652" s="3" t="s">
        <v>156</v>
      </c>
      <c r="O652" s="27" t="str">
        <f>"－"</f>
        <v>－</v>
      </c>
      <c r="P652" s="29" t="s">
        <v>1361</v>
      </c>
      <c r="Q652" s="25"/>
      <c r="R652" s="29" t="s">
        <v>1362</v>
      </c>
      <c r="S652" s="25" t="n">
        <f>9019767</f>
        <v>9019767.0</v>
      </c>
      <c r="T652" s="25" t="n">
        <f>374000</f>
        <v>374000.0</v>
      </c>
      <c r="U652" s="3" t="s">
        <v>1168</v>
      </c>
      <c r="V652" s="27" t="n">
        <f>195128000</f>
        <v>1.95128E8</v>
      </c>
      <c r="W652" s="3" t="s">
        <v>156</v>
      </c>
      <c r="X652" s="27" t="str">
        <f>"－"</f>
        <v>－</v>
      </c>
      <c r="Y652" s="27"/>
      <c r="Z652" s="25" t="n">
        <f>6</f>
        <v>6.0</v>
      </c>
      <c r="AA652" s="25" t="str">
        <f>"－"</f>
        <v>－</v>
      </c>
      <c r="AB652" s="2" t="s">
        <v>1363</v>
      </c>
      <c r="AC652" s="26" t="n">
        <f>15</f>
        <v>15.0</v>
      </c>
      <c r="AD652" s="3" t="s">
        <v>156</v>
      </c>
      <c r="AE652" s="27" t="str">
        <f>"－"</f>
        <v>－</v>
      </c>
    </row>
    <row r="653">
      <c r="A653" s="20" t="s">
        <v>1321</v>
      </c>
      <c r="B653" s="21" t="s">
        <v>1322</v>
      </c>
      <c r="C653" s="22"/>
      <c r="D653" s="23"/>
      <c r="E653" s="24" t="s">
        <v>148</v>
      </c>
      <c r="F653" s="28" t="n">
        <f>124</f>
        <v>124.0</v>
      </c>
      <c r="G653" s="25" t="str">
        <f>"－"</f>
        <v>－</v>
      </c>
      <c r="H653" s="25"/>
      <c r="I653" s="25" t="str">
        <f>"－"</f>
        <v>－</v>
      </c>
      <c r="J653" s="25" t="str">
        <f>"－"</f>
        <v>－</v>
      </c>
      <c r="K653" s="25" t="str">
        <f>"－"</f>
        <v>－</v>
      </c>
      <c r="L653" s="2" t="s">
        <v>68</v>
      </c>
      <c r="M653" s="26" t="str">
        <f>"－"</f>
        <v>－</v>
      </c>
      <c r="N653" s="3" t="s">
        <v>68</v>
      </c>
      <c r="O653" s="27" t="str">
        <f>"－"</f>
        <v>－</v>
      </c>
      <c r="P653" s="29" t="s">
        <v>262</v>
      </c>
      <c r="Q653" s="25"/>
      <c r="R653" s="29" t="s">
        <v>262</v>
      </c>
      <c r="S653" s="25" t="str">
        <f>"－"</f>
        <v>－</v>
      </c>
      <c r="T653" s="25" t="str">
        <f>"－"</f>
        <v>－</v>
      </c>
      <c r="U653" s="3" t="s">
        <v>68</v>
      </c>
      <c r="V653" s="27" t="str">
        <f>"－"</f>
        <v>－</v>
      </c>
      <c r="W653" s="3" t="s">
        <v>68</v>
      </c>
      <c r="X653" s="27" t="str">
        <f>"－"</f>
        <v>－</v>
      </c>
      <c r="Y653" s="27"/>
      <c r="Z653" s="25" t="str">
        <f>"－"</f>
        <v>－</v>
      </c>
      <c r="AA653" s="25" t="str">
        <f>"－"</f>
        <v>－</v>
      </c>
      <c r="AB653" s="2" t="s">
        <v>68</v>
      </c>
      <c r="AC653" s="26" t="str">
        <f>"－"</f>
        <v>－</v>
      </c>
      <c r="AD653" s="3" t="s">
        <v>68</v>
      </c>
      <c r="AE653" s="27" t="str">
        <f>"－"</f>
        <v>－</v>
      </c>
    </row>
    <row r="654">
      <c r="A654" s="20" t="s">
        <v>1321</v>
      </c>
      <c r="B654" s="21" t="s">
        <v>1322</v>
      </c>
      <c r="C654" s="22"/>
      <c r="D654" s="23"/>
      <c r="E654" s="24" t="s">
        <v>151</v>
      </c>
      <c r="F654" s="28" t="n">
        <f>122</f>
        <v>122.0</v>
      </c>
      <c r="G654" s="25" t="str">
        <f>"－"</f>
        <v>－</v>
      </c>
      <c r="H654" s="25"/>
      <c r="I654" s="25" t="str">
        <f>"－"</f>
        <v>－</v>
      </c>
      <c r="J654" s="25" t="str">
        <f>"－"</f>
        <v>－</v>
      </c>
      <c r="K654" s="25" t="str">
        <f>"－"</f>
        <v>－</v>
      </c>
      <c r="L654" s="2" t="s">
        <v>156</v>
      </c>
      <c r="M654" s="26" t="str">
        <f>"－"</f>
        <v>－</v>
      </c>
      <c r="N654" s="3" t="s">
        <v>156</v>
      </c>
      <c r="O654" s="27" t="str">
        <f>"－"</f>
        <v>－</v>
      </c>
      <c r="P654" s="29" t="s">
        <v>262</v>
      </c>
      <c r="Q654" s="25"/>
      <c r="R654" s="29" t="s">
        <v>262</v>
      </c>
      <c r="S654" s="25" t="str">
        <f>"－"</f>
        <v>－</v>
      </c>
      <c r="T654" s="25" t="str">
        <f>"－"</f>
        <v>－</v>
      </c>
      <c r="U654" s="3" t="s">
        <v>156</v>
      </c>
      <c r="V654" s="27" t="str">
        <f>"－"</f>
        <v>－</v>
      </c>
      <c r="W654" s="3" t="s">
        <v>156</v>
      </c>
      <c r="X654" s="27" t="str">
        <f>"－"</f>
        <v>－</v>
      </c>
      <c r="Y654" s="27"/>
      <c r="Z654" s="25" t="str">
        <f>"－"</f>
        <v>－</v>
      </c>
      <c r="AA654" s="25" t="str">
        <f>"－"</f>
        <v>－</v>
      </c>
      <c r="AB654" s="2" t="s">
        <v>156</v>
      </c>
      <c r="AC654" s="26" t="str">
        <f>"－"</f>
        <v>－</v>
      </c>
      <c r="AD654" s="3" t="s">
        <v>156</v>
      </c>
      <c r="AE654" s="27" t="str">
        <f>"－"</f>
        <v>－</v>
      </c>
    </row>
    <row r="655">
      <c r="A655" s="20" t="s">
        <v>1321</v>
      </c>
      <c r="B655" s="21" t="s">
        <v>1322</v>
      </c>
      <c r="C655" s="22"/>
      <c r="D655" s="23"/>
      <c r="E655" s="24" t="s">
        <v>157</v>
      </c>
      <c r="F655" s="28" t="n">
        <f>124</f>
        <v>124.0</v>
      </c>
      <c r="G655" s="25" t="str">
        <f>"－"</f>
        <v>－</v>
      </c>
      <c r="H655" s="25"/>
      <c r="I655" s="25" t="str">
        <f>"－"</f>
        <v>－</v>
      </c>
      <c r="J655" s="25" t="str">
        <f>"－"</f>
        <v>－</v>
      </c>
      <c r="K655" s="25" t="str">
        <f>"－"</f>
        <v>－</v>
      </c>
      <c r="L655" s="2" t="s">
        <v>633</v>
      </c>
      <c r="M655" s="26" t="str">
        <f>"－"</f>
        <v>－</v>
      </c>
      <c r="N655" s="3" t="s">
        <v>633</v>
      </c>
      <c r="O655" s="27" t="str">
        <f>"－"</f>
        <v>－</v>
      </c>
      <c r="P655" s="29" t="s">
        <v>262</v>
      </c>
      <c r="Q655" s="25"/>
      <c r="R655" s="29" t="s">
        <v>262</v>
      </c>
      <c r="S655" s="25" t="str">
        <f>"－"</f>
        <v>－</v>
      </c>
      <c r="T655" s="25" t="str">
        <f>"－"</f>
        <v>－</v>
      </c>
      <c r="U655" s="3" t="s">
        <v>633</v>
      </c>
      <c r="V655" s="27" t="str">
        <f>"－"</f>
        <v>－</v>
      </c>
      <c r="W655" s="3" t="s">
        <v>633</v>
      </c>
      <c r="X655" s="27" t="str">
        <f>"－"</f>
        <v>－</v>
      </c>
      <c r="Y655" s="27"/>
      <c r="Z655" s="25" t="str">
        <f>"－"</f>
        <v>－</v>
      </c>
      <c r="AA655" s="25" t="str">
        <f>"－"</f>
        <v>－</v>
      </c>
      <c r="AB655" s="2" t="s">
        <v>633</v>
      </c>
      <c r="AC655" s="26" t="str">
        <f>"－"</f>
        <v>－</v>
      </c>
      <c r="AD655" s="3" t="s">
        <v>633</v>
      </c>
      <c r="AE655" s="27" t="str">
        <f>"－"</f>
        <v>－</v>
      </c>
    </row>
    <row r="656">
      <c r="A656" s="20" t="s">
        <v>1321</v>
      </c>
      <c r="B656" s="21" t="s">
        <v>1322</v>
      </c>
      <c r="C656" s="22"/>
      <c r="D656" s="23"/>
      <c r="E656" s="24" t="s">
        <v>160</v>
      </c>
      <c r="F656" s="28" t="n">
        <f>58</f>
        <v>58.0</v>
      </c>
      <c r="G656" s="25" t="str">
        <f>"－"</f>
        <v>－</v>
      </c>
      <c r="H656" s="25"/>
      <c r="I656" s="25" t="str">
        <f>"－"</f>
        <v>－</v>
      </c>
      <c r="J656" s="25" t="str">
        <f>"－"</f>
        <v>－</v>
      </c>
      <c r="K656" s="25" t="str">
        <f>"－"</f>
        <v>－</v>
      </c>
      <c r="L656" s="2" t="s">
        <v>156</v>
      </c>
      <c r="M656" s="26" t="str">
        <f>"－"</f>
        <v>－</v>
      </c>
      <c r="N656" s="3" t="s">
        <v>156</v>
      </c>
      <c r="O656" s="27" t="str">
        <f>"－"</f>
        <v>－</v>
      </c>
      <c r="P656" s="29" t="s">
        <v>262</v>
      </c>
      <c r="Q656" s="25"/>
      <c r="R656" s="29" t="s">
        <v>262</v>
      </c>
      <c r="S656" s="25" t="str">
        <f>"－"</f>
        <v>－</v>
      </c>
      <c r="T656" s="25" t="str">
        <f>"－"</f>
        <v>－</v>
      </c>
      <c r="U656" s="3" t="s">
        <v>156</v>
      </c>
      <c r="V656" s="27" t="str">
        <f>"－"</f>
        <v>－</v>
      </c>
      <c r="W656" s="3" t="s">
        <v>156</v>
      </c>
      <c r="X656" s="27" t="str">
        <f>"－"</f>
        <v>－</v>
      </c>
      <c r="Y656" s="27"/>
      <c r="Z656" s="25" t="str">
        <f>"－"</f>
        <v>－</v>
      </c>
      <c r="AA656" s="25" t="str">
        <f>"－"</f>
        <v>－</v>
      </c>
      <c r="AB656" s="2" t="s">
        <v>156</v>
      </c>
      <c r="AC656" s="26" t="str">
        <f>"－"</f>
        <v>－</v>
      </c>
      <c r="AD656" s="3" t="s">
        <v>156</v>
      </c>
      <c r="AE656" s="27" t="str">
        <f>"－"</f>
        <v>－</v>
      </c>
    </row>
    <row r="657">
      <c r="A657" s="20" t="s">
        <v>1364</v>
      </c>
      <c r="B657" s="21" t="s">
        <v>1365</v>
      </c>
      <c r="C657" s="22"/>
      <c r="D657" s="23"/>
      <c r="E657" s="24" t="s">
        <v>151</v>
      </c>
      <c r="F657" s="28" t="n">
        <f>25</f>
        <v>25.0</v>
      </c>
      <c r="G657" s="25" t="n">
        <f>41055</f>
        <v>41055.0</v>
      </c>
      <c r="H657" s="25"/>
      <c r="I657" s="25" t="str">
        <f>"－"</f>
        <v>－</v>
      </c>
      <c r="J657" s="25" t="n">
        <f>1642</f>
        <v>1642.0</v>
      </c>
      <c r="K657" s="25" t="str">
        <f>"－"</f>
        <v>－</v>
      </c>
      <c r="L657" s="2" t="s">
        <v>754</v>
      </c>
      <c r="M657" s="26" t="n">
        <f>4351</f>
        <v>4351.0</v>
      </c>
      <c r="N657" s="3" t="s">
        <v>251</v>
      </c>
      <c r="O657" s="27" t="n">
        <f>137</f>
        <v>137.0</v>
      </c>
      <c r="P657" s="29" t="s">
        <v>1366</v>
      </c>
      <c r="Q657" s="25"/>
      <c r="R657" s="29" t="s">
        <v>262</v>
      </c>
      <c r="S657" s="25" t="n">
        <f>41058482095</f>
        <v>4.1058482095E10</v>
      </c>
      <c r="T657" s="25" t="str">
        <f>"－"</f>
        <v>－</v>
      </c>
      <c r="U657" s="3" t="s">
        <v>754</v>
      </c>
      <c r="V657" s="27" t="n">
        <f>108791749375</f>
        <v>1.08791749375E11</v>
      </c>
      <c r="W657" s="3" t="s">
        <v>251</v>
      </c>
      <c r="X657" s="27" t="n">
        <f>3424276875</f>
        <v>3.424276875E9</v>
      </c>
      <c r="Y657" s="27"/>
      <c r="Z657" s="25" t="n">
        <f>5266</f>
        <v>5266.0</v>
      </c>
      <c r="AA657" s="25" t="n">
        <f>11038</f>
        <v>11038.0</v>
      </c>
      <c r="AB657" s="2" t="s">
        <v>251</v>
      </c>
      <c r="AC657" s="26" t="n">
        <f>11038</f>
        <v>11038.0</v>
      </c>
      <c r="AD657" s="3" t="s">
        <v>249</v>
      </c>
      <c r="AE657" s="27" t="n">
        <f>2694</f>
        <v>2694.0</v>
      </c>
    </row>
    <row r="658">
      <c r="A658" s="20" t="s">
        <v>1364</v>
      </c>
      <c r="B658" s="21" t="s">
        <v>1365</v>
      </c>
      <c r="C658" s="22"/>
      <c r="D658" s="23"/>
      <c r="E658" s="24" t="s">
        <v>157</v>
      </c>
      <c r="F658" s="28" t="n">
        <f>124</f>
        <v>124.0</v>
      </c>
      <c r="G658" s="25" t="n">
        <f>169252</f>
        <v>169252.0</v>
      </c>
      <c r="H658" s="25"/>
      <c r="I658" s="25" t="n">
        <f>2260</f>
        <v>2260.0</v>
      </c>
      <c r="J658" s="25" t="n">
        <f>1365</f>
        <v>1365.0</v>
      </c>
      <c r="K658" s="25" t="n">
        <f>18</f>
        <v>18.0</v>
      </c>
      <c r="L658" s="2" t="s">
        <v>82</v>
      </c>
      <c r="M658" s="26" t="n">
        <f>7558</f>
        <v>7558.0</v>
      </c>
      <c r="N658" s="3" t="s">
        <v>114</v>
      </c>
      <c r="O658" s="27" t="str">
        <f>"－"</f>
        <v>－</v>
      </c>
      <c r="P658" s="29" t="s">
        <v>1367</v>
      </c>
      <c r="Q658" s="25"/>
      <c r="R658" s="29" t="s">
        <v>1368</v>
      </c>
      <c r="S658" s="25" t="n">
        <f>34110735736</f>
        <v>3.4110735736E10</v>
      </c>
      <c r="T658" s="25" t="n">
        <f>455076939</f>
        <v>4.55076939E8</v>
      </c>
      <c r="U658" s="3" t="s">
        <v>82</v>
      </c>
      <c r="V658" s="27" t="n">
        <f>188928931250</f>
        <v>1.8892893125E11</v>
      </c>
      <c r="W658" s="3" t="s">
        <v>114</v>
      </c>
      <c r="X658" s="27" t="str">
        <f>"－"</f>
        <v>－</v>
      </c>
      <c r="Y658" s="27"/>
      <c r="Z658" s="25" t="n">
        <f>14399</f>
        <v>14399.0</v>
      </c>
      <c r="AA658" s="25" t="n">
        <f>15167</f>
        <v>15167.0</v>
      </c>
      <c r="AB658" s="2" t="s">
        <v>975</v>
      </c>
      <c r="AC658" s="26" t="n">
        <f>20414</f>
        <v>20414.0</v>
      </c>
      <c r="AD658" s="3" t="s">
        <v>1100</v>
      </c>
      <c r="AE658" s="27" t="n">
        <f>8159</f>
        <v>8159.0</v>
      </c>
    </row>
    <row r="659">
      <c r="A659" s="20" t="s">
        <v>1364</v>
      </c>
      <c r="B659" s="21" t="s">
        <v>1365</v>
      </c>
      <c r="C659" s="22"/>
      <c r="D659" s="23"/>
      <c r="E659" s="24" t="s">
        <v>160</v>
      </c>
      <c r="F659" s="28" t="n">
        <f>58</f>
        <v>58.0</v>
      </c>
      <c r="G659" s="25" t="n">
        <f>440817</f>
        <v>440817.0</v>
      </c>
      <c r="H659" s="25"/>
      <c r="I659" s="25" t="n">
        <f>2</f>
        <v>2.0</v>
      </c>
      <c r="J659" s="25" t="n">
        <f>7600</f>
        <v>7600.0</v>
      </c>
      <c r="K659" s="25" t="n">
        <f>0</f>
        <v>0.0</v>
      </c>
      <c r="L659" s="2" t="s">
        <v>97</v>
      </c>
      <c r="M659" s="26" t="n">
        <f>18461</f>
        <v>18461.0</v>
      </c>
      <c r="N659" s="3" t="s">
        <v>508</v>
      </c>
      <c r="O659" s="27" t="n">
        <f>1145</f>
        <v>1145.0</v>
      </c>
      <c r="P659" s="29" t="s">
        <v>1369</v>
      </c>
      <c r="Q659" s="25"/>
      <c r="R659" s="29" t="s">
        <v>1370</v>
      </c>
      <c r="S659" s="25" t="n">
        <f>189737746262</f>
        <v>1.89737746262E11</v>
      </c>
      <c r="T659" s="25" t="n">
        <f>861897</f>
        <v>861897.0</v>
      </c>
      <c r="U659" s="3" t="s">
        <v>97</v>
      </c>
      <c r="V659" s="27" t="n">
        <f>460767715350</f>
        <v>4.6076771535E11</v>
      </c>
      <c r="W659" s="3" t="s">
        <v>508</v>
      </c>
      <c r="X659" s="27" t="n">
        <f>28535343750</f>
        <v>2.853534375E10</v>
      </c>
      <c r="Y659" s="27"/>
      <c r="Z659" s="25" t="n">
        <f>4716</f>
        <v>4716.0</v>
      </c>
      <c r="AA659" s="25" t="n">
        <f>18500</f>
        <v>18500.0</v>
      </c>
      <c r="AB659" s="2" t="s">
        <v>378</v>
      </c>
      <c r="AC659" s="26" t="n">
        <f>26382</f>
        <v>26382.0</v>
      </c>
      <c r="AD659" s="3" t="s">
        <v>147</v>
      </c>
      <c r="AE659" s="27" t="n">
        <f>15231</f>
        <v>15231.0</v>
      </c>
    </row>
    <row r="660">
      <c r="A660" s="20" t="s">
        <v>1371</v>
      </c>
      <c r="B660" s="21" t="s">
        <v>1372</v>
      </c>
      <c r="C660" s="22"/>
      <c r="D660" s="23"/>
      <c r="E660" s="24" t="s">
        <v>124</v>
      </c>
      <c r="F660" s="28" t="n">
        <f>108</f>
        <v>108.0</v>
      </c>
      <c r="G660" s="25" t="n">
        <f>3588090</f>
        <v>3588090.0</v>
      </c>
      <c r="H660" s="25"/>
      <c r="I660" s="25" t="n">
        <f>2707</f>
        <v>2707.0</v>
      </c>
      <c r="J660" s="25" t="n">
        <f>33223</f>
        <v>33223.0</v>
      </c>
      <c r="K660" s="25" t="n">
        <f>25</f>
        <v>25.0</v>
      </c>
      <c r="L660" s="2" t="s">
        <v>945</v>
      </c>
      <c r="M660" s="26" t="n">
        <f>134115</f>
        <v>134115.0</v>
      </c>
      <c r="N660" s="3" t="s">
        <v>114</v>
      </c>
      <c r="O660" s="27" t="n">
        <f>9162</f>
        <v>9162.0</v>
      </c>
      <c r="P660" s="29" t="s">
        <v>1373</v>
      </c>
      <c r="Q660" s="25"/>
      <c r="R660" s="29" t="s">
        <v>1374</v>
      </c>
      <c r="S660" s="25" t="n">
        <f>215276283120</f>
        <v>2.1527628312E11</v>
      </c>
      <c r="T660" s="25" t="n">
        <f>160301722</f>
        <v>1.60301722E8</v>
      </c>
      <c r="U660" s="3" t="s">
        <v>945</v>
      </c>
      <c r="V660" s="27" t="n">
        <f>887417994000</f>
        <v>8.87417994E11</v>
      </c>
      <c r="W660" s="3" t="s">
        <v>114</v>
      </c>
      <c r="X660" s="27" t="n">
        <f>57443408000</f>
        <v>5.7443408E10</v>
      </c>
      <c r="Y660" s="27"/>
      <c r="Z660" s="25" t="n">
        <f>924</f>
        <v>924.0</v>
      </c>
      <c r="AA660" s="25" t="n">
        <f>53501</f>
        <v>53501.0</v>
      </c>
      <c r="AB660" s="2" t="s">
        <v>581</v>
      </c>
      <c r="AC660" s="26" t="n">
        <f>59942</f>
        <v>59942.0</v>
      </c>
      <c r="AD660" s="3" t="s">
        <v>296</v>
      </c>
      <c r="AE660" s="27" t="n">
        <f>43437</f>
        <v>43437.0</v>
      </c>
    </row>
    <row r="661">
      <c r="A661" s="20" t="s">
        <v>1371</v>
      </c>
      <c r="B661" s="21" t="s">
        <v>1372</v>
      </c>
      <c r="C661" s="22"/>
      <c r="D661" s="23"/>
      <c r="E661" s="24" t="s">
        <v>130</v>
      </c>
      <c r="F661" s="28" t="n">
        <f>121</f>
        <v>121.0</v>
      </c>
      <c r="G661" s="25" t="n">
        <f>3214187</f>
        <v>3214187.0</v>
      </c>
      <c r="H661" s="25"/>
      <c r="I661" s="25" t="n">
        <f>387</f>
        <v>387.0</v>
      </c>
      <c r="J661" s="25" t="n">
        <f>26564</f>
        <v>26564.0</v>
      </c>
      <c r="K661" s="25" t="n">
        <f>3</f>
        <v>3.0</v>
      </c>
      <c r="L661" s="2" t="s">
        <v>863</v>
      </c>
      <c r="M661" s="26" t="n">
        <f>68554</f>
        <v>68554.0</v>
      </c>
      <c r="N661" s="3" t="s">
        <v>493</v>
      </c>
      <c r="O661" s="27" t="n">
        <f>9713</f>
        <v>9713.0</v>
      </c>
      <c r="P661" s="29" t="s">
        <v>1375</v>
      </c>
      <c r="Q661" s="25"/>
      <c r="R661" s="29" t="s">
        <v>1376</v>
      </c>
      <c r="S661" s="25" t="n">
        <f>166172271298</f>
        <v>1.66172271298E11</v>
      </c>
      <c r="T661" s="25" t="n">
        <f>19826446</f>
        <v>1.9826446E7</v>
      </c>
      <c r="U661" s="3" t="s">
        <v>863</v>
      </c>
      <c r="V661" s="27" t="n">
        <f>428650217000</f>
        <v>4.28650217E11</v>
      </c>
      <c r="W661" s="3" t="s">
        <v>493</v>
      </c>
      <c r="X661" s="27" t="n">
        <f>59539170000</f>
        <v>5.953917E10</v>
      </c>
      <c r="Y661" s="27"/>
      <c r="Z661" s="25" t="n">
        <f>648</f>
        <v>648.0</v>
      </c>
      <c r="AA661" s="25" t="n">
        <f>48012</f>
        <v>48012.0</v>
      </c>
      <c r="AB661" s="2" t="s">
        <v>863</v>
      </c>
      <c r="AC661" s="26" t="n">
        <f>53433</f>
        <v>53433.0</v>
      </c>
      <c r="AD661" s="3" t="s">
        <v>462</v>
      </c>
      <c r="AE661" s="27" t="n">
        <f>42520</f>
        <v>42520.0</v>
      </c>
    </row>
    <row r="662">
      <c r="A662" s="20" t="s">
        <v>1371</v>
      </c>
      <c r="B662" s="21" t="s">
        <v>1372</v>
      </c>
      <c r="C662" s="22"/>
      <c r="D662" s="23"/>
      <c r="E662" s="24" t="s">
        <v>136</v>
      </c>
      <c r="F662" s="28" t="n">
        <f>124</f>
        <v>124.0</v>
      </c>
      <c r="G662" s="25" t="n">
        <f>2842757</f>
        <v>2842757.0</v>
      </c>
      <c r="H662" s="25"/>
      <c r="I662" s="25" t="n">
        <f>523</f>
        <v>523.0</v>
      </c>
      <c r="J662" s="25" t="n">
        <f>22925</f>
        <v>22925.0</v>
      </c>
      <c r="K662" s="25" t="n">
        <f>4</f>
        <v>4.0</v>
      </c>
      <c r="L662" s="2" t="s">
        <v>761</v>
      </c>
      <c r="M662" s="26" t="n">
        <f>59518</f>
        <v>59518.0</v>
      </c>
      <c r="N662" s="3" t="s">
        <v>968</v>
      </c>
      <c r="O662" s="27" t="n">
        <f>5466</f>
        <v>5466.0</v>
      </c>
      <c r="P662" s="29" t="s">
        <v>1377</v>
      </c>
      <c r="Q662" s="25"/>
      <c r="R662" s="29" t="s">
        <v>1378</v>
      </c>
      <c r="S662" s="25" t="n">
        <f>148038314613</f>
        <v>1.48038314613E11</v>
      </c>
      <c r="T662" s="25" t="n">
        <f>27304637</f>
        <v>2.7304637E7</v>
      </c>
      <c r="U662" s="3" t="s">
        <v>761</v>
      </c>
      <c r="V662" s="27" t="n">
        <f>401217491000</f>
        <v>4.01217491E11</v>
      </c>
      <c r="W662" s="3" t="s">
        <v>968</v>
      </c>
      <c r="X662" s="27" t="n">
        <f>33931210000</f>
        <v>3.393121E10</v>
      </c>
      <c r="Y662" s="27"/>
      <c r="Z662" s="25" t="n">
        <f>1005</f>
        <v>1005.0</v>
      </c>
      <c r="AA662" s="25" t="n">
        <f>45218</f>
        <v>45218.0</v>
      </c>
      <c r="AB662" s="2" t="s">
        <v>1379</v>
      </c>
      <c r="AC662" s="26" t="n">
        <f>53454</f>
        <v>53454.0</v>
      </c>
      <c r="AD662" s="3" t="s">
        <v>1331</v>
      </c>
      <c r="AE662" s="27" t="n">
        <f>39728</f>
        <v>39728.0</v>
      </c>
    </row>
    <row r="663">
      <c r="A663" s="20" t="s">
        <v>1371</v>
      </c>
      <c r="B663" s="21" t="s">
        <v>1372</v>
      </c>
      <c r="C663" s="22"/>
      <c r="D663" s="23"/>
      <c r="E663" s="24" t="s">
        <v>142</v>
      </c>
      <c r="F663" s="28" t="n">
        <f>120</f>
        <v>120.0</v>
      </c>
      <c r="G663" s="25" t="n">
        <f>4124726</f>
        <v>4124726.0</v>
      </c>
      <c r="H663" s="25"/>
      <c r="I663" s="25" t="n">
        <f>271</f>
        <v>271.0</v>
      </c>
      <c r="J663" s="25" t="n">
        <f>34373</f>
        <v>34373.0</v>
      </c>
      <c r="K663" s="25" t="n">
        <f>2</f>
        <v>2.0</v>
      </c>
      <c r="L663" s="2" t="s">
        <v>74</v>
      </c>
      <c r="M663" s="26" t="n">
        <f>132967</f>
        <v>132967.0</v>
      </c>
      <c r="N663" s="3" t="s">
        <v>932</v>
      </c>
      <c r="O663" s="27" t="n">
        <f>13154</f>
        <v>13154.0</v>
      </c>
      <c r="P663" s="29" t="s">
        <v>1380</v>
      </c>
      <c r="Q663" s="25"/>
      <c r="R663" s="29" t="s">
        <v>1381</v>
      </c>
      <c r="S663" s="25" t="n">
        <f>254996664867</f>
        <v>2.54996664867E11</v>
      </c>
      <c r="T663" s="25" t="n">
        <f>16903708</f>
        <v>1.6903708E7</v>
      </c>
      <c r="U663" s="3" t="s">
        <v>74</v>
      </c>
      <c r="V663" s="27" t="n">
        <f>1004823275000</f>
        <v>1.004823275E12</v>
      </c>
      <c r="W663" s="3" t="s">
        <v>873</v>
      </c>
      <c r="X663" s="27" t="n">
        <f>90738413000</f>
        <v>9.0738413E10</v>
      </c>
      <c r="Y663" s="27"/>
      <c r="Z663" s="25" t="n">
        <f>4</f>
        <v>4.0</v>
      </c>
      <c r="AA663" s="25" t="n">
        <f>40144</f>
        <v>40144.0</v>
      </c>
      <c r="AB663" s="2" t="s">
        <v>1032</v>
      </c>
      <c r="AC663" s="26" t="n">
        <f>47279</f>
        <v>47279.0</v>
      </c>
      <c r="AD663" s="3" t="s">
        <v>1016</v>
      </c>
      <c r="AE663" s="27" t="n">
        <f>36800</f>
        <v>36800.0</v>
      </c>
    </row>
    <row r="664">
      <c r="A664" s="20" t="s">
        <v>1371</v>
      </c>
      <c r="B664" s="21" t="s">
        <v>1372</v>
      </c>
      <c r="C664" s="22"/>
      <c r="D664" s="23"/>
      <c r="E664" s="24" t="s">
        <v>148</v>
      </c>
      <c r="F664" s="28" t="n">
        <f>124</f>
        <v>124.0</v>
      </c>
      <c r="G664" s="25" t="n">
        <f>3251946</f>
        <v>3251946.0</v>
      </c>
      <c r="H664" s="25"/>
      <c r="I664" s="25" t="n">
        <f>265</f>
        <v>265.0</v>
      </c>
      <c r="J664" s="25" t="n">
        <f>26225</f>
        <v>26225.0</v>
      </c>
      <c r="K664" s="25" t="n">
        <f>2</f>
        <v>2.0</v>
      </c>
      <c r="L664" s="2" t="s">
        <v>252</v>
      </c>
      <c r="M664" s="26" t="n">
        <f>86372</f>
        <v>86372.0</v>
      </c>
      <c r="N664" s="3" t="s">
        <v>138</v>
      </c>
      <c r="O664" s="27" t="n">
        <f>10209</f>
        <v>10209.0</v>
      </c>
      <c r="P664" s="29" t="s">
        <v>1382</v>
      </c>
      <c r="Q664" s="25"/>
      <c r="R664" s="29" t="s">
        <v>1383</v>
      </c>
      <c r="S664" s="25" t="n">
        <f>203141174629</f>
        <v>2.03141174629E11</v>
      </c>
      <c r="T664" s="25" t="n">
        <f>16539847</f>
        <v>1.6539847E7</v>
      </c>
      <c r="U664" s="3" t="s">
        <v>252</v>
      </c>
      <c r="V664" s="27" t="n">
        <f>678364997000</f>
        <v>6.78364997E11</v>
      </c>
      <c r="W664" s="3" t="s">
        <v>138</v>
      </c>
      <c r="X664" s="27" t="n">
        <f>78623270000</f>
        <v>7.862327E10</v>
      </c>
      <c r="Y664" s="27"/>
      <c r="Z664" s="25" t="str">
        <f>"－"</f>
        <v>－</v>
      </c>
      <c r="AA664" s="25" t="n">
        <f>44397</f>
        <v>44397.0</v>
      </c>
      <c r="AB664" s="2" t="s">
        <v>64</v>
      </c>
      <c r="AC664" s="26" t="n">
        <f>51754</f>
        <v>51754.0</v>
      </c>
      <c r="AD664" s="3" t="s">
        <v>1331</v>
      </c>
      <c r="AE664" s="27" t="n">
        <f>34142</f>
        <v>34142.0</v>
      </c>
    </row>
    <row r="665">
      <c r="A665" s="20" t="s">
        <v>1371</v>
      </c>
      <c r="B665" s="21" t="s">
        <v>1372</v>
      </c>
      <c r="C665" s="22"/>
      <c r="D665" s="23"/>
      <c r="E665" s="24" t="s">
        <v>151</v>
      </c>
      <c r="F665" s="28" t="n">
        <f>122</f>
        <v>122.0</v>
      </c>
      <c r="G665" s="25" t="n">
        <f>3941668</f>
        <v>3941668.0</v>
      </c>
      <c r="H665" s="25"/>
      <c r="I665" s="25" t="n">
        <f>683</f>
        <v>683.0</v>
      </c>
      <c r="J665" s="25" t="n">
        <f>32309</f>
        <v>32309.0</v>
      </c>
      <c r="K665" s="25" t="n">
        <f>6</f>
        <v>6.0</v>
      </c>
      <c r="L665" s="2" t="s">
        <v>233</v>
      </c>
      <c r="M665" s="26" t="n">
        <f>101641</f>
        <v>101641.0</v>
      </c>
      <c r="N665" s="3" t="s">
        <v>153</v>
      </c>
      <c r="O665" s="27" t="n">
        <f>10317</f>
        <v>10317.0</v>
      </c>
      <c r="P665" s="29" t="s">
        <v>1384</v>
      </c>
      <c r="Q665" s="25"/>
      <c r="R665" s="29" t="s">
        <v>1385</v>
      </c>
      <c r="S665" s="25" t="n">
        <f>270418060574</f>
        <v>2.70418060574E11</v>
      </c>
      <c r="T665" s="25" t="n">
        <f>45512877</f>
        <v>4.5512877E7</v>
      </c>
      <c r="U665" s="3" t="s">
        <v>233</v>
      </c>
      <c r="V665" s="27" t="n">
        <f>892654798000</f>
        <v>8.92654798E11</v>
      </c>
      <c r="W665" s="3" t="s">
        <v>153</v>
      </c>
      <c r="X665" s="27" t="n">
        <f>87647988000</f>
        <v>8.7647988E10</v>
      </c>
      <c r="Y665" s="27"/>
      <c r="Z665" s="25" t="n">
        <f>4135</f>
        <v>4135.0</v>
      </c>
      <c r="AA665" s="25" t="n">
        <f>48030</f>
        <v>48030.0</v>
      </c>
      <c r="AB665" s="2" t="s">
        <v>236</v>
      </c>
      <c r="AC665" s="26" t="n">
        <f>57426</f>
        <v>57426.0</v>
      </c>
      <c r="AD665" s="3" t="s">
        <v>1132</v>
      </c>
      <c r="AE665" s="27" t="n">
        <f>34172</f>
        <v>34172.0</v>
      </c>
    </row>
    <row r="666">
      <c r="A666" s="20" t="s">
        <v>1371</v>
      </c>
      <c r="B666" s="21" t="s">
        <v>1372</v>
      </c>
      <c r="C666" s="22"/>
      <c r="D666" s="23"/>
      <c r="E666" s="24" t="s">
        <v>157</v>
      </c>
      <c r="F666" s="28" t="n">
        <f>124</f>
        <v>124.0</v>
      </c>
      <c r="G666" s="25" t="n">
        <f>3957270</f>
        <v>3957270.0</v>
      </c>
      <c r="H666" s="25"/>
      <c r="I666" s="25" t="n">
        <f>298</f>
        <v>298.0</v>
      </c>
      <c r="J666" s="25" t="n">
        <f>31913</f>
        <v>31913.0</v>
      </c>
      <c r="K666" s="25" t="n">
        <f>2</f>
        <v>2.0</v>
      </c>
      <c r="L666" s="2" t="s">
        <v>240</v>
      </c>
      <c r="M666" s="26" t="n">
        <f>93603</f>
        <v>93603.0</v>
      </c>
      <c r="N666" s="3" t="s">
        <v>225</v>
      </c>
      <c r="O666" s="27" t="n">
        <f>11914</f>
        <v>11914.0</v>
      </c>
      <c r="P666" s="29" t="s">
        <v>1386</v>
      </c>
      <c r="Q666" s="25"/>
      <c r="R666" s="29" t="s">
        <v>1387</v>
      </c>
      <c r="S666" s="25" t="n">
        <f>293836905661</f>
        <v>2.93836905661E11</v>
      </c>
      <c r="T666" s="25" t="n">
        <f>21922548</f>
        <v>2.1922548E7</v>
      </c>
      <c r="U666" s="3" t="s">
        <v>240</v>
      </c>
      <c r="V666" s="27" t="n">
        <f>821673265000</f>
        <v>8.21673265E11</v>
      </c>
      <c r="W666" s="3" t="s">
        <v>225</v>
      </c>
      <c r="X666" s="27" t="n">
        <f>106455130000</f>
        <v>1.0645513E11</v>
      </c>
      <c r="Y666" s="27"/>
      <c r="Z666" s="25" t="n">
        <f>11122</f>
        <v>11122.0</v>
      </c>
      <c r="AA666" s="25" t="n">
        <f>49911</f>
        <v>49911.0</v>
      </c>
      <c r="AB666" s="2" t="s">
        <v>278</v>
      </c>
      <c r="AC666" s="26" t="n">
        <f>57396</f>
        <v>57396.0</v>
      </c>
      <c r="AD666" s="3" t="s">
        <v>1388</v>
      </c>
      <c r="AE666" s="27" t="n">
        <f>35217</f>
        <v>35217.0</v>
      </c>
    </row>
    <row r="667">
      <c r="A667" s="20" t="s">
        <v>1371</v>
      </c>
      <c r="B667" s="21" t="s">
        <v>1372</v>
      </c>
      <c r="C667" s="22"/>
      <c r="D667" s="23"/>
      <c r="E667" s="24" t="s">
        <v>160</v>
      </c>
      <c r="F667" s="28" t="n">
        <f>58</f>
        <v>58.0</v>
      </c>
      <c r="G667" s="25" t="n">
        <f>2165072</f>
        <v>2165072.0</v>
      </c>
      <c r="H667" s="25"/>
      <c r="I667" s="25" t="n">
        <f>793</f>
        <v>793.0</v>
      </c>
      <c r="J667" s="25" t="n">
        <f>37329</f>
        <v>37329.0</v>
      </c>
      <c r="K667" s="25" t="n">
        <f>14</f>
        <v>14.0</v>
      </c>
      <c r="L667" s="2" t="s">
        <v>242</v>
      </c>
      <c r="M667" s="26" t="n">
        <f>100327</f>
        <v>100327.0</v>
      </c>
      <c r="N667" s="3" t="s">
        <v>981</v>
      </c>
      <c r="O667" s="27" t="n">
        <f>16165</f>
        <v>16165.0</v>
      </c>
      <c r="P667" s="29" t="s">
        <v>1389</v>
      </c>
      <c r="Q667" s="25"/>
      <c r="R667" s="29" t="s">
        <v>1390</v>
      </c>
      <c r="S667" s="25" t="n">
        <f>372759479379</f>
        <v>3.72759479379E11</v>
      </c>
      <c r="T667" s="25" t="n">
        <f>133169397</f>
        <v>1.33169397E8</v>
      </c>
      <c r="U667" s="3" t="s">
        <v>242</v>
      </c>
      <c r="V667" s="27" t="n">
        <f>1060235220000</f>
        <v>1.06023522E12</v>
      </c>
      <c r="W667" s="3" t="s">
        <v>981</v>
      </c>
      <c r="X667" s="27" t="n">
        <f>157491214000</f>
        <v>1.57491214E11</v>
      </c>
      <c r="Y667" s="27"/>
      <c r="Z667" s="25" t="n">
        <f>280</f>
        <v>280.0</v>
      </c>
      <c r="AA667" s="25" t="n">
        <f>38529</f>
        <v>38529.0</v>
      </c>
      <c r="AB667" s="2" t="s">
        <v>706</v>
      </c>
      <c r="AC667" s="26" t="n">
        <f>50706</f>
        <v>50706.0</v>
      </c>
      <c r="AD667" s="3" t="s">
        <v>84</v>
      </c>
      <c r="AE667" s="27" t="n">
        <f>37752</f>
        <v>37752.0</v>
      </c>
    </row>
    <row r="668">
      <c r="A668" s="20" t="s">
        <v>1391</v>
      </c>
      <c r="B668" s="21" t="s">
        <v>1392</v>
      </c>
      <c r="C668" s="22"/>
      <c r="D668" s="23"/>
      <c r="E668" s="24" t="s">
        <v>124</v>
      </c>
      <c r="F668" s="28" t="n">
        <f>108</f>
        <v>108.0</v>
      </c>
      <c r="G668" s="25" t="n">
        <f>950287</f>
        <v>950287.0</v>
      </c>
      <c r="H668" s="25"/>
      <c r="I668" s="25" t="n">
        <f>8539</f>
        <v>8539.0</v>
      </c>
      <c r="J668" s="25" t="n">
        <f>8799</f>
        <v>8799.0</v>
      </c>
      <c r="K668" s="25" t="n">
        <f>79</f>
        <v>79.0</v>
      </c>
      <c r="L668" s="2" t="s">
        <v>192</v>
      </c>
      <c r="M668" s="26" t="n">
        <f>42869</f>
        <v>42869.0</v>
      </c>
      <c r="N668" s="3" t="s">
        <v>114</v>
      </c>
      <c r="O668" s="27" t="n">
        <f>2748</f>
        <v>2748.0</v>
      </c>
      <c r="P668" s="29" t="s">
        <v>1393</v>
      </c>
      <c r="Q668" s="25"/>
      <c r="R668" s="29" t="s">
        <v>1394</v>
      </c>
      <c r="S668" s="25" t="n">
        <f>5666457712</f>
        <v>5.666457712E9</v>
      </c>
      <c r="T668" s="25" t="n">
        <f>50464569</f>
        <v>5.0464569E7</v>
      </c>
      <c r="U668" s="3" t="s">
        <v>192</v>
      </c>
      <c r="V668" s="27" t="n">
        <f>27508796700</f>
        <v>2.75087967E10</v>
      </c>
      <c r="W668" s="3" t="s">
        <v>114</v>
      </c>
      <c r="X668" s="27" t="n">
        <f>1722844200</f>
        <v>1.7228442E9</v>
      </c>
      <c r="Y668" s="27"/>
      <c r="Z668" s="25" t="str">
        <f>"－"</f>
        <v>－</v>
      </c>
      <c r="AA668" s="25" t="n">
        <f>11419</f>
        <v>11419.0</v>
      </c>
      <c r="AB668" s="2" t="s">
        <v>63</v>
      </c>
      <c r="AC668" s="26" t="n">
        <f>17585</f>
        <v>17585.0</v>
      </c>
      <c r="AD668" s="3" t="s">
        <v>498</v>
      </c>
      <c r="AE668" s="27" t="n">
        <f>11212</f>
        <v>11212.0</v>
      </c>
    </row>
    <row r="669">
      <c r="A669" s="20" t="s">
        <v>1391</v>
      </c>
      <c r="B669" s="21" t="s">
        <v>1392</v>
      </c>
      <c r="C669" s="22"/>
      <c r="D669" s="23"/>
      <c r="E669" s="24" t="s">
        <v>130</v>
      </c>
      <c r="F669" s="28" t="n">
        <f>121</f>
        <v>121.0</v>
      </c>
      <c r="G669" s="25" t="n">
        <f>990876</f>
        <v>990876.0</v>
      </c>
      <c r="H669" s="25"/>
      <c r="I669" s="25" t="n">
        <f>1</f>
        <v>1.0</v>
      </c>
      <c r="J669" s="25" t="n">
        <f>8189</f>
        <v>8189.0</v>
      </c>
      <c r="K669" s="25" t="n">
        <f>0</f>
        <v>0.0</v>
      </c>
      <c r="L669" s="2" t="s">
        <v>863</v>
      </c>
      <c r="M669" s="26" t="n">
        <f>25024</f>
        <v>25024.0</v>
      </c>
      <c r="N669" s="3" t="s">
        <v>1201</v>
      </c>
      <c r="O669" s="27" t="n">
        <f>3525</f>
        <v>3525.0</v>
      </c>
      <c r="P669" s="29" t="s">
        <v>1395</v>
      </c>
      <c r="Q669" s="25"/>
      <c r="R669" s="29" t="s">
        <v>1396</v>
      </c>
      <c r="S669" s="25" t="n">
        <f>5121676021</f>
        <v>5.121676021E9</v>
      </c>
      <c r="T669" s="25" t="n">
        <f>5083</f>
        <v>5083.0</v>
      </c>
      <c r="U669" s="3" t="s">
        <v>863</v>
      </c>
      <c r="V669" s="27" t="n">
        <f>15683587100</f>
        <v>1.56835871E10</v>
      </c>
      <c r="W669" s="3" t="s">
        <v>1201</v>
      </c>
      <c r="X669" s="27" t="n">
        <f>2186064200</f>
        <v>2.1860642E9</v>
      </c>
      <c r="Y669" s="27"/>
      <c r="Z669" s="25" t="str">
        <f>"－"</f>
        <v>－</v>
      </c>
      <c r="AA669" s="25" t="n">
        <f>15285</f>
        <v>15285.0</v>
      </c>
      <c r="AB669" s="2" t="s">
        <v>201</v>
      </c>
      <c r="AC669" s="26" t="n">
        <f>16445</f>
        <v>16445.0</v>
      </c>
      <c r="AD669" s="3" t="s">
        <v>156</v>
      </c>
      <c r="AE669" s="27" t="n">
        <f>11095</f>
        <v>11095.0</v>
      </c>
    </row>
    <row r="670">
      <c r="A670" s="20" t="s">
        <v>1391</v>
      </c>
      <c r="B670" s="21" t="s">
        <v>1392</v>
      </c>
      <c r="C670" s="22"/>
      <c r="D670" s="23"/>
      <c r="E670" s="24" t="s">
        <v>136</v>
      </c>
      <c r="F670" s="28" t="n">
        <f>124</f>
        <v>124.0</v>
      </c>
      <c r="G670" s="25" t="n">
        <f>764213</f>
        <v>764213.0</v>
      </c>
      <c r="H670" s="25"/>
      <c r="I670" s="25" t="n">
        <f>8</f>
        <v>8.0</v>
      </c>
      <c r="J670" s="25" t="n">
        <f>6163</f>
        <v>6163.0</v>
      </c>
      <c r="K670" s="25" t="n">
        <f>0</f>
        <v>0.0</v>
      </c>
      <c r="L670" s="2" t="s">
        <v>761</v>
      </c>
      <c r="M670" s="26" t="n">
        <f>13059</f>
        <v>13059.0</v>
      </c>
      <c r="N670" s="3" t="s">
        <v>968</v>
      </c>
      <c r="O670" s="27" t="n">
        <f>1310</f>
        <v>1310.0</v>
      </c>
      <c r="P670" s="29" t="s">
        <v>1397</v>
      </c>
      <c r="Q670" s="25"/>
      <c r="R670" s="29" t="s">
        <v>1398</v>
      </c>
      <c r="S670" s="25" t="n">
        <f>3976377440</f>
        <v>3.97637744E9</v>
      </c>
      <c r="T670" s="25" t="n">
        <f>41963</f>
        <v>41963.0</v>
      </c>
      <c r="U670" s="3" t="s">
        <v>761</v>
      </c>
      <c r="V670" s="27" t="n">
        <f>8792236300</f>
        <v>8.7922363E9</v>
      </c>
      <c r="W670" s="3" t="s">
        <v>968</v>
      </c>
      <c r="X670" s="27" t="n">
        <f>813318700</f>
        <v>8.133187E8</v>
      </c>
      <c r="Y670" s="27"/>
      <c r="Z670" s="25" t="str">
        <f>"－"</f>
        <v>－</v>
      </c>
      <c r="AA670" s="25" t="n">
        <f>12968</f>
        <v>12968.0</v>
      </c>
      <c r="AB670" s="2" t="s">
        <v>1379</v>
      </c>
      <c r="AC670" s="26" t="n">
        <f>16017</f>
        <v>16017.0</v>
      </c>
      <c r="AD670" s="3" t="s">
        <v>719</v>
      </c>
      <c r="AE670" s="27" t="n">
        <f>12482</f>
        <v>12482.0</v>
      </c>
    </row>
    <row r="671">
      <c r="A671" s="20" t="s">
        <v>1391</v>
      </c>
      <c r="B671" s="21" t="s">
        <v>1392</v>
      </c>
      <c r="C671" s="22"/>
      <c r="D671" s="23"/>
      <c r="E671" s="24" t="s">
        <v>142</v>
      </c>
      <c r="F671" s="28" t="n">
        <f>120</f>
        <v>120.0</v>
      </c>
      <c r="G671" s="25" t="n">
        <f>1220137</f>
        <v>1220137.0</v>
      </c>
      <c r="H671" s="25"/>
      <c r="I671" s="25" t="n">
        <f>1</f>
        <v>1.0</v>
      </c>
      <c r="J671" s="25" t="n">
        <f>10168</f>
        <v>10168.0</v>
      </c>
      <c r="K671" s="25" t="n">
        <f>0</f>
        <v>0.0</v>
      </c>
      <c r="L671" s="2" t="s">
        <v>74</v>
      </c>
      <c r="M671" s="26" t="n">
        <f>44650</f>
        <v>44650.0</v>
      </c>
      <c r="N671" s="3" t="s">
        <v>873</v>
      </c>
      <c r="O671" s="27" t="n">
        <f>3351</f>
        <v>3351.0</v>
      </c>
      <c r="P671" s="29" t="s">
        <v>1399</v>
      </c>
      <c r="Q671" s="25"/>
      <c r="R671" s="29" t="s">
        <v>1400</v>
      </c>
      <c r="S671" s="25" t="n">
        <f>7566795125</f>
        <v>7.566795125E9</v>
      </c>
      <c r="T671" s="25" t="n">
        <f>6290</f>
        <v>6290.0</v>
      </c>
      <c r="U671" s="3" t="s">
        <v>74</v>
      </c>
      <c r="V671" s="27" t="n">
        <f>33722915200</f>
        <v>3.37229152E10</v>
      </c>
      <c r="W671" s="3" t="s">
        <v>873</v>
      </c>
      <c r="X671" s="27" t="n">
        <f>2243073600</f>
        <v>2.2430736E9</v>
      </c>
      <c r="Y671" s="27"/>
      <c r="Z671" s="25" t="str">
        <f>"－"</f>
        <v>－</v>
      </c>
      <c r="AA671" s="25" t="n">
        <f>9757</f>
        <v>9757.0</v>
      </c>
      <c r="AB671" s="2" t="s">
        <v>1401</v>
      </c>
      <c r="AC671" s="26" t="n">
        <f>13265</f>
        <v>13265.0</v>
      </c>
      <c r="AD671" s="3" t="s">
        <v>98</v>
      </c>
      <c r="AE671" s="27" t="n">
        <f>9259</f>
        <v>9259.0</v>
      </c>
    </row>
    <row r="672">
      <c r="A672" s="20" t="s">
        <v>1391</v>
      </c>
      <c r="B672" s="21" t="s">
        <v>1392</v>
      </c>
      <c r="C672" s="22"/>
      <c r="D672" s="23"/>
      <c r="E672" s="24" t="s">
        <v>148</v>
      </c>
      <c r="F672" s="28" t="n">
        <f>124</f>
        <v>124.0</v>
      </c>
      <c r="G672" s="25" t="n">
        <f>701820</f>
        <v>701820.0</v>
      </c>
      <c r="H672" s="25"/>
      <c r="I672" s="25" t="n">
        <f>40</f>
        <v>40.0</v>
      </c>
      <c r="J672" s="25" t="n">
        <f>5660</f>
        <v>5660.0</v>
      </c>
      <c r="K672" s="25" t="n">
        <f>0</f>
        <v>0.0</v>
      </c>
      <c r="L672" s="2" t="s">
        <v>1161</v>
      </c>
      <c r="M672" s="26" t="n">
        <f>18509</f>
        <v>18509.0</v>
      </c>
      <c r="N672" s="3" t="s">
        <v>138</v>
      </c>
      <c r="O672" s="27" t="n">
        <f>2339</f>
        <v>2339.0</v>
      </c>
      <c r="P672" s="29" t="s">
        <v>1402</v>
      </c>
      <c r="Q672" s="25"/>
      <c r="R672" s="29" t="s">
        <v>1403</v>
      </c>
      <c r="S672" s="25" t="n">
        <f>4381603398</f>
        <v>4.381603398E9</v>
      </c>
      <c r="T672" s="25" t="n">
        <f>252605</f>
        <v>252605.0</v>
      </c>
      <c r="U672" s="3" t="s">
        <v>1161</v>
      </c>
      <c r="V672" s="27" t="n">
        <f>14075012100</f>
        <v>1.40750121E10</v>
      </c>
      <c r="W672" s="3" t="s">
        <v>138</v>
      </c>
      <c r="X672" s="27" t="n">
        <f>1801031000</f>
        <v>1.801031E9</v>
      </c>
      <c r="Y672" s="27"/>
      <c r="Z672" s="25" t="str">
        <f>"－"</f>
        <v>－</v>
      </c>
      <c r="AA672" s="25" t="n">
        <f>10005</f>
        <v>10005.0</v>
      </c>
      <c r="AB672" s="2" t="s">
        <v>64</v>
      </c>
      <c r="AC672" s="26" t="n">
        <f>12499</f>
        <v>12499.0</v>
      </c>
      <c r="AD672" s="3" t="s">
        <v>529</v>
      </c>
      <c r="AE672" s="27" t="n">
        <f>9169</f>
        <v>9169.0</v>
      </c>
    </row>
    <row r="673">
      <c r="A673" s="20" t="s">
        <v>1391</v>
      </c>
      <c r="B673" s="21" t="s">
        <v>1392</v>
      </c>
      <c r="C673" s="22"/>
      <c r="D673" s="23"/>
      <c r="E673" s="24" t="s">
        <v>151</v>
      </c>
      <c r="F673" s="28" t="n">
        <f>122</f>
        <v>122.0</v>
      </c>
      <c r="G673" s="25" t="n">
        <f>635356</f>
        <v>635356.0</v>
      </c>
      <c r="H673" s="25"/>
      <c r="I673" s="25" t="n">
        <f>40</f>
        <v>40.0</v>
      </c>
      <c r="J673" s="25" t="n">
        <f>5208</f>
        <v>5208.0</v>
      </c>
      <c r="K673" s="25" t="n">
        <f>0</f>
        <v>0.0</v>
      </c>
      <c r="L673" s="2" t="s">
        <v>233</v>
      </c>
      <c r="M673" s="26" t="n">
        <f>19426</f>
        <v>19426.0</v>
      </c>
      <c r="N673" s="3" t="s">
        <v>746</v>
      </c>
      <c r="O673" s="27" t="n">
        <f>2214</f>
        <v>2214.0</v>
      </c>
      <c r="P673" s="29" t="s">
        <v>1404</v>
      </c>
      <c r="Q673" s="25"/>
      <c r="R673" s="29" t="s">
        <v>1405</v>
      </c>
      <c r="S673" s="25" t="n">
        <f>4362073511</f>
        <v>4.362073511E9</v>
      </c>
      <c r="T673" s="25" t="n">
        <f>272905</f>
        <v>272905.0</v>
      </c>
      <c r="U673" s="3" t="s">
        <v>233</v>
      </c>
      <c r="V673" s="27" t="n">
        <f>17061788300</f>
        <v>1.70617883E10</v>
      </c>
      <c r="W673" s="3" t="s">
        <v>746</v>
      </c>
      <c r="X673" s="27" t="n">
        <f>1755543850</f>
        <v>1.75554385E9</v>
      </c>
      <c r="Y673" s="27"/>
      <c r="Z673" s="25" t="str">
        <f>"－"</f>
        <v>－</v>
      </c>
      <c r="AA673" s="25" t="n">
        <f>10532</f>
        <v>10532.0</v>
      </c>
      <c r="AB673" s="2" t="s">
        <v>123</v>
      </c>
      <c r="AC673" s="26" t="n">
        <f>11380</f>
        <v>11380.0</v>
      </c>
      <c r="AD673" s="3" t="s">
        <v>74</v>
      </c>
      <c r="AE673" s="27" t="n">
        <f>8886</f>
        <v>8886.0</v>
      </c>
    </row>
    <row r="674">
      <c r="A674" s="20" t="s">
        <v>1391</v>
      </c>
      <c r="B674" s="21" t="s">
        <v>1392</v>
      </c>
      <c r="C674" s="22"/>
      <c r="D674" s="23"/>
      <c r="E674" s="24" t="s">
        <v>157</v>
      </c>
      <c r="F674" s="28" t="n">
        <f>124</f>
        <v>124.0</v>
      </c>
      <c r="G674" s="25" t="n">
        <f>646997</f>
        <v>646997.0</v>
      </c>
      <c r="H674" s="25"/>
      <c r="I674" s="25" t="n">
        <f>41</f>
        <v>41.0</v>
      </c>
      <c r="J674" s="25" t="n">
        <f>5218</f>
        <v>5218.0</v>
      </c>
      <c r="K674" s="25" t="n">
        <f>0</f>
        <v>0.0</v>
      </c>
      <c r="L674" s="2" t="s">
        <v>549</v>
      </c>
      <c r="M674" s="26" t="n">
        <f>13950</f>
        <v>13950.0</v>
      </c>
      <c r="N674" s="3" t="s">
        <v>50</v>
      </c>
      <c r="O674" s="27" t="n">
        <f>1937</f>
        <v>1937.0</v>
      </c>
      <c r="P674" s="29" t="s">
        <v>1406</v>
      </c>
      <c r="Q674" s="25"/>
      <c r="R674" s="29" t="s">
        <v>1407</v>
      </c>
      <c r="S674" s="25" t="n">
        <f>4809690663</f>
        <v>4.809690663E9</v>
      </c>
      <c r="T674" s="25" t="n">
        <f>307592</f>
        <v>307592.0</v>
      </c>
      <c r="U674" s="3" t="s">
        <v>549</v>
      </c>
      <c r="V674" s="27" t="n">
        <f>12797054200</f>
        <v>1.27970542E10</v>
      </c>
      <c r="W674" s="3" t="s">
        <v>897</v>
      </c>
      <c r="X674" s="27" t="n">
        <f>1745439850</f>
        <v>1.74543985E9</v>
      </c>
      <c r="Y674" s="27"/>
      <c r="Z674" s="25" t="n">
        <f>424</f>
        <v>424.0</v>
      </c>
      <c r="AA674" s="25" t="n">
        <f>11273</f>
        <v>11273.0</v>
      </c>
      <c r="AB674" s="2" t="s">
        <v>1408</v>
      </c>
      <c r="AC674" s="26" t="n">
        <f>12219</f>
        <v>12219.0</v>
      </c>
      <c r="AD674" s="3" t="s">
        <v>94</v>
      </c>
      <c r="AE674" s="27" t="n">
        <f>8617</f>
        <v>8617.0</v>
      </c>
    </row>
    <row r="675">
      <c r="A675" s="20" t="s">
        <v>1391</v>
      </c>
      <c r="B675" s="21" t="s">
        <v>1392</v>
      </c>
      <c r="C675" s="22"/>
      <c r="D675" s="23"/>
      <c r="E675" s="24" t="s">
        <v>160</v>
      </c>
      <c r="F675" s="28" t="n">
        <f>58</f>
        <v>58.0</v>
      </c>
      <c r="G675" s="25" t="n">
        <f>325931</f>
        <v>325931.0</v>
      </c>
      <c r="H675" s="25"/>
      <c r="I675" s="25" t="n">
        <f>10</f>
        <v>10.0</v>
      </c>
      <c r="J675" s="25" t="n">
        <f>5620</f>
        <v>5620.0</v>
      </c>
      <c r="K675" s="25" t="n">
        <f>0</f>
        <v>0.0</v>
      </c>
      <c r="L675" s="2" t="s">
        <v>242</v>
      </c>
      <c r="M675" s="26" t="n">
        <f>16140</f>
        <v>16140.0</v>
      </c>
      <c r="N675" s="3" t="s">
        <v>1121</v>
      </c>
      <c r="O675" s="27" t="n">
        <f>2117</f>
        <v>2117.0</v>
      </c>
      <c r="P675" s="29" t="s">
        <v>1409</v>
      </c>
      <c r="Q675" s="25"/>
      <c r="R675" s="29" t="s">
        <v>1410</v>
      </c>
      <c r="S675" s="25" t="n">
        <f>5611659693</f>
        <v>5.611659693E9</v>
      </c>
      <c r="T675" s="25" t="n">
        <f>177241</f>
        <v>177241.0</v>
      </c>
      <c r="U675" s="3" t="s">
        <v>243</v>
      </c>
      <c r="V675" s="27" t="n">
        <f>17045471300</f>
        <v>1.70454713E10</v>
      </c>
      <c r="W675" s="3" t="s">
        <v>1121</v>
      </c>
      <c r="X675" s="27" t="n">
        <f>2082004700</f>
        <v>2.0820047E9</v>
      </c>
      <c r="Y675" s="27"/>
      <c r="Z675" s="25" t="str">
        <f>"－"</f>
        <v>－</v>
      </c>
      <c r="AA675" s="25" t="n">
        <f>10040</f>
        <v>10040.0</v>
      </c>
      <c r="AB675" s="2" t="s">
        <v>706</v>
      </c>
      <c r="AC675" s="26" t="n">
        <f>11624</f>
        <v>11624.0</v>
      </c>
      <c r="AD675" s="3" t="s">
        <v>1121</v>
      </c>
      <c r="AE675" s="27" t="n">
        <f>9952</f>
        <v>9952.0</v>
      </c>
    </row>
    <row r="676">
      <c r="A676" s="20" t="s">
        <v>1411</v>
      </c>
      <c r="B676" s="21" t="s">
        <v>1412</v>
      </c>
      <c r="C676" s="22"/>
      <c r="D676" s="23"/>
      <c r="E676" s="24" t="s">
        <v>124</v>
      </c>
      <c r="F676" s="28" t="n">
        <f>108</f>
        <v>108.0</v>
      </c>
      <c r="G676" s="25" t="n">
        <f>589757</f>
        <v>589757.0</v>
      </c>
      <c r="H676" s="25"/>
      <c r="I676" s="25" t="n">
        <f>8733</f>
        <v>8733.0</v>
      </c>
      <c r="J676" s="25" t="n">
        <f>5461</f>
        <v>5461.0</v>
      </c>
      <c r="K676" s="25" t="n">
        <f>81</f>
        <v>81.0</v>
      </c>
      <c r="L676" s="2" t="s">
        <v>945</v>
      </c>
      <c r="M676" s="26" t="n">
        <f>31061</f>
        <v>31061.0</v>
      </c>
      <c r="N676" s="3" t="s">
        <v>114</v>
      </c>
      <c r="O676" s="27" t="n">
        <f>1222</f>
        <v>1222.0</v>
      </c>
      <c r="P676" s="29" t="s">
        <v>1413</v>
      </c>
      <c r="Q676" s="25"/>
      <c r="R676" s="29" t="s">
        <v>1414</v>
      </c>
      <c r="S676" s="25" t="n">
        <f>3585589236</f>
        <v>3.585589236E9</v>
      </c>
      <c r="T676" s="25" t="n">
        <f>53713821</f>
        <v>5.3713821E7</v>
      </c>
      <c r="U676" s="3" t="s">
        <v>945</v>
      </c>
      <c r="V676" s="27" t="n">
        <f>20658649200</f>
        <v>2.06586492E10</v>
      </c>
      <c r="W676" s="3" t="s">
        <v>114</v>
      </c>
      <c r="X676" s="27" t="n">
        <f>773743000</f>
        <v>7.73743E8</v>
      </c>
      <c r="Y676" s="27"/>
      <c r="Z676" s="25" t="str">
        <f>"－"</f>
        <v>－</v>
      </c>
      <c r="AA676" s="25" t="n">
        <f>52048</f>
        <v>52048.0</v>
      </c>
      <c r="AB676" s="2" t="s">
        <v>1415</v>
      </c>
      <c r="AC676" s="26" t="n">
        <f>57609</f>
        <v>57609.0</v>
      </c>
      <c r="AD676" s="3" t="s">
        <v>198</v>
      </c>
      <c r="AE676" s="27" t="n">
        <f>48849</f>
        <v>48849.0</v>
      </c>
    </row>
    <row r="677">
      <c r="A677" s="20" t="s">
        <v>1411</v>
      </c>
      <c r="B677" s="21" t="s">
        <v>1412</v>
      </c>
      <c r="C677" s="22"/>
      <c r="D677" s="23"/>
      <c r="E677" s="24" t="s">
        <v>130</v>
      </c>
      <c r="F677" s="28" t="n">
        <f>121</f>
        <v>121.0</v>
      </c>
      <c r="G677" s="25" t="n">
        <f>352081</f>
        <v>352081.0</v>
      </c>
      <c r="H677" s="25"/>
      <c r="I677" s="25" t="n">
        <f>1</f>
        <v>1.0</v>
      </c>
      <c r="J677" s="25" t="n">
        <f>2910</f>
        <v>2910.0</v>
      </c>
      <c r="K677" s="25" t="n">
        <f>0</f>
        <v>0.0</v>
      </c>
      <c r="L677" s="2" t="s">
        <v>343</v>
      </c>
      <c r="M677" s="26" t="n">
        <f>10778</f>
        <v>10778.0</v>
      </c>
      <c r="N677" s="3" t="s">
        <v>422</v>
      </c>
      <c r="O677" s="27" t="n">
        <f>995</f>
        <v>995.0</v>
      </c>
      <c r="P677" s="29" t="s">
        <v>1416</v>
      </c>
      <c r="Q677" s="25"/>
      <c r="R677" s="29" t="s">
        <v>1417</v>
      </c>
      <c r="S677" s="25" t="n">
        <f>1850064448</f>
        <v>1.850064448E9</v>
      </c>
      <c r="T677" s="25" t="n">
        <f>5301</f>
        <v>5301.0</v>
      </c>
      <c r="U677" s="3" t="s">
        <v>343</v>
      </c>
      <c r="V677" s="27" t="n">
        <f>6893348000</f>
        <v>6.893348E9</v>
      </c>
      <c r="W677" s="3" t="s">
        <v>422</v>
      </c>
      <c r="X677" s="27" t="n">
        <f>625736600</f>
        <v>6.257366E8</v>
      </c>
      <c r="Y677" s="27"/>
      <c r="Z677" s="25" t="str">
        <f>"－"</f>
        <v>－</v>
      </c>
      <c r="AA677" s="25" t="n">
        <f>52127</f>
        <v>52127.0</v>
      </c>
      <c r="AB677" s="2" t="s">
        <v>375</v>
      </c>
      <c r="AC677" s="26" t="n">
        <f>54502</f>
        <v>54502.0</v>
      </c>
      <c r="AD677" s="3" t="s">
        <v>427</v>
      </c>
      <c r="AE677" s="27" t="n">
        <f>51180</f>
        <v>51180.0</v>
      </c>
    </row>
    <row r="678">
      <c r="A678" s="20" t="s">
        <v>1411</v>
      </c>
      <c r="B678" s="21" t="s">
        <v>1412</v>
      </c>
      <c r="C678" s="22"/>
      <c r="D678" s="23"/>
      <c r="E678" s="24" t="s">
        <v>136</v>
      </c>
      <c r="F678" s="28" t="n">
        <f>124</f>
        <v>124.0</v>
      </c>
      <c r="G678" s="25" t="n">
        <f>288162</f>
        <v>288162.0</v>
      </c>
      <c r="H678" s="25"/>
      <c r="I678" s="25" t="n">
        <f>627</f>
        <v>627.0</v>
      </c>
      <c r="J678" s="25" t="n">
        <f>2324</f>
        <v>2324.0</v>
      </c>
      <c r="K678" s="25" t="n">
        <f>5</f>
        <v>5.0</v>
      </c>
      <c r="L678" s="2" t="s">
        <v>761</v>
      </c>
      <c r="M678" s="26" t="n">
        <f>8407</f>
        <v>8407.0</v>
      </c>
      <c r="N678" s="3" t="s">
        <v>280</v>
      </c>
      <c r="O678" s="27" t="n">
        <f>663</f>
        <v>663.0</v>
      </c>
      <c r="P678" s="29" t="s">
        <v>1418</v>
      </c>
      <c r="Q678" s="25"/>
      <c r="R678" s="29" t="s">
        <v>1419</v>
      </c>
      <c r="S678" s="25" t="n">
        <f>1513255652</f>
        <v>1.513255652E9</v>
      </c>
      <c r="T678" s="25" t="n">
        <f>3353958</f>
        <v>3353958.0</v>
      </c>
      <c r="U678" s="3" t="s">
        <v>761</v>
      </c>
      <c r="V678" s="27" t="n">
        <f>5686873400</f>
        <v>5.6868734E9</v>
      </c>
      <c r="W678" s="3" t="s">
        <v>280</v>
      </c>
      <c r="X678" s="27" t="n">
        <f>423496800</f>
        <v>4.234968E8</v>
      </c>
      <c r="Y678" s="27"/>
      <c r="Z678" s="25" t="str">
        <f>"－"</f>
        <v>－</v>
      </c>
      <c r="AA678" s="25" t="n">
        <f>50327</f>
        <v>50327.0</v>
      </c>
      <c r="AB678" s="2" t="s">
        <v>947</v>
      </c>
      <c r="AC678" s="26" t="n">
        <f>52709</f>
        <v>52709.0</v>
      </c>
      <c r="AD678" s="3" t="s">
        <v>991</v>
      </c>
      <c r="AE678" s="27" t="n">
        <f>49056</f>
        <v>49056.0</v>
      </c>
    </row>
    <row r="679">
      <c r="A679" s="20" t="s">
        <v>1411</v>
      </c>
      <c r="B679" s="21" t="s">
        <v>1412</v>
      </c>
      <c r="C679" s="22"/>
      <c r="D679" s="23"/>
      <c r="E679" s="24" t="s">
        <v>142</v>
      </c>
      <c r="F679" s="28" t="n">
        <f>120</f>
        <v>120.0</v>
      </c>
      <c r="G679" s="25" t="n">
        <f>605106</f>
        <v>605106.0</v>
      </c>
      <c r="H679" s="25"/>
      <c r="I679" s="25" t="n">
        <f>290</f>
        <v>290.0</v>
      </c>
      <c r="J679" s="25" t="n">
        <f>5043</f>
        <v>5043.0</v>
      </c>
      <c r="K679" s="25" t="n">
        <f>2</f>
        <v>2.0</v>
      </c>
      <c r="L679" s="2" t="s">
        <v>56</v>
      </c>
      <c r="M679" s="26" t="n">
        <f>18540</f>
        <v>18540.0</v>
      </c>
      <c r="N679" s="3" t="s">
        <v>1401</v>
      </c>
      <c r="O679" s="27" t="n">
        <f>987</f>
        <v>987.0</v>
      </c>
      <c r="P679" s="29" t="s">
        <v>1420</v>
      </c>
      <c r="Q679" s="25"/>
      <c r="R679" s="29" t="s">
        <v>1421</v>
      </c>
      <c r="S679" s="25" t="n">
        <f>3770626107</f>
        <v>3.770626107E9</v>
      </c>
      <c r="T679" s="25" t="n">
        <f>1710164</f>
        <v>1710164.0</v>
      </c>
      <c r="U679" s="3" t="s">
        <v>56</v>
      </c>
      <c r="V679" s="27" t="n">
        <f>13867816100</f>
        <v>1.38678161E10</v>
      </c>
      <c r="W679" s="3" t="s">
        <v>1401</v>
      </c>
      <c r="X679" s="27" t="n">
        <f>658821800</f>
        <v>6.588218E8</v>
      </c>
      <c r="Y679" s="27"/>
      <c r="Z679" s="25" t="str">
        <f>"－"</f>
        <v>－</v>
      </c>
      <c r="AA679" s="25" t="n">
        <f>57511</f>
        <v>57511.0</v>
      </c>
      <c r="AB679" s="2" t="s">
        <v>312</v>
      </c>
      <c r="AC679" s="26" t="n">
        <f>57737</f>
        <v>57737.0</v>
      </c>
      <c r="AD679" s="3" t="s">
        <v>873</v>
      </c>
      <c r="AE679" s="27" t="n">
        <f>50236</f>
        <v>50236.0</v>
      </c>
    </row>
    <row r="680">
      <c r="A680" s="20" t="s">
        <v>1411</v>
      </c>
      <c r="B680" s="21" t="s">
        <v>1412</v>
      </c>
      <c r="C680" s="22"/>
      <c r="D680" s="23"/>
      <c r="E680" s="24" t="s">
        <v>148</v>
      </c>
      <c r="F680" s="28" t="n">
        <f>124</f>
        <v>124.0</v>
      </c>
      <c r="G680" s="25" t="n">
        <f>530594</f>
        <v>530594.0</v>
      </c>
      <c r="H680" s="25"/>
      <c r="I680" s="25" t="n">
        <f>105</f>
        <v>105.0</v>
      </c>
      <c r="J680" s="25" t="n">
        <f>4279</f>
        <v>4279.0</v>
      </c>
      <c r="K680" s="25" t="n">
        <f>1</f>
        <v>1.0</v>
      </c>
      <c r="L680" s="2" t="s">
        <v>976</v>
      </c>
      <c r="M680" s="26" t="n">
        <f>16637</f>
        <v>16637.0</v>
      </c>
      <c r="N680" s="3" t="s">
        <v>671</v>
      </c>
      <c r="O680" s="27" t="n">
        <f>1430</f>
        <v>1430.0</v>
      </c>
      <c r="P680" s="29" t="s">
        <v>1422</v>
      </c>
      <c r="Q680" s="25"/>
      <c r="R680" s="29" t="s">
        <v>1423</v>
      </c>
      <c r="S680" s="25" t="n">
        <f>3336323340</f>
        <v>3.33632334E9</v>
      </c>
      <c r="T680" s="25" t="n">
        <f>651420</f>
        <v>651420.0</v>
      </c>
      <c r="U680" s="3" t="s">
        <v>976</v>
      </c>
      <c r="V680" s="27" t="n">
        <f>12915241900</f>
        <v>1.29152419E10</v>
      </c>
      <c r="W680" s="3" t="s">
        <v>671</v>
      </c>
      <c r="X680" s="27" t="n">
        <f>1097551600</f>
        <v>1.0975516E9</v>
      </c>
      <c r="Y680" s="27"/>
      <c r="Z680" s="25" t="str">
        <f>"－"</f>
        <v>－</v>
      </c>
      <c r="AA680" s="25" t="n">
        <f>73167</f>
        <v>73167.0</v>
      </c>
      <c r="AB680" s="2" t="s">
        <v>129</v>
      </c>
      <c r="AC680" s="26" t="n">
        <f>73167</f>
        <v>73167.0</v>
      </c>
      <c r="AD680" s="3" t="s">
        <v>1082</v>
      </c>
      <c r="AE680" s="27" t="n">
        <f>54428</f>
        <v>54428.0</v>
      </c>
    </row>
    <row r="681">
      <c r="A681" s="20" t="s">
        <v>1411</v>
      </c>
      <c r="B681" s="21" t="s">
        <v>1412</v>
      </c>
      <c r="C681" s="22"/>
      <c r="D681" s="23"/>
      <c r="E681" s="24" t="s">
        <v>151</v>
      </c>
      <c r="F681" s="28" t="n">
        <f>122</f>
        <v>122.0</v>
      </c>
      <c r="G681" s="25" t="n">
        <f>1095576</f>
        <v>1095576.0</v>
      </c>
      <c r="H681" s="25"/>
      <c r="I681" s="25" t="n">
        <f>36</f>
        <v>36.0</v>
      </c>
      <c r="J681" s="25" t="n">
        <f>8980</f>
        <v>8980.0</v>
      </c>
      <c r="K681" s="25" t="n">
        <f>0</f>
        <v>0.0</v>
      </c>
      <c r="L681" s="2" t="s">
        <v>1132</v>
      </c>
      <c r="M681" s="26" t="n">
        <f>28847</f>
        <v>28847.0</v>
      </c>
      <c r="N681" s="3" t="s">
        <v>84</v>
      </c>
      <c r="O681" s="27" t="n">
        <f>2872</f>
        <v>2872.0</v>
      </c>
      <c r="P681" s="29" t="s">
        <v>1424</v>
      </c>
      <c r="Q681" s="25"/>
      <c r="R681" s="29" t="s">
        <v>1425</v>
      </c>
      <c r="S681" s="25" t="n">
        <f>7551709726</f>
        <v>7.551709726E9</v>
      </c>
      <c r="T681" s="25" t="n">
        <f>256488</f>
        <v>256488.0</v>
      </c>
      <c r="U681" s="3" t="s">
        <v>233</v>
      </c>
      <c r="V681" s="27" t="n">
        <f>25336760800</f>
        <v>2.53367608E10</v>
      </c>
      <c r="W681" s="3" t="s">
        <v>84</v>
      </c>
      <c r="X681" s="27" t="n">
        <f>2319924900</f>
        <v>2.3199249E9</v>
      </c>
      <c r="Y681" s="27"/>
      <c r="Z681" s="25" t="str">
        <f>"－"</f>
        <v>－</v>
      </c>
      <c r="AA681" s="25" t="n">
        <f>83492</f>
        <v>83492.0</v>
      </c>
      <c r="AB681" s="2" t="s">
        <v>737</v>
      </c>
      <c r="AC681" s="26" t="n">
        <f>88329</f>
        <v>88329.0</v>
      </c>
      <c r="AD681" s="3" t="s">
        <v>265</v>
      </c>
      <c r="AE681" s="27" t="n">
        <f>66010</f>
        <v>66010.0</v>
      </c>
    </row>
    <row r="682">
      <c r="A682" s="20" t="s">
        <v>1411</v>
      </c>
      <c r="B682" s="21" t="s">
        <v>1412</v>
      </c>
      <c r="C682" s="22"/>
      <c r="D682" s="23"/>
      <c r="E682" s="24" t="s">
        <v>157</v>
      </c>
      <c r="F682" s="28" t="n">
        <f>124</f>
        <v>124.0</v>
      </c>
      <c r="G682" s="25" t="n">
        <f>1061860</f>
        <v>1061860.0</v>
      </c>
      <c r="H682" s="25"/>
      <c r="I682" s="25" t="n">
        <f>419</f>
        <v>419.0</v>
      </c>
      <c r="J682" s="25" t="n">
        <f>8563</f>
        <v>8563.0</v>
      </c>
      <c r="K682" s="25" t="n">
        <f>3</f>
        <v>3.0</v>
      </c>
      <c r="L682" s="2" t="s">
        <v>240</v>
      </c>
      <c r="M682" s="26" t="n">
        <f>33454</f>
        <v>33454.0</v>
      </c>
      <c r="N682" s="3" t="s">
        <v>271</v>
      </c>
      <c r="O682" s="27" t="n">
        <f>2971</f>
        <v>2971.0</v>
      </c>
      <c r="P682" s="29" t="s">
        <v>1426</v>
      </c>
      <c r="Q682" s="25"/>
      <c r="R682" s="29" t="s">
        <v>1427</v>
      </c>
      <c r="S682" s="25" t="n">
        <f>7895924771</f>
        <v>7.895924771E9</v>
      </c>
      <c r="T682" s="25" t="n">
        <f>3133573</f>
        <v>3133573.0</v>
      </c>
      <c r="U682" s="3" t="s">
        <v>549</v>
      </c>
      <c r="V682" s="27" t="n">
        <f>29557445300</f>
        <v>2.95574453E10</v>
      </c>
      <c r="W682" s="3" t="s">
        <v>271</v>
      </c>
      <c r="X682" s="27" t="n">
        <f>2789378400</f>
        <v>2.7893784E9</v>
      </c>
      <c r="Y682" s="27"/>
      <c r="Z682" s="25" t="str">
        <f>"－"</f>
        <v>－</v>
      </c>
      <c r="AA682" s="25" t="n">
        <f>102935</f>
        <v>102935.0</v>
      </c>
      <c r="AB682" s="2" t="s">
        <v>271</v>
      </c>
      <c r="AC682" s="26" t="n">
        <f>106062</f>
        <v>106062.0</v>
      </c>
      <c r="AD682" s="3" t="s">
        <v>225</v>
      </c>
      <c r="AE682" s="27" t="n">
        <f>75403</f>
        <v>75403.0</v>
      </c>
    </row>
    <row r="683">
      <c r="A683" s="20" t="s">
        <v>1411</v>
      </c>
      <c r="B683" s="21" t="s">
        <v>1412</v>
      </c>
      <c r="C683" s="22"/>
      <c r="D683" s="23"/>
      <c r="E683" s="24" t="s">
        <v>160</v>
      </c>
      <c r="F683" s="28" t="n">
        <f>58</f>
        <v>58.0</v>
      </c>
      <c r="G683" s="25" t="n">
        <f>557664</f>
        <v>557664.0</v>
      </c>
      <c r="H683" s="25"/>
      <c r="I683" s="25" t="n">
        <f>182</f>
        <v>182.0</v>
      </c>
      <c r="J683" s="25" t="n">
        <f>9615</f>
        <v>9615.0</v>
      </c>
      <c r="K683" s="25" t="n">
        <f>3</f>
        <v>3.0</v>
      </c>
      <c r="L683" s="2" t="s">
        <v>242</v>
      </c>
      <c r="M683" s="26" t="n">
        <f>28903</f>
        <v>28903.0</v>
      </c>
      <c r="N683" s="3" t="s">
        <v>508</v>
      </c>
      <c r="O683" s="27" t="n">
        <f>3219</f>
        <v>3219.0</v>
      </c>
      <c r="P683" s="29" t="s">
        <v>1428</v>
      </c>
      <c r="Q683" s="25"/>
      <c r="R683" s="29" t="s">
        <v>1429</v>
      </c>
      <c r="S683" s="25" t="n">
        <f>9630592541</f>
        <v>9.630592541E9</v>
      </c>
      <c r="T683" s="25" t="n">
        <f>3173090</f>
        <v>3173090.0</v>
      </c>
      <c r="U683" s="3" t="s">
        <v>242</v>
      </c>
      <c r="V683" s="27" t="n">
        <f>30734583900</f>
        <v>3.07345839E10</v>
      </c>
      <c r="W683" s="3" t="s">
        <v>508</v>
      </c>
      <c r="X683" s="27" t="n">
        <f>3107064200</f>
        <v>3.1070642E9</v>
      </c>
      <c r="Y683" s="27"/>
      <c r="Z683" s="25" t="str">
        <f>"－"</f>
        <v>－</v>
      </c>
      <c r="AA683" s="25" t="n">
        <f>85464</f>
        <v>85464.0</v>
      </c>
      <c r="AB683" s="2" t="s">
        <v>156</v>
      </c>
      <c r="AC683" s="26" t="n">
        <f>100983</f>
        <v>100983.0</v>
      </c>
      <c r="AD683" s="3" t="s">
        <v>97</v>
      </c>
      <c r="AE683" s="27" t="n">
        <f>72478</f>
        <v>72478.0</v>
      </c>
    </row>
    <row r="684">
      <c r="A684" s="20" t="s">
        <v>1430</v>
      </c>
      <c r="B684" s="21" t="s">
        <v>1431</v>
      </c>
      <c r="C684" s="22"/>
      <c r="D684" s="23"/>
      <c r="E684" s="24" t="s">
        <v>124</v>
      </c>
      <c r="F684" s="28" t="n">
        <f>108</f>
        <v>108.0</v>
      </c>
      <c r="G684" s="25" t="n">
        <f>30635</f>
        <v>30635.0</v>
      </c>
      <c r="H684" s="25"/>
      <c r="I684" s="25" t="n">
        <f>360</f>
        <v>360.0</v>
      </c>
      <c r="J684" s="25" t="n">
        <f>284</f>
        <v>284.0</v>
      </c>
      <c r="K684" s="25" t="n">
        <f>3</f>
        <v>3.0</v>
      </c>
      <c r="L684" s="2" t="s">
        <v>945</v>
      </c>
      <c r="M684" s="26" t="n">
        <f>1151</f>
        <v>1151.0</v>
      </c>
      <c r="N684" s="3" t="s">
        <v>1297</v>
      </c>
      <c r="O684" s="27" t="n">
        <f>42</f>
        <v>42.0</v>
      </c>
      <c r="P684" s="29" t="s">
        <v>1432</v>
      </c>
      <c r="Q684" s="25"/>
      <c r="R684" s="29" t="s">
        <v>1433</v>
      </c>
      <c r="S684" s="25" t="n">
        <f>242691972</f>
        <v>2.42691972E8</v>
      </c>
      <c r="T684" s="25" t="n">
        <f>2571407</f>
        <v>2571407.0</v>
      </c>
      <c r="U684" s="3" t="s">
        <v>945</v>
      </c>
      <c r="V684" s="27" t="n">
        <f>1020350000</f>
        <v>1.02035E9</v>
      </c>
      <c r="W684" s="3" t="s">
        <v>1297</v>
      </c>
      <c r="X684" s="27" t="n">
        <f>33673000</f>
        <v>3.3673E7</v>
      </c>
      <c r="Y684" s="27"/>
      <c r="Z684" s="25" t="str">
        <f>"－"</f>
        <v>－</v>
      </c>
      <c r="AA684" s="25" t="n">
        <f>1548</f>
        <v>1548.0</v>
      </c>
      <c r="AB684" s="2" t="s">
        <v>129</v>
      </c>
      <c r="AC684" s="26" t="n">
        <f>1548</f>
        <v>1548.0</v>
      </c>
      <c r="AD684" s="3" t="s">
        <v>461</v>
      </c>
      <c r="AE684" s="27" t="n">
        <f>977</f>
        <v>977.0</v>
      </c>
    </row>
    <row r="685">
      <c r="A685" s="20" t="s">
        <v>1430</v>
      </c>
      <c r="B685" s="21" t="s">
        <v>1431</v>
      </c>
      <c r="C685" s="22"/>
      <c r="D685" s="23"/>
      <c r="E685" s="24" t="s">
        <v>130</v>
      </c>
      <c r="F685" s="28" t="n">
        <f>121</f>
        <v>121.0</v>
      </c>
      <c r="G685" s="25" t="n">
        <f>28139</f>
        <v>28139.0</v>
      </c>
      <c r="H685" s="25"/>
      <c r="I685" s="25" t="n">
        <f>12</f>
        <v>12.0</v>
      </c>
      <c r="J685" s="25" t="n">
        <f>233</f>
        <v>233.0</v>
      </c>
      <c r="K685" s="25" t="n">
        <f>0</f>
        <v>0.0</v>
      </c>
      <c r="L685" s="2" t="s">
        <v>1027</v>
      </c>
      <c r="M685" s="26" t="n">
        <f>1062</f>
        <v>1062.0</v>
      </c>
      <c r="N685" s="3" t="s">
        <v>698</v>
      </c>
      <c r="O685" s="27" t="n">
        <f>29</f>
        <v>29.0</v>
      </c>
      <c r="P685" s="29" t="s">
        <v>1434</v>
      </c>
      <c r="Q685" s="25"/>
      <c r="R685" s="29" t="s">
        <v>1435</v>
      </c>
      <c r="S685" s="25" t="n">
        <f>215218008</f>
        <v>2.15218008E8</v>
      </c>
      <c r="T685" s="25" t="n">
        <f>108000</f>
        <v>108000.0</v>
      </c>
      <c r="U685" s="3" t="s">
        <v>1027</v>
      </c>
      <c r="V685" s="27" t="n">
        <f>1046840000</f>
        <v>1.04684E9</v>
      </c>
      <c r="W685" s="3" t="s">
        <v>698</v>
      </c>
      <c r="X685" s="27" t="n">
        <f>24575000</f>
        <v>2.4575E7</v>
      </c>
      <c r="Y685" s="27"/>
      <c r="Z685" s="25" t="str">
        <f>"－"</f>
        <v>－</v>
      </c>
      <c r="AA685" s="25" t="n">
        <f>1416</f>
        <v>1416.0</v>
      </c>
      <c r="AB685" s="2" t="s">
        <v>670</v>
      </c>
      <c r="AC685" s="26" t="n">
        <f>2065</f>
        <v>2065.0</v>
      </c>
      <c r="AD685" s="3" t="s">
        <v>508</v>
      </c>
      <c r="AE685" s="27" t="n">
        <f>1146</f>
        <v>1146.0</v>
      </c>
    </row>
    <row r="686">
      <c r="A686" s="20" t="s">
        <v>1430</v>
      </c>
      <c r="B686" s="21" t="s">
        <v>1431</v>
      </c>
      <c r="C686" s="22"/>
      <c r="D686" s="23"/>
      <c r="E686" s="24" t="s">
        <v>136</v>
      </c>
      <c r="F686" s="28" t="n">
        <f>124</f>
        <v>124.0</v>
      </c>
      <c r="G686" s="25" t="n">
        <f>13772</f>
        <v>13772.0</v>
      </c>
      <c r="H686" s="25"/>
      <c r="I686" s="25" t="str">
        <f>"－"</f>
        <v>－</v>
      </c>
      <c r="J686" s="25" t="n">
        <f>111</f>
        <v>111.0</v>
      </c>
      <c r="K686" s="25" t="str">
        <f>"－"</f>
        <v>－</v>
      </c>
      <c r="L686" s="2" t="s">
        <v>947</v>
      </c>
      <c r="M686" s="26" t="n">
        <f>498</f>
        <v>498.0</v>
      </c>
      <c r="N686" s="3" t="s">
        <v>529</v>
      </c>
      <c r="O686" s="27" t="n">
        <f>8</f>
        <v>8.0</v>
      </c>
      <c r="P686" s="29" t="s">
        <v>1436</v>
      </c>
      <c r="Q686" s="25"/>
      <c r="R686" s="29" t="s">
        <v>262</v>
      </c>
      <c r="S686" s="25" t="n">
        <f>95374145</f>
        <v>9.5374145E7</v>
      </c>
      <c r="T686" s="25" t="str">
        <f>"－"</f>
        <v>－</v>
      </c>
      <c r="U686" s="3" t="s">
        <v>947</v>
      </c>
      <c r="V686" s="27" t="n">
        <f>420061000</f>
        <v>4.20061E8</v>
      </c>
      <c r="W686" s="3" t="s">
        <v>529</v>
      </c>
      <c r="X686" s="27" t="n">
        <f>6844000</f>
        <v>6844000.0</v>
      </c>
      <c r="Y686" s="27"/>
      <c r="Z686" s="25" t="str">
        <f>"－"</f>
        <v>－</v>
      </c>
      <c r="AA686" s="25" t="n">
        <f>1865</f>
        <v>1865.0</v>
      </c>
      <c r="AB686" s="2" t="s">
        <v>129</v>
      </c>
      <c r="AC686" s="26" t="n">
        <f>1865</f>
        <v>1865.0</v>
      </c>
      <c r="AD686" s="3" t="s">
        <v>321</v>
      </c>
      <c r="AE686" s="27" t="n">
        <f>1383</f>
        <v>1383.0</v>
      </c>
    </row>
    <row r="687">
      <c r="A687" s="20" t="s">
        <v>1430</v>
      </c>
      <c r="B687" s="21" t="s">
        <v>1431</v>
      </c>
      <c r="C687" s="22"/>
      <c r="D687" s="23"/>
      <c r="E687" s="24" t="s">
        <v>142</v>
      </c>
      <c r="F687" s="28" t="n">
        <f>120</f>
        <v>120.0</v>
      </c>
      <c r="G687" s="25" t="n">
        <f>24730</f>
        <v>24730.0</v>
      </c>
      <c r="H687" s="25"/>
      <c r="I687" s="25" t="n">
        <f>17</f>
        <v>17.0</v>
      </c>
      <c r="J687" s="25" t="n">
        <f>206</f>
        <v>206.0</v>
      </c>
      <c r="K687" s="25" t="n">
        <f>0</f>
        <v>0.0</v>
      </c>
      <c r="L687" s="2" t="s">
        <v>120</v>
      </c>
      <c r="M687" s="26" t="n">
        <f>636</f>
        <v>636.0</v>
      </c>
      <c r="N687" s="3" t="s">
        <v>71</v>
      </c>
      <c r="O687" s="27" t="n">
        <f>26</f>
        <v>26.0</v>
      </c>
      <c r="P687" s="29" t="s">
        <v>1437</v>
      </c>
      <c r="Q687" s="25"/>
      <c r="R687" s="29" t="s">
        <v>1438</v>
      </c>
      <c r="S687" s="25" t="n">
        <f>190550925</f>
        <v>1.90550925E8</v>
      </c>
      <c r="T687" s="25" t="n">
        <f>127508</f>
        <v>127508.0</v>
      </c>
      <c r="U687" s="3" t="s">
        <v>120</v>
      </c>
      <c r="V687" s="27" t="n">
        <f>557672000</f>
        <v>5.57672E8</v>
      </c>
      <c r="W687" s="3" t="s">
        <v>71</v>
      </c>
      <c r="X687" s="27" t="n">
        <f>23444000</f>
        <v>2.3444E7</v>
      </c>
      <c r="Y687" s="27"/>
      <c r="Z687" s="25" t="str">
        <f>"－"</f>
        <v>－</v>
      </c>
      <c r="AA687" s="25" t="n">
        <f>2279</f>
        <v>2279.0</v>
      </c>
      <c r="AB687" s="2" t="s">
        <v>754</v>
      </c>
      <c r="AC687" s="26" t="n">
        <f>2395</f>
        <v>2395.0</v>
      </c>
      <c r="AD687" s="3" t="s">
        <v>751</v>
      </c>
      <c r="AE687" s="27" t="n">
        <f>1521</f>
        <v>1521.0</v>
      </c>
    </row>
    <row r="688">
      <c r="A688" s="20" t="s">
        <v>1430</v>
      </c>
      <c r="B688" s="21" t="s">
        <v>1431</v>
      </c>
      <c r="C688" s="22"/>
      <c r="D688" s="23"/>
      <c r="E688" s="24" t="s">
        <v>148</v>
      </c>
      <c r="F688" s="28" t="n">
        <f>124</f>
        <v>124.0</v>
      </c>
      <c r="G688" s="25" t="n">
        <f>12568</f>
        <v>12568.0</v>
      </c>
      <c r="H688" s="25"/>
      <c r="I688" s="25" t="n">
        <f>13</f>
        <v>13.0</v>
      </c>
      <c r="J688" s="25" t="n">
        <f>101</f>
        <v>101.0</v>
      </c>
      <c r="K688" s="25" t="n">
        <f>0</f>
        <v>0.0</v>
      </c>
      <c r="L688" s="2" t="s">
        <v>972</v>
      </c>
      <c r="M688" s="26" t="n">
        <f>798</f>
        <v>798.0</v>
      </c>
      <c r="N688" s="3" t="s">
        <v>1067</v>
      </c>
      <c r="O688" s="27" t="n">
        <f>6</f>
        <v>6.0</v>
      </c>
      <c r="P688" s="29" t="s">
        <v>1439</v>
      </c>
      <c r="Q688" s="25"/>
      <c r="R688" s="29" t="s">
        <v>1440</v>
      </c>
      <c r="S688" s="25" t="n">
        <f>88176992</f>
        <v>8.8176992E7</v>
      </c>
      <c r="T688" s="25" t="n">
        <f>94669</f>
        <v>94669.0</v>
      </c>
      <c r="U688" s="3" t="s">
        <v>972</v>
      </c>
      <c r="V688" s="27" t="n">
        <f>634877000</f>
        <v>6.34877E8</v>
      </c>
      <c r="W688" s="3" t="s">
        <v>1067</v>
      </c>
      <c r="X688" s="27" t="n">
        <f>4962000</f>
        <v>4962000.0</v>
      </c>
      <c r="Y688" s="27"/>
      <c r="Z688" s="25" t="str">
        <f>"－"</f>
        <v>－</v>
      </c>
      <c r="AA688" s="25" t="n">
        <f>1336</f>
        <v>1336.0</v>
      </c>
      <c r="AB688" s="2" t="s">
        <v>225</v>
      </c>
      <c r="AC688" s="26" t="n">
        <f>2335</f>
        <v>2335.0</v>
      </c>
      <c r="AD688" s="3" t="s">
        <v>50</v>
      </c>
      <c r="AE688" s="27" t="n">
        <f>1314</f>
        <v>1314.0</v>
      </c>
    </row>
    <row r="689">
      <c r="A689" s="20" t="s">
        <v>1430</v>
      </c>
      <c r="B689" s="21" t="s">
        <v>1431</v>
      </c>
      <c r="C689" s="22"/>
      <c r="D689" s="23"/>
      <c r="E689" s="24" t="s">
        <v>151</v>
      </c>
      <c r="F689" s="28" t="n">
        <f>122</f>
        <v>122.0</v>
      </c>
      <c r="G689" s="25" t="n">
        <f>7973</f>
        <v>7973.0</v>
      </c>
      <c r="H689" s="25"/>
      <c r="I689" s="25" t="n">
        <f>9</f>
        <v>9.0</v>
      </c>
      <c r="J689" s="25" t="n">
        <f>65</f>
        <v>65.0</v>
      </c>
      <c r="K689" s="25" t="n">
        <f>0</f>
        <v>0.0</v>
      </c>
      <c r="L689" s="2" t="s">
        <v>346</v>
      </c>
      <c r="M689" s="26" t="n">
        <f>530</f>
        <v>530.0</v>
      </c>
      <c r="N689" s="3" t="s">
        <v>754</v>
      </c>
      <c r="O689" s="27" t="n">
        <f>3</f>
        <v>3.0</v>
      </c>
      <c r="P689" s="29" t="s">
        <v>1441</v>
      </c>
      <c r="Q689" s="25"/>
      <c r="R689" s="29" t="s">
        <v>1442</v>
      </c>
      <c r="S689" s="25" t="n">
        <f>64350730</f>
        <v>6.435073E7</v>
      </c>
      <c r="T689" s="25" t="n">
        <f>74508</f>
        <v>74508.0</v>
      </c>
      <c r="U689" s="3" t="s">
        <v>346</v>
      </c>
      <c r="V689" s="27" t="n">
        <f>526100000</f>
        <v>5.261E8</v>
      </c>
      <c r="W689" s="3" t="s">
        <v>754</v>
      </c>
      <c r="X689" s="27" t="n">
        <f>3120000</f>
        <v>3120000.0</v>
      </c>
      <c r="Y689" s="27"/>
      <c r="Z689" s="25" t="str">
        <f>"－"</f>
        <v>－</v>
      </c>
      <c r="AA689" s="25" t="n">
        <f>718</f>
        <v>718.0</v>
      </c>
      <c r="AB689" s="2" t="s">
        <v>422</v>
      </c>
      <c r="AC689" s="26" t="n">
        <f>1332</f>
        <v>1332.0</v>
      </c>
      <c r="AD689" s="3" t="s">
        <v>131</v>
      </c>
      <c r="AE689" s="27" t="n">
        <f>714</f>
        <v>714.0</v>
      </c>
    </row>
    <row r="690">
      <c r="A690" s="20" t="s">
        <v>1430</v>
      </c>
      <c r="B690" s="21" t="s">
        <v>1431</v>
      </c>
      <c r="C690" s="22"/>
      <c r="D690" s="23"/>
      <c r="E690" s="24" t="s">
        <v>157</v>
      </c>
      <c r="F690" s="28" t="n">
        <f>124</f>
        <v>124.0</v>
      </c>
      <c r="G690" s="25" t="n">
        <f>2056</f>
        <v>2056.0</v>
      </c>
      <c r="H690" s="25"/>
      <c r="I690" s="25" t="n">
        <f>10</f>
        <v>10.0</v>
      </c>
      <c r="J690" s="25" t="n">
        <f>17</f>
        <v>17.0</v>
      </c>
      <c r="K690" s="25" t="n">
        <f>0</f>
        <v>0.0</v>
      </c>
      <c r="L690" s="2" t="s">
        <v>671</v>
      </c>
      <c r="M690" s="26" t="n">
        <f>93</f>
        <v>93.0</v>
      </c>
      <c r="N690" s="3" t="s">
        <v>947</v>
      </c>
      <c r="O690" s="27" t="str">
        <f>"－"</f>
        <v>－</v>
      </c>
      <c r="P690" s="29" t="s">
        <v>1443</v>
      </c>
      <c r="Q690" s="25"/>
      <c r="R690" s="29" t="s">
        <v>1444</v>
      </c>
      <c r="S690" s="25" t="n">
        <f>34180403</f>
        <v>3.4180403E7</v>
      </c>
      <c r="T690" s="25" t="n">
        <f>88226</f>
        <v>88226.0</v>
      </c>
      <c r="U690" s="3" t="s">
        <v>671</v>
      </c>
      <c r="V690" s="27" t="n">
        <f>185534000</f>
        <v>1.85534E8</v>
      </c>
      <c r="W690" s="3" t="s">
        <v>947</v>
      </c>
      <c r="X690" s="27" t="str">
        <f>"－"</f>
        <v>－</v>
      </c>
      <c r="Y690" s="27"/>
      <c r="Z690" s="25" t="str">
        <f>"－"</f>
        <v>－</v>
      </c>
      <c r="AA690" s="25" t="n">
        <f>359</f>
        <v>359.0</v>
      </c>
      <c r="AB690" s="2" t="s">
        <v>1445</v>
      </c>
      <c r="AC690" s="26" t="n">
        <f>733</f>
        <v>733.0</v>
      </c>
      <c r="AD690" s="3" t="s">
        <v>269</v>
      </c>
      <c r="AE690" s="27" t="n">
        <f>359</f>
        <v>359.0</v>
      </c>
    </row>
    <row r="691">
      <c r="A691" s="20" t="s">
        <v>1430</v>
      </c>
      <c r="B691" s="21" t="s">
        <v>1431</v>
      </c>
      <c r="C691" s="22"/>
      <c r="D691" s="23"/>
      <c r="E691" s="24" t="s">
        <v>160</v>
      </c>
      <c r="F691" s="28" t="n">
        <f>58</f>
        <v>58.0</v>
      </c>
      <c r="G691" s="25" t="n">
        <f>332</f>
        <v>332.0</v>
      </c>
      <c r="H691" s="25"/>
      <c r="I691" s="25" t="n">
        <f>3</f>
        <v>3.0</v>
      </c>
      <c r="J691" s="25" t="n">
        <f>6</f>
        <v>6.0</v>
      </c>
      <c r="K691" s="25" t="n">
        <f>0</f>
        <v>0.0</v>
      </c>
      <c r="L691" s="2" t="s">
        <v>156</v>
      </c>
      <c r="M691" s="26" t="n">
        <f>43</f>
        <v>43.0</v>
      </c>
      <c r="N691" s="3" t="s">
        <v>265</v>
      </c>
      <c r="O691" s="27" t="str">
        <f>"－"</f>
        <v>－</v>
      </c>
      <c r="P691" s="29" t="s">
        <v>1446</v>
      </c>
      <c r="Q691" s="25"/>
      <c r="R691" s="29" t="s">
        <v>1447</v>
      </c>
      <c r="S691" s="25" t="n">
        <f>14762190</f>
        <v>1.476219E7</v>
      </c>
      <c r="T691" s="25" t="n">
        <f>59483</f>
        <v>59483.0</v>
      </c>
      <c r="U691" s="3" t="s">
        <v>156</v>
      </c>
      <c r="V691" s="27" t="n">
        <f>133719000</f>
        <v>1.33719E8</v>
      </c>
      <c r="W691" s="3" t="s">
        <v>265</v>
      </c>
      <c r="X691" s="27" t="str">
        <f>"－"</f>
        <v>－</v>
      </c>
      <c r="Y691" s="27"/>
      <c r="Z691" s="25" t="str">
        <f>"－"</f>
        <v>－</v>
      </c>
      <c r="AA691" s="25" t="n">
        <f>224</f>
        <v>224.0</v>
      </c>
      <c r="AB691" s="2" t="s">
        <v>422</v>
      </c>
      <c r="AC691" s="26" t="n">
        <f>404</f>
        <v>404.0</v>
      </c>
      <c r="AD691" s="3" t="s">
        <v>1292</v>
      </c>
      <c r="AE691" s="27" t="n">
        <f>223</f>
        <v>223.0</v>
      </c>
    </row>
    <row r="692">
      <c r="A692" s="20" t="s">
        <v>1448</v>
      </c>
      <c r="B692" s="21" t="s">
        <v>1449</v>
      </c>
      <c r="C692" s="22"/>
      <c r="D692" s="23"/>
      <c r="E692" s="24" t="s">
        <v>124</v>
      </c>
      <c r="F692" s="28" t="n">
        <f>108</f>
        <v>108.0</v>
      </c>
      <c r="G692" s="25" t="n">
        <f>762302</f>
        <v>762302.0</v>
      </c>
      <c r="H692" s="25"/>
      <c r="I692" s="25" t="n">
        <f>825</f>
        <v>825.0</v>
      </c>
      <c r="J692" s="25" t="n">
        <f>7058</f>
        <v>7058.0</v>
      </c>
      <c r="K692" s="25" t="n">
        <f>8</f>
        <v>8.0</v>
      </c>
      <c r="L692" s="2" t="s">
        <v>271</v>
      </c>
      <c r="M692" s="26" t="n">
        <f>23076</f>
        <v>23076.0</v>
      </c>
      <c r="N692" s="3" t="s">
        <v>285</v>
      </c>
      <c r="O692" s="27" t="n">
        <f>3300</f>
        <v>3300.0</v>
      </c>
      <c r="P692" s="29" t="s">
        <v>1450</v>
      </c>
      <c r="Q692" s="25"/>
      <c r="R692" s="29" t="s">
        <v>1451</v>
      </c>
      <c r="S692" s="25" t="n">
        <f>11181260894</f>
        <v>1.1181260894E10</v>
      </c>
      <c r="T692" s="25" t="n">
        <f>11734866</f>
        <v>1.1734866E7</v>
      </c>
      <c r="U692" s="3" t="s">
        <v>271</v>
      </c>
      <c r="V692" s="27" t="n">
        <f>38628426000</f>
        <v>3.8628426E10</v>
      </c>
      <c r="W692" s="3" t="s">
        <v>285</v>
      </c>
      <c r="X692" s="27" t="n">
        <f>4884801000</f>
        <v>4.884801E9</v>
      </c>
      <c r="Y692" s="27"/>
      <c r="Z692" s="25" t="n">
        <f>506</f>
        <v>506.0</v>
      </c>
      <c r="AA692" s="25" t="n">
        <f>22589</f>
        <v>22589.0</v>
      </c>
      <c r="AB692" s="2" t="s">
        <v>1452</v>
      </c>
      <c r="AC692" s="26" t="n">
        <f>25744</f>
        <v>25744.0</v>
      </c>
      <c r="AD692" s="3" t="s">
        <v>562</v>
      </c>
      <c r="AE692" s="27" t="n">
        <f>20237</f>
        <v>20237.0</v>
      </c>
    </row>
    <row r="693">
      <c r="A693" s="20" t="s">
        <v>1448</v>
      </c>
      <c r="B693" s="21" t="s">
        <v>1449</v>
      </c>
      <c r="C693" s="22"/>
      <c r="D693" s="23"/>
      <c r="E693" s="24" t="s">
        <v>130</v>
      </c>
      <c r="F693" s="28" t="n">
        <f>121</f>
        <v>121.0</v>
      </c>
      <c r="G693" s="25" t="n">
        <f>1365789</f>
        <v>1365789.0</v>
      </c>
      <c r="H693" s="25"/>
      <c r="I693" s="25" t="n">
        <f>419</f>
        <v>419.0</v>
      </c>
      <c r="J693" s="25" t="n">
        <f>11288</f>
        <v>11288.0</v>
      </c>
      <c r="K693" s="25" t="n">
        <f>3</f>
        <v>3.0</v>
      </c>
      <c r="L693" s="2" t="s">
        <v>343</v>
      </c>
      <c r="M693" s="26" t="n">
        <f>27160</f>
        <v>27160.0</v>
      </c>
      <c r="N693" s="3" t="s">
        <v>963</v>
      </c>
      <c r="O693" s="27" t="n">
        <f>3060</f>
        <v>3060.0</v>
      </c>
      <c r="P693" s="29" t="s">
        <v>1453</v>
      </c>
      <c r="Q693" s="25"/>
      <c r="R693" s="29" t="s">
        <v>1454</v>
      </c>
      <c r="S693" s="25" t="n">
        <f>22797108421</f>
        <v>2.2797108421E10</v>
      </c>
      <c r="T693" s="25" t="n">
        <f>7384335</f>
        <v>7384335.0</v>
      </c>
      <c r="U693" s="3" t="s">
        <v>1114</v>
      </c>
      <c r="V693" s="27" t="n">
        <f>58595744000</f>
        <v>5.8595744E10</v>
      </c>
      <c r="W693" s="3" t="s">
        <v>963</v>
      </c>
      <c r="X693" s="27" t="n">
        <f>6433256500</f>
        <v>6.4332565E9</v>
      </c>
      <c r="Y693" s="27"/>
      <c r="Z693" s="25" t="n">
        <f>618</f>
        <v>618.0</v>
      </c>
      <c r="AA693" s="25" t="n">
        <f>36117</f>
        <v>36117.0</v>
      </c>
      <c r="AB693" s="2" t="s">
        <v>251</v>
      </c>
      <c r="AC693" s="26" t="n">
        <f>36117</f>
        <v>36117.0</v>
      </c>
      <c r="AD693" s="3" t="s">
        <v>156</v>
      </c>
      <c r="AE693" s="27" t="n">
        <f>21916</f>
        <v>21916.0</v>
      </c>
    </row>
    <row r="694">
      <c r="A694" s="20" t="s">
        <v>1448</v>
      </c>
      <c r="B694" s="21" t="s">
        <v>1449</v>
      </c>
      <c r="C694" s="22"/>
      <c r="D694" s="23"/>
      <c r="E694" s="24" t="s">
        <v>136</v>
      </c>
      <c r="F694" s="28" t="n">
        <f>124</f>
        <v>124.0</v>
      </c>
      <c r="G694" s="25" t="n">
        <f>1243316</f>
        <v>1243316.0</v>
      </c>
      <c r="H694" s="25"/>
      <c r="I694" s="25" t="n">
        <f>896</f>
        <v>896.0</v>
      </c>
      <c r="J694" s="25" t="n">
        <f>10027</f>
        <v>10027.0</v>
      </c>
      <c r="K694" s="25" t="n">
        <f>7</f>
        <v>7.0</v>
      </c>
      <c r="L694" s="2" t="s">
        <v>197</v>
      </c>
      <c r="M694" s="26" t="n">
        <f>22723</f>
        <v>22723.0</v>
      </c>
      <c r="N694" s="3" t="s">
        <v>271</v>
      </c>
      <c r="O694" s="27" t="n">
        <f>4863</f>
        <v>4863.0</v>
      </c>
      <c r="P694" s="29" t="s">
        <v>1455</v>
      </c>
      <c r="Q694" s="25"/>
      <c r="R694" s="29" t="s">
        <v>1456</v>
      </c>
      <c r="S694" s="25" t="n">
        <f>18162744448</f>
        <v>1.8162744448E10</v>
      </c>
      <c r="T694" s="25" t="n">
        <f>13168754</f>
        <v>1.3168754E7</v>
      </c>
      <c r="U694" s="3" t="s">
        <v>197</v>
      </c>
      <c r="V694" s="27" t="n">
        <f>41348027500</f>
        <v>4.13480275E10</v>
      </c>
      <c r="W694" s="3" t="s">
        <v>271</v>
      </c>
      <c r="X694" s="27" t="n">
        <f>8353539500</f>
        <v>8.3535395E9</v>
      </c>
      <c r="Y694" s="27"/>
      <c r="Z694" s="25" t="n">
        <f>93</f>
        <v>93.0</v>
      </c>
      <c r="AA694" s="25" t="n">
        <f>37014</f>
        <v>37014.0</v>
      </c>
      <c r="AB694" s="2" t="s">
        <v>1379</v>
      </c>
      <c r="AC694" s="26" t="n">
        <f>47141</f>
        <v>47141.0</v>
      </c>
      <c r="AD694" s="3" t="s">
        <v>991</v>
      </c>
      <c r="AE694" s="27" t="n">
        <f>32131</f>
        <v>32131.0</v>
      </c>
    </row>
    <row r="695">
      <c r="A695" s="20" t="s">
        <v>1448</v>
      </c>
      <c r="B695" s="21" t="s">
        <v>1449</v>
      </c>
      <c r="C695" s="22"/>
      <c r="D695" s="23"/>
      <c r="E695" s="24" t="s">
        <v>142</v>
      </c>
      <c r="F695" s="28" t="n">
        <f>120</f>
        <v>120.0</v>
      </c>
      <c r="G695" s="25" t="n">
        <f>1249917</f>
        <v>1249917.0</v>
      </c>
      <c r="H695" s="25"/>
      <c r="I695" s="25" t="n">
        <f>180</f>
        <v>180.0</v>
      </c>
      <c r="J695" s="25" t="n">
        <f>10416</f>
        <v>10416.0</v>
      </c>
      <c r="K695" s="25" t="n">
        <f>2</f>
        <v>2.0</v>
      </c>
      <c r="L695" s="2" t="s">
        <v>74</v>
      </c>
      <c r="M695" s="26" t="n">
        <f>27241</f>
        <v>27241.0</v>
      </c>
      <c r="N695" s="3" t="s">
        <v>873</v>
      </c>
      <c r="O695" s="27" t="n">
        <f>4490</f>
        <v>4490.0</v>
      </c>
      <c r="P695" s="29" t="s">
        <v>1457</v>
      </c>
      <c r="Q695" s="25"/>
      <c r="R695" s="29" t="s">
        <v>1458</v>
      </c>
      <c r="S695" s="25" t="n">
        <f>20224264167</f>
        <v>2.0224264167E10</v>
      </c>
      <c r="T695" s="25" t="n">
        <f>2899550</f>
        <v>2899550.0</v>
      </c>
      <c r="U695" s="3" t="s">
        <v>74</v>
      </c>
      <c r="V695" s="27" t="n">
        <f>57900030000</f>
        <v>5.790003E10</v>
      </c>
      <c r="W695" s="3" t="s">
        <v>873</v>
      </c>
      <c r="X695" s="27" t="n">
        <f>8023979500</f>
        <v>8.0239795E9</v>
      </c>
      <c r="Y695" s="27"/>
      <c r="Z695" s="25" t="n">
        <f>76</f>
        <v>76.0</v>
      </c>
      <c r="AA695" s="25" t="n">
        <f>28812</f>
        <v>28812.0</v>
      </c>
      <c r="AB695" s="2" t="s">
        <v>123</v>
      </c>
      <c r="AC695" s="26" t="n">
        <f>37262</f>
        <v>37262.0</v>
      </c>
      <c r="AD695" s="3" t="s">
        <v>135</v>
      </c>
      <c r="AE695" s="27" t="n">
        <f>25277</f>
        <v>25277.0</v>
      </c>
    </row>
    <row r="696">
      <c r="A696" s="20" t="s">
        <v>1448</v>
      </c>
      <c r="B696" s="21" t="s">
        <v>1449</v>
      </c>
      <c r="C696" s="22"/>
      <c r="D696" s="23"/>
      <c r="E696" s="24" t="s">
        <v>148</v>
      </c>
      <c r="F696" s="28" t="n">
        <f>124</f>
        <v>124.0</v>
      </c>
      <c r="G696" s="25" t="n">
        <f>1272109</f>
        <v>1272109.0</v>
      </c>
      <c r="H696" s="25"/>
      <c r="I696" s="25" t="n">
        <f>249</f>
        <v>249.0</v>
      </c>
      <c r="J696" s="25" t="n">
        <f>10259</f>
        <v>10259.0</v>
      </c>
      <c r="K696" s="25" t="n">
        <f>2</f>
        <v>2.0</v>
      </c>
      <c r="L696" s="2" t="s">
        <v>1161</v>
      </c>
      <c r="M696" s="26" t="n">
        <f>25712</f>
        <v>25712.0</v>
      </c>
      <c r="N696" s="3" t="s">
        <v>81</v>
      </c>
      <c r="O696" s="27" t="n">
        <f>3882</f>
        <v>3882.0</v>
      </c>
      <c r="P696" s="29" t="s">
        <v>1459</v>
      </c>
      <c r="Q696" s="25"/>
      <c r="R696" s="29" t="s">
        <v>1460</v>
      </c>
      <c r="S696" s="25" t="n">
        <f>20742804831</f>
        <v>2.0742804831E10</v>
      </c>
      <c r="T696" s="25" t="n">
        <f>4099452</f>
        <v>4099452.0</v>
      </c>
      <c r="U696" s="3" t="s">
        <v>1161</v>
      </c>
      <c r="V696" s="27" t="n">
        <f>50259792000</f>
        <v>5.0259792E10</v>
      </c>
      <c r="W696" s="3" t="s">
        <v>81</v>
      </c>
      <c r="X696" s="27" t="n">
        <f>8401626000</f>
        <v>8.401626E9</v>
      </c>
      <c r="Y696" s="27"/>
      <c r="Z696" s="25" t="n">
        <f>14</f>
        <v>14.0</v>
      </c>
      <c r="AA696" s="25" t="n">
        <f>32427</f>
        <v>32427.0</v>
      </c>
      <c r="AB696" s="2" t="s">
        <v>735</v>
      </c>
      <c r="AC696" s="26" t="n">
        <f>35064</f>
        <v>35064.0</v>
      </c>
      <c r="AD696" s="3" t="s">
        <v>232</v>
      </c>
      <c r="AE696" s="27" t="n">
        <f>24519</f>
        <v>24519.0</v>
      </c>
    </row>
    <row r="697">
      <c r="A697" s="20" t="s">
        <v>1448</v>
      </c>
      <c r="B697" s="21" t="s">
        <v>1449</v>
      </c>
      <c r="C697" s="22"/>
      <c r="D697" s="23"/>
      <c r="E697" s="24" t="s">
        <v>151</v>
      </c>
      <c r="F697" s="28" t="n">
        <f>122</f>
        <v>122.0</v>
      </c>
      <c r="G697" s="25" t="n">
        <f>1179747</f>
        <v>1179747.0</v>
      </c>
      <c r="H697" s="25"/>
      <c r="I697" s="25" t="n">
        <f>199</f>
        <v>199.0</v>
      </c>
      <c r="J697" s="25" t="n">
        <f>9670</f>
        <v>9670.0</v>
      </c>
      <c r="K697" s="25" t="n">
        <f>2</f>
        <v>2.0</v>
      </c>
      <c r="L697" s="2" t="s">
        <v>233</v>
      </c>
      <c r="M697" s="26" t="n">
        <f>28292</f>
        <v>28292.0</v>
      </c>
      <c r="N697" s="3" t="s">
        <v>153</v>
      </c>
      <c r="O697" s="27" t="n">
        <f>2832</f>
        <v>2832.0</v>
      </c>
      <c r="P697" s="29" t="s">
        <v>1461</v>
      </c>
      <c r="Q697" s="25"/>
      <c r="R697" s="29" t="s">
        <v>1462</v>
      </c>
      <c r="S697" s="25" t="n">
        <f>20877183770</f>
        <v>2.087718377E10</v>
      </c>
      <c r="T697" s="25" t="n">
        <f>3668922</f>
        <v>3668922.0</v>
      </c>
      <c r="U697" s="3" t="s">
        <v>233</v>
      </c>
      <c r="V697" s="27" t="n">
        <f>63853098000</f>
        <v>6.3853098E10</v>
      </c>
      <c r="W697" s="3" t="s">
        <v>153</v>
      </c>
      <c r="X697" s="27" t="n">
        <f>5977867500</f>
        <v>5.9778675E9</v>
      </c>
      <c r="Y697" s="27"/>
      <c r="Z697" s="25" t="n">
        <f>513</f>
        <v>513.0</v>
      </c>
      <c r="AA697" s="25" t="n">
        <f>36287</f>
        <v>36287.0</v>
      </c>
      <c r="AB697" s="2" t="s">
        <v>236</v>
      </c>
      <c r="AC697" s="26" t="n">
        <f>43869</f>
        <v>43869.0</v>
      </c>
      <c r="AD697" s="3" t="s">
        <v>1094</v>
      </c>
      <c r="AE697" s="27" t="n">
        <f>24580</f>
        <v>24580.0</v>
      </c>
    </row>
    <row r="698">
      <c r="A698" s="20" t="s">
        <v>1448</v>
      </c>
      <c r="B698" s="21" t="s">
        <v>1449</v>
      </c>
      <c r="C698" s="22"/>
      <c r="D698" s="23"/>
      <c r="E698" s="24" t="s">
        <v>157</v>
      </c>
      <c r="F698" s="28" t="n">
        <f>124</f>
        <v>124.0</v>
      </c>
      <c r="G698" s="25" t="n">
        <f>1157621</f>
        <v>1157621.0</v>
      </c>
      <c r="H698" s="25"/>
      <c r="I698" s="25" t="n">
        <f>178</f>
        <v>178.0</v>
      </c>
      <c r="J698" s="25" t="n">
        <f>9336</f>
        <v>9336.0</v>
      </c>
      <c r="K698" s="25" t="n">
        <f>1</f>
        <v>1.0</v>
      </c>
      <c r="L698" s="2" t="s">
        <v>555</v>
      </c>
      <c r="M698" s="26" t="n">
        <f>20815</f>
        <v>20815.0</v>
      </c>
      <c r="N698" s="3" t="s">
        <v>50</v>
      </c>
      <c r="O698" s="27" t="n">
        <f>3716</f>
        <v>3716.0</v>
      </c>
      <c r="P698" s="29" t="s">
        <v>1463</v>
      </c>
      <c r="Q698" s="25"/>
      <c r="R698" s="29" t="s">
        <v>1464</v>
      </c>
      <c r="S698" s="25" t="n">
        <f>20073068964</f>
        <v>2.0073068964E10</v>
      </c>
      <c r="T698" s="25" t="n">
        <f>3121516</f>
        <v>3121516.0</v>
      </c>
      <c r="U698" s="3" t="s">
        <v>555</v>
      </c>
      <c r="V698" s="27" t="n">
        <f>45795048500</f>
        <v>4.57950485E10</v>
      </c>
      <c r="W698" s="3" t="s">
        <v>50</v>
      </c>
      <c r="X698" s="27" t="n">
        <f>8163493000</f>
        <v>8.163493E9</v>
      </c>
      <c r="Y698" s="27"/>
      <c r="Z698" s="25" t="n">
        <f>1700</f>
        <v>1700.0</v>
      </c>
      <c r="AA698" s="25" t="n">
        <f>29390</f>
        <v>29390.0</v>
      </c>
      <c r="AB698" s="2" t="s">
        <v>570</v>
      </c>
      <c r="AC698" s="26" t="n">
        <f>39011</f>
        <v>39011.0</v>
      </c>
      <c r="AD698" s="3" t="s">
        <v>581</v>
      </c>
      <c r="AE698" s="27" t="n">
        <f>26984</f>
        <v>26984.0</v>
      </c>
    </row>
    <row r="699">
      <c r="A699" s="20" t="s">
        <v>1448</v>
      </c>
      <c r="B699" s="21" t="s">
        <v>1449</v>
      </c>
      <c r="C699" s="22"/>
      <c r="D699" s="23"/>
      <c r="E699" s="24" t="s">
        <v>160</v>
      </c>
      <c r="F699" s="28" t="n">
        <f>58</f>
        <v>58.0</v>
      </c>
      <c r="G699" s="25" t="n">
        <f>813164</f>
        <v>813164.0</v>
      </c>
      <c r="H699" s="25"/>
      <c r="I699" s="25" t="n">
        <f>5327</f>
        <v>5327.0</v>
      </c>
      <c r="J699" s="25" t="n">
        <f>14020</f>
        <v>14020.0</v>
      </c>
      <c r="K699" s="25" t="n">
        <f>92</f>
        <v>92.0</v>
      </c>
      <c r="L699" s="2" t="s">
        <v>290</v>
      </c>
      <c r="M699" s="26" t="n">
        <f>25550</f>
        <v>25550.0</v>
      </c>
      <c r="N699" s="3" t="s">
        <v>267</v>
      </c>
      <c r="O699" s="27" t="n">
        <f>6077</f>
        <v>6077.0</v>
      </c>
      <c r="P699" s="29" t="s">
        <v>1465</v>
      </c>
      <c r="Q699" s="25"/>
      <c r="R699" s="29" t="s">
        <v>1466</v>
      </c>
      <c r="S699" s="25" t="n">
        <f>30409193112</f>
        <v>3.0409193112E10</v>
      </c>
      <c r="T699" s="25" t="n">
        <f>198328664</f>
        <v>1.98328664E8</v>
      </c>
      <c r="U699" s="3" t="s">
        <v>290</v>
      </c>
      <c r="V699" s="27" t="n">
        <f>55983422500</f>
        <v>5.59834225E10</v>
      </c>
      <c r="W699" s="3" t="s">
        <v>267</v>
      </c>
      <c r="X699" s="27" t="n">
        <f>13368714000</f>
        <v>1.3368714E10</v>
      </c>
      <c r="Y699" s="27"/>
      <c r="Z699" s="25" t="n">
        <f>1168</f>
        <v>1168.0</v>
      </c>
      <c r="AA699" s="25" t="n">
        <f>30768</f>
        <v>30768.0</v>
      </c>
      <c r="AB699" s="2" t="s">
        <v>411</v>
      </c>
      <c r="AC699" s="26" t="n">
        <f>51986</f>
        <v>51986.0</v>
      </c>
      <c r="AD699" s="3" t="s">
        <v>171</v>
      </c>
      <c r="AE699" s="27" t="n">
        <f>27082</f>
        <v>27082.0</v>
      </c>
    </row>
    <row r="700">
      <c r="A700" s="20" t="s">
        <v>1467</v>
      </c>
      <c r="B700" s="21" t="s">
        <v>1468</v>
      </c>
      <c r="C700" s="22"/>
      <c r="D700" s="23"/>
      <c r="E700" s="24" t="s">
        <v>124</v>
      </c>
      <c r="F700" s="28" t="n">
        <f>108</f>
        <v>108.0</v>
      </c>
      <c r="G700" s="25" t="n">
        <f>97249</f>
        <v>97249.0</v>
      </c>
      <c r="H700" s="25"/>
      <c r="I700" s="25" t="n">
        <f>376</f>
        <v>376.0</v>
      </c>
      <c r="J700" s="25" t="n">
        <f>900</f>
        <v>900.0</v>
      </c>
      <c r="K700" s="25" t="n">
        <f>3</f>
        <v>3.0</v>
      </c>
      <c r="L700" s="2" t="s">
        <v>271</v>
      </c>
      <c r="M700" s="26" t="n">
        <f>6027</f>
        <v>6027.0</v>
      </c>
      <c r="N700" s="3" t="s">
        <v>1469</v>
      </c>
      <c r="O700" s="27" t="n">
        <f>263</f>
        <v>263.0</v>
      </c>
      <c r="P700" s="29" t="s">
        <v>1470</v>
      </c>
      <c r="Q700" s="25"/>
      <c r="R700" s="29" t="s">
        <v>1471</v>
      </c>
      <c r="S700" s="25" t="n">
        <f>287792411</f>
        <v>2.87792411E8</v>
      </c>
      <c r="T700" s="25" t="n">
        <f>1053664</f>
        <v>1053664.0</v>
      </c>
      <c r="U700" s="3" t="s">
        <v>271</v>
      </c>
      <c r="V700" s="27" t="n">
        <f>2011479500</f>
        <v>2.0114795E9</v>
      </c>
      <c r="W700" s="3" t="s">
        <v>1469</v>
      </c>
      <c r="X700" s="27" t="n">
        <f>82431600</f>
        <v>8.24316E7</v>
      </c>
      <c r="Y700" s="27"/>
      <c r="Z700" s="25" t="str">
        <f>"－"</f>
        <v>－</v>
      </c>
      <c r="AA700" s="25" t="n">
        <f>1992</f>
        <v>1992.0</v>
      </c>
      <c r="AB700" s="2" t="s">
        <v>334</v>
      </c>
      <c r="AC700" s="26" t="n">
        <f>2614</f>
        <v>2614.0</v>
      </c>
      <c r="AD700" s="3" t="s">
        <v>1122</v>
      </c>
      <c r="AE700" s="27" t="n">
        <f>1961</f>
        <v>1961.0</v>
      </c>
    </row>
    <row r="701">
      <c r="A701" s="20" t="s">
        <v>1467</v>
      </c>
      <c r="B701" s="21" t="s">
        <v>1468</v>
      </c>
      <c r="C701" s="22"/>
      <c r="D701" s="23"/>
      <c r="E701" s="24" t="s">
        <v>130</v>
      </c>
      <c r="F701" s="28" t="n">
        <f>121</f>
        <v>121.0</v>
      </c>
      <c r="G701" s="25" t="n">
        <f>160684</f>
        <v>160684.0</v>
      </c>
      <c r="H701" s="25"/>
      <c r="I701" s="25" t="n">
        <f>3</f>
        <v>3.0</v>
      </c>
      <c r="J701" s="25" t="n">
        <f>1328</f>
        <v>1328.0</v>
      </c>
      <c r="K701" s="25" t="n">
        <f>0</f>
        <v>0.0</v>
      </c>
      <c r="L701" s="2" t="s">
        <v>147</v>
      </c>
      <c r="M701" s="26" t="n">
        <f>4140</f>
        <v>4140.0</v>
      </c>
      <c r="N701" s="3" t="s">
        <v>963</v>
      </c>
      <c r="O701" s="27" t="n">
        <f>290</f>
        <v>290.0</v>
      </c>
      <c r="P701" s="29" t="s">
        <v>1472</v>
      </c>
      <c r="Q701" s="25"/>
      <c r="R701" s="29" t="s">
        <v>1473</v>
      </c>
      <c r="S701" s="25" t="n">
        <f>528795345</f>
        <v>5.28795345E8</v>
      </c>
      <c r="T701" s="25" t="n">
        <f>9000</f>
        <v>9000.0</v>
      </c>
      <c r="U701" s="3" t="s">
        <v>147</v>
      </c>
      <c r="V701" s="27" t="n">
        <f>1488080400</f>
        <v>1.4880804E9</v>
      </c>
      <c r="W701" s="3" t="s">
        <v>963</v>
      </c>
      <c r="X701" s="27" t="n">
        <f>121966100</f>
        <v>1.219661E8</v>
      </c>
      <c r="Y701" s="27"/>
      <c r="Z701" s="25" t="str">
        <f>"－"</f>
        <v>－</v>
      </c>
      <c r="AA701" s="25" t="n">
        <f>3111</f>
        <v>3111.0</v>
      </c>
      <c r="AB701" s="2" t="s">
        <v>251</v>
      </c>
      <c r="AC701" s="26" t="n">
        <f>3111</f>
        <v>3111.0</v>
      </c>
      <c r="AD701" s="3" t="s">
        <v>57</v>
      </c>
      <c r="AE701" s="27" t="n">
        <f>1708</f>
        <v>1708.0</v>
      </c>
    </row>
    <row r="702">
      <c r="A702" s="20" t="s">
        <v>1467</v>
      </c>
      <c r="B702" s="21" t="s">
        <v>1468</v>
      </c>
      <c r="C702" s="22"/>
      <c r="D702" s="23"/>
      <c r="E702" s="24" t="s">
        <v>136</v>
      </c>
      <c r="F702" s="28" t="n">
        <f>124</f>
        <v>124.0</v>
      </c>
      <c r="G702" s="25" t="n">
        <f>207691</f>
        <v>207691.0</v>
      </c>
      <c r="H702" s="25"/>
      <c r="I702" s="25" t="n">
        <f>51</f>
        <v>51.0</v>
      </c>
      <c r="J702" s="25" t="n">
        <f>1675</f>
        <v>1675.0</v>
      </c>
      <c r="K702" s="25" t="n">
        <f>0</f>
        <v>0.0</v>
      </c>
      <c r="L702" s="2" t="s">
        <v>197</v>
      </c>
      <c r="M702" s="26" t="n">
        <f>5096</f>
        <v>5096.0</v>
      </c>
      <c r="N702" s="3" t="s">
        <v>846</v>
      </c>
      <c r="O702" s="27" t="n">
        <f>572</f>
        <v>572.0</v>
      </c>
      <c r="P702" s="29" t="s">
        <v>1474</v>
      </c>
      <c r="Q702" s="25"/>
      <c r="R702" s="29" t="s">
        <v>1475</v>
      </c>
      <c r="S702" s="25" t="n">
        <f>609120556</f>
        <v>6.09120556E8</v>
      </c>
      <c r="T702" s="25" t="n">
        <f>141579</f>
        <v>141579.0</v>
      </c>
      <c r="U702" s="3" t="s">
        <v>197</v>
      </c>
      <c r="V702" s="27" t="n">
        <f>1852220000</f>
        <v>1.85222E9</v>
      </c>
      <c r="W702" s="3" t="s">
        <v>846</v>
      </c>
      <c r="X702" s="27" t="n">
        <f>211253900</f>
        <v>2.112539E8</v>
      </c>
      <c r="Y702" s="27"/>
      <c r="Z702" s="25" t="str">
        <f>"－"</f>
        <v>－</v>
      </c>
      <c r="AA702" s="25" t="n">
        <f>3343</f>
        <v>3343.0</v>
      </c>
      <c r="AB702" s="2" t="s">
        <v>1379</v>
      </c>
      <c r="AC702" s="26" t="n">
        <f>5589</f>
        <v>5589.0</v>
      </c>
      <c r="AD702" s="3" t="s">
        <v>229</v>
      </c>
      <c r="AE702" s="27" t="n">
        <f>3002</f>
        <v>3002.0</v>
      </c>
    </row>
    <row r="703">
      <c r="A703" s="20" t="s">
        <v>1467</v>
      </c>
      <c r="B703" s="21" t="s">
        <v>1468</v>
      </c>
      <c r="C703" s="22"/>
      <c r="D703" s="23"/>
      <c r="E703" s="24" t="s">
        <v>142</v>
      </c>
      <c r="F703" s="28" t="n">
        <f>120</f>
        <v>120.0</v>
      </c>
      <c r="G703" s="25" t="n">
        <f>267289</f>
        <v>267289.0</v>
      </c>
      <c r="H703" s="25"/>
      <c r="I703" s="25" t="n">
        <f>60</f>
        <v>60.0</v>
      </c>
      <c r="J703" s="25" t="n">
        <f>2227</f>
        <v>2227.0</v>
      </c>
      <c r="K703" s="25" t="n">
        <f>1</f>
        <v>1.0</v>
      </c>
      <c r="L703" s="2" t="s">
        <v>74</v>
      </c>
      <c r="M703" s="26" t="n">
        <f>6430</f>
        <v>6430.0</v>
      </c>
      <c r="N703" s="3" t="s">
        <v>855</v>
      </c>
      <c r="O703" s="27" t="n">
        <f>757</f>
        <v>757.0</v>
      </c>
      <c r="P703" s="29" t="s">
        <v>1476</v>
      </c>
      <c r="Q703" s="25"/>
      <c r="R703" s="29" t="s">
        <v>1477</v>
      </c>
      <c r="S703" s="25" t="n">
        <f>863962348</f>
        <v>8.63962348E8</v>
      </c>
      <c r="T703" s="25" t="n">
        <f>196263</f>
        <v>196263.0</v>
      </c>
      <c r="U703" s="3" t="s">
        <v>74</v>
      </c>
      <c r="V703" s="27" t="n">
        <f>2716228500</f>
        <v>2.7162285E9</v>
      </c>
      <c r="W703" s="3" t="s">
        <v>855</v>
      </c>
      <c r="X703" s="27" t="n">
        <f>295389000</f>
        <v>2.95389E8</v>
      </c>
      <c r="Y703" s="27"/>
      <c r="Z703" s="25" t="str">
        <f>"－"</f>
        <v>－</v>
      </c>
      <c r="AA703" s="25" t="n">
        <f>2886</f>
        <v>2886.0</v>
      </c>
      <c r="AB703" s="2" t="s">
        <v>265</v>
      </c>
      <c r="AC703" s="26" t="n">
        <f>3732</f>
        <v>3732.0</v>
      </c>
      <c r="AD703" s="3" t="s">
        <v>108</v>
      </c>
      <c r="AE703" s="27" t="n">
        <f>2268</f>
        <v>2268.0</v>
      </c>
    </row>
    <row r="704">
      <c r="A704" s="20" t="s">
        <v>1467</v>
      </c>
      <c r="B704" s="21" t="s">
        <v>1468</v>
      </c>
      <c r="C704" s="22"/>
      <c r="D704" s="23"/>
      <c r="E704" s="24" t="s">
        <v>148</v>
      </c>
      <c r="F704" s="28" t="n">
        <f>124</f>
        <v>124.0</v>
      </c>
      <c r="G704" s="25" t="n">
        <f>223880</f>
        <v>223880.0</v>
      </c>
      <c r="H704" s="25"/>
      <c r="I704" s="25" t="n">
        <f>6</f>
        <v>6.0</v>
      </c>
      <c r="J704" s="25" t="n">
        <f>1805</f>
        <v>1805.0</v>
      </c>
      <c r="K704" s="25" t="n">
        <f>0</f>
        <v>0.0</v>
      </c>
      <c r="L704" s="2" t="s">
        <v>296</v>
      </c>
      <c r="M704" s="26" t="n">
        <f>3994</f>
        <v>3994.0</v>
      </c>
      <c r="N704" s="3" t="s">
        <v>138</v>
      </c>
      <c r="O704" s="27" t="n">
        <f>555</f>
        <v>555.0</v>
      </c>
      <c r="P704" s="29" t="s">
        <v>1478</v>
      </c>
      <c r="Q704" s="25"/>
      <c r="R704" s="29" t="s">
        <v>1479</v>
      </c>
      <c r="S704" s="25" t="n">
        <f>727735854</f>
        <v>7.27735854E8</v>
      </c>
      <c r="T704" s="25" t="n">
        <f>20602</f>
        <v>20602.0</v>
      </c>
      <c r="U704" s="3" t="s">
        <v>252</v>
      </c>
      <c r="V704" s="27" t="n">
        <f>1606772550</f>
        <v>1.60677255E9</v>
      </c>
      <c r="W704" s="3" t="s">
        <v>138</v>
      </c>
      <c r="X704" s="27" t="n">
        <f>238220550</f>
        <v>2.3822055E8</v>
      </c>
      <c r="Y704" s="27"/>
      <c r="Z704" s="25" t="str">
        <f>"－"</f>
        <v>－</v>
      </c>
      <c r="AA704" s="25" t="n">
        <f>3187</f>
        <v>3187.0</v>
      </c>
      <c r="AB704" s="2" t="s">
        <v>1116</v>
      </c>
      <c r="AC704" s="26" t="n">
        <f>3978</f>
        <v>3978.0</v>
      </c>
      <c r="AD704" s="3" t="s">
        <v>947</v>
      </c>
      <c r="AE704" s="27" t="n">
        <f>2713</f>
        <v>2713.0</v>
      </c>
    </row>
    <row r="705">
      <c r="A705" s="20" t="s">
        <v>1467</v>
      </c>
      <c r="B705" s="21" t="s">
        <v>1468</v>
      </c>
      <c r="C705" s="22"/>
      <c r="D705" s="23"/>
      <c r="E705" s="24" t="s">
        <v>151</v>
      </c>
      <c r="F705" s="28" t="n">
        <f>122</f>
        <v>122.0</v>
      </c>
      <c r="G705" s="25" t="n">
        <f>131138</f>
        <v>131138.0</v>
      </c>
      <c r="H705" s="25"/>
      <c r="I705" s="25" t="n">
        <f>4</f>
        <v>4.0</v>
      </c>
      <c r="J705" s="25" t="n">
        <f>1075</f>
        <v>1075.0</v>
      </c>
      <c r="K705" s="25" t="n">
        <f>0</f>
        <v>0.0</v>
      </c>
      <c r="L705" s="2" t="s">
        <v>233</v>
      </c>
      <c r="M705" s="26" t="n">
        <f>2871</f>
        <v>2871.0</v>
      </c>
      <c r="N705" s="3" t="s">
        <v>153</v>
      </c>
      <c r="O705" s="27" t="n">
        <f>301</f>
        <v>301.0</v>
      </c>
      <c r="P705" s="29" t="s">
        <v>1480</v>
      </c>
      <c r="Q705" s="25"/>
      <c r="R705" s="29" t="s">
        <v>1481</v>
      </c>
      <c r="S705" s="25" t="n">
        <f>463612234</f>
        <v>4.63612234E8</v>
      </c>
      <c r="T705" s="25" t="n">
        <f>13473</f>
        <v>13473.0</v>
      </c>
      <c r="U705" s="3" t="s">
        <v>233</v>
      </c>
      <c r="V705" s="27" t="n">
        <f>1296122500</f>
        <v>1.2961225E9</v>
      </c>
      <c r="W705" s="3" t="s">
        <v>153</v>
      </c>
      <c r="X705" s="27" t="n">
        <f>126689850</f>
        <v>1.2668985E8</v>
      </c>
      <c r="Y705" s="27"/>
      <c r="Z705" s="25" t="str">
        <f>"－"</f>
        <v>－</v>
      </c>
      <c r="AA705" s="25" t="n">
        <f>3539</f>
        <v>3539.0</v>
      </c>
      <c r="AB705" s="2" t="s">
        <v>57</v>
      </c>
      <c r="AC705" s="26" t="n">
        <f>3787</f>
        <v>3787.0</v>
      </c>
      <c r="AD705" s="3" t="s">
        <v>188</v>
      </c>
      <c r="AE705" s="27" t="n">
        <f>2668</f>
        <v>2668.0</v>
      </c>
    </row>
    <row r="706">
      <c r="A706" s="20" t="s">
        <v>1467</v>
      </c>
      <c r="B706" s="21" t="s">
        <v>1468</v>
      </c>
      <c r="C706" s="22"/>
      <c r="D706" s="23"/>
      <c r="E706" s="24" t="s">
        <v>157</v>
      </c>
      <c r="F706" s="28" t="n">
        <f>124</f>
        <v>124.0</v>
      </c>
      <c r="G706" s="25" t="n">
        <f>98633</f>
        <v>98633.0</v>
      </c>
      <c r="H706" s="25"/>
      <c r="I706" s="25" t="n">
        <f>2</f>
        <v>2.0</v>
      </c>
      <c r="J706" s="25" t="n">
        <f>795</f>
        <v>795.0</v>
      </c>
      <c r="K706" s="25" t="n">
        <f>0</f>
        <v>0.0</v>
      </c>
      <c r="L706" s="2" t="s">
        <v>555</v>
      </c>
      <c r="M706" s="26" t="n">
        <f>1578</f>
        <v>1578.0</v>
      </c>
      <c r="N706" s="3" t="s">
        <v>50</v>
      </c>
      <c r="O706" s="27" t="n">
        <f>300</f>
        <v>300.0</v>
      </c>
      <c r="P706" s="29" t="s">
        <v>1482</v>
      </c>
      <c r="Q706" s="25"/>
      <c r="R706" s="29" t="s">
        <v>1483</v>
      </c>
      <c r="S706" s="25" t="n">
        <f>341250422</f>
        <v>3.41250422E8</v>
      </c>
      <c r="T706" s="25" t="n">
        <f>6691</f>
        <v>6691.0</v>
      </c>
      <c r="U706" s="3" t="s">
        <v>555</v>
      </c>
      <c r="V706" s="27" t="n">
        <f>691817150</f>
        <v>6.9181715E8</v>
      </c>
      <c r="W706" s="3" t="s">
        <v>50</v>
      </c>
      <c r="X706" s="27" t="n">
        <f>131597550</f>
        <v>1.3159755E8</v>
      </c>
      <c r="Y706" s="27"/>
      <c r="Z706" s="25" t="str">
        <f>"－"</f>
        <v>－</v>
      </c>
      <c r="AA706" s="25" t="n">
        <f>2128</f>
        <v>2128.0</v>
      </c>
      <c r="AB706" s="2" t="s">
        <v>545</v>
      </c>
      <c r="AC706" s="26" t="n">
        <f>3619</f>
        <v>3619.0</v>
      </c>
      <c r="AD706" s="3" t="s">
        <v>269</v>
      </c>
      <c r="AE706" s="27" t="n">
        <f>2128</f>
        <v>2128.0</v>
      </c>
    </row>
    <row r="707">
      <c r="A707" s="20" t="s">
        <v>1467</v>
      </c>
      <c r="B707" s="21" t="s">
        <v>1468</v>
      </c>
      <c r="C707" s="22"/>
      <c r="D707" s="23"/>
      <c r="E707" s="24" t="s">
        <v>160</v>
      </c>
      <c r="F707" s="28" t="n">
        <f>58</f>
        <v>58.0</v>
      </c>
      <c r="G707" s="25" t="n">
        <f>55960</f>
        <v>55960.0</v>
      </c>
      <c r="H707" s="25"/>
      <c r="I707" s="25" t="str">
        <f>"－"</f>
        <v>－</v>
      </c>
      <c r="J707" s="25" t="n">
        <f>965</f>
        <v>965.0</v>
      </c>
      <c r="K707" s="25" t="str">
        <f>"－"</f>
        <v>－</v>
      </c>
      <c r="L707" s="2" t="s">
        <v>419</v>
      </c>
      <c r="M707" s="26" t="n">
        <f>1674</f>
        <v>1674.0</v>
      </c>
      <c r="N707" s="3" t="s">
        <v>876</v>
      </c>
      <c r="O707" s="27" t="n">
        <f>496</f>
        <v>496.0</v>
      </c>
      <c r="P707" s="29" t="s">
        <v>1484</v>
      </c>
      <c r="Q707" s="25"/>
      <c r="R707" s="29" t="s">
        <v>262</v>
      </c>
      <c r="S707" s="25" t="n">
        <f>418099630</f>
        <v>4.1809963E8</v>
      </c>
      <c r="T707" s="25" t="str">
        <f>"－"</f>
        <v>－</v>
      </c>
      <c r="U707" s="3" t="s">
        <v>419</v>
      </c>
      <c r="V707" s="27" t="n">
        <f>720987150</f>
        <v>7.2098715E8</v>
      </c>
      <c r="W707" s="3" t="s">
        <v>876</v>
      </c>
      <c r="X707" s="27" t="n">
        <f>213836650</f>
        <v>2.1383665E8</v>
      </c>
      <c r="Y707" s="27"/>
      <c r="Z707" s="25" t="str">
        <f>"－"</f>
        <v>－</v>
      </c>
      <c r="AA707" s="25" t="n">
        <f>2600</f>
        <v>2600.0</v>
      </c>
      <c r="AB707" s="2" t="s">
        <v>751</v>
      </c>
      <c r="AC707" s="26" t="n">
        <f>3376</f>
        <v>3376.0</v>
      </c>
      <c r="AD707" s="3" t="s">
        <v>156</v>
      </c>
      <c r="AE707" s="27" t="n">
        <f>2204</f>
        <v>2204.0</v>
      </c>
    </row>
    <row r="708">
      <c r="A708" s="20" t="s">
        <v>1485</v>
      </c>
      <c r="B708" s="21" t="s">
        <v>1486</v>
      </c>
      <c r="C708" s="22"/>
      <c r="D708" s="23"/>
      <c r="E708" s="24" t="s">
        <v>124</v>
      </c>
      <c r="F708" s="28" t="n">
        <f>108</f>
        <v>108.0</v>
      </c>
      <c r="G708" s="25" t="n">
        <f>39589</f>
        <v>39589.0</v>
      </c>
      <c r="H708" s="25"/>
      <c r="I708" s="25" t="str">
        <f>"－"</f>
        <v>－</v>
      </c>
      <c r="J708" s="25" t="n">
        <f>367</f>
        <v>367.0</v>
      </c>
      <c r="K708" s="25" t="str">
        <f>"－"</f>
        <v>－</v>
      </c>
      <c r="L708" s="2" t="s">
        <v>271</v>
      </c>
      <c r="M708" s="26" t="n">
        <f>1330</f>
        <v>1330.0</v>
      </c>
      <c r="N708" s="3" t="s">
        <v>1408</v>
      </c>
      <c r="O708" s="27" t="n">
        <f>71</f>
        <v>71.0</v>
      </c>
      <c r="P708" s="29" t="s">
        <v>1487</v>
      </c>
      <c r="Q708" s="25"/>
      <c r="R708" s="29" t="s">
        <v>262</v>
      </c>
      <c r="S708" s="25" t="n">
        <f>118068267</f>
        <v>1.18068267E8</v>
      </c>
      <c r="T708" s="25" t="str">
        <f>"－"</f>
        <v>－</v>
      </c>
      <c r="U708" s="3" t="s">
        <v>271</v>
      </c>
      <c r="V708" s="27" t="n">
        <f>451624600</f>
        <v>4.516246E8</v>
      </c>
      <c r="W708" s="3" t="s">
        <v>1408</v>
      </c>
      <c r="X708" s="27" t="n">
        <f>22014000</f>
        <v>2.2014E7</v>
      </c>
      <c r="Y708" s="27"/>
      <c r="Z708" s="25" t="str">
        <f>"－"</f>
        <v>－</v>
      </c>
      <c r="AA708" s="25" t="n">
        <f>11332</f>
        <v>11332.0</v>
      </c>
      <c r="AB708" s="2" t="s">
        <v>1469</v>
      </c>
      <c r="AC708" s="26" t="n">
        <f>12078</f>
        <v>12078.0</v>
      </c>
      <c r="AD708" s="3" t="s">
        <v>562</v>
      </c>
      <c r="AE708" s="27" t="n">
        <f>11171</f>
        <v>11171.0</v>
      </c>
    </row>
    <row r="709">
      <c r="A709" s="20" t="s">
        <v>1485</v>
      </c>
      <c r="B709" s="21" t="s">
        <v>1486</v>
      </c>
      <c r="C709" s="22"/>
      <c r="D709" s="23"/>
      <c r="E709" s="24" t="s">
        <v>130</v>
      </c>
      <c r="F709" s="28" t="n">
        <f>121</f>
        <v>121.0</v>
      </c>
      <c r="G709" s="25" t="n">
        <f>68081</f>
        <v>68081.0</v>
      </c>
      <c r="H709" s="25"/>
      <c r="I709" s="25" t="n">
        <f>901</f>
        <v>901.0</v>
      </c>
      <c r="J709" s="25" t="n">
        <f>563</f>
        <v>563.0</v>
      </c>
      <c r="K709" s="25" t="n">
        <f>7</f>
        <v>7.0</v>
      </c>
      <c r="L709" s="2" t="s">
        <v>343</v>
      </c>
      <c r="M709" s="26" t="n">
        <f>1681</f>
        <v>1681.0</v>
      </c>
      <c r="N709" s="3" t="s">
        <v>963</v>
      </c>
      <c r="O709" s="27" t="n">
        <f>61</f>
        <v>61.0</v>
      </c>
      <c r="P709" s="29" t="s">
        <v>1488</v>
      </c>
      <c r="Q709" s="25"/>
      <c r="R709" s="29" t="s">
        <v>1489</v>
      </c>
      <c r="S709" s="25" t="n">
        <f>229860726</f>
        <v>2.29860726E8</v>
      </c>
      <c r="T709" s="25" t="n">
        <f>3086374</f>
        <v>3086374.0</v>
      </c>
      <c r="U709" s="3" t="s">
        <v>1114</v>
      </c>
      <c r="V709" s="27" t="n">
        <f>713770600</f>
        <v>7.137706E8</v>
      </c>
      <c r="W709" s="3" t="s">
        <v>963</v>
      </c>
      <c r="X709" s="27" t="n">
        <f>26080100</f>
        <v>2.60801E7</v>
      </c>
      <c r="Y709" s="27"/>
      <c r="Z709" s="25" t="str">
        <f>"－"</f>
        <v>－</v>
      </c>
      <c r="AA709" s="25" t="n">
        <f>13493</f>
        <v>13493.0</v>
      </c>
      <c r="AB709" s="2" t="s">
        <v>307</v>
      </c>
      <c r="AC709" s="26" t="n">
        <f>14080</f>
        <v>14080.0</v>
      </c>
      <c r="AD709" s="3" t="s">
        <v>156</v>
      </c>
      <c r="AE709" s="27" t="n">
        <f>11350</f>
        <v>11350.0</v>
      </c>
    </row>
    <row r="710">
      <c r="A710" s="20" t="s">
        <v>1485</v>
      </c>
      <c r="B710" s="21" t="s">
        <v>1486</v>
      </c>
      <c r="C710" s="22"/>
      <c r="D710" s="23"/>
      <c r="E710" s="24" t="s">
        <v>136</v>
      </c>
      <c r="F710" s="28" t="n">
        <f>124</f>
        <v>124.0</v>
      </c>
      <c r="G710" s="25" t="n">
        <f>51461</f>
        <v>51461.0</v>
      </c>
      <c r="H710" s="25"/>
      <c r="I710" s="25" t="n">
        <f>7</f>
        <v>7.0</v>
      </c>
      <c r="J710" s="25" t="n">
        <f>415</f>
        <v>415.0</v>
      </c>
      <c r="K710" s="25" t="n">
        <f>0</f>
        <v>0.0</v>
      </c>
      <c r="L710" s="2" t="s">
        <v>1122</v>
      </c>
      <c r="M710" s="26" t="n">
        <f>2157</f>
        <v>2157.0</v>
      </c>
      <c r="N710" s="3" t="s">
        <v>192</v>
      </c>
      <c r="O710" s="27" t="n">
        <f>100</f>
        <v>100.0</v>
      </c>
      <c r="P710" s="29" t="s">
        <v>1490</v>
      </c>
      <c r="Q710" s="25"/>
      <c r="R710" s="29" t="s">
        <v>1491</v>
      </c>
      <c r="S710" s="25" t="n">
        <f>152813453</f>
        <v>1.52813453E8</v>
      </c>
      <c r="T710" s="25" t="n">
        <f>19712</f>
        <v>19712.0</v>
      </c>
      <c r="U710" s="3" t="s">
        <v>1122</v>
      </c>
      <c r="V710" s="27" t="n">
        <f>768293600</f>
        <v>7.682936E8</v>
      </c>
      <c r="W710" s="3" t="s">
        <v>1408</v>
      </c>
      <c r="X710" s="27" t="n">
        <f>36613600</f>
        <v>3.66136E7</v>
      </c>
      <c r="Y710" s="27"/>
      <c r="Z710" s="25" t="str">
        <f>"－"</f>
        <v>－</v>
      </c>
      <c r="AA710" s="25" t="n">
        <f>13572</f>
        <v>13572.0</v>
      </c>
      <c r="AB710" s="2" t="s">
        <v>498</v>
      </c>
      <c r="AC710" s="26" t="n">
        <f>13684</f>
        <v>13684.0</v>
      </c>
      <c r="AD710" s="3" t="s">
        <v>761</v>
      </c>
      <c r="AE710" s="27" t="n">
        <f>12782</f>
        <v>12782.0</v>
      </c>
    </row>
    <row r="711">
      <c r="A711" s="20" t="s">
        <v>1485</v>
      </c>
      <c r="B711" s="21" t="s">
        <v>1486</v>
      </c>
      <c r="C711" s="22"/>
      <c r="D711" s="23"/>
      <c r="E711" s="24" t="s">
        <v>142</v>
      </c>
      <c r="F711" s="28" t="n">
        <f>120</f>
        <v>120.0</v>
      </c>
      <c r="G711" s="25" t="n">
        <f>80220</f>
        <v>80220.0</v>
      </c>
      <c r="H711" s="25"/>
      <c r="I711" s="25" t="n">
        <f>82</f>
        <v>82.0</v>
      </c>
      <c r="J711" s="25" t="n">
        <f>669</f>
        <v>669.0</v>
      </c>
      <c r="K711" s="25" t="n">
        <f>1</f>
        <v>1.0</v>
      </c>
      <c r="L711" s="2" t="s">
        <v>1064</v>
      </c>
      <c r="M711" s="26" t="n">
        <f>3256</f>
        <v>3256.0</v>
      </c>
      <c r="N711" s="3" t="s">
        <v>873</v>
      </c>
      <c r="O711" s="27" t="n">
        <f>112</f>
        <v>112.0</v>
      </c>
      <c r="P711" s="29" t="s">
        <v>1492</v>
      </c>
      <c r="Q711" s="25"/>
      <c r="R711" s="29" t="s">
        <v>1493</v>
      </c>
      <c r="S711" s="25" t="n">
        <f>266274528</f>
        <v>2.66274528E8</v>
      </c>
      <c r="T711" s="25" t="n">
        <f>264180</f>
        <v>264180.0</v>
      </c>
      <c r="U711" s="3" t="s">
        <v>1064</v>
      </c>
      <c r="V711" s="27" t="n">
        <f>1276830000</f>
        <v>1.27683E9</v>
      </c>
      <c r="W711" s="3" t="s">
        <v>873</v>
      </c>
      <c r="X711" s="27" t="n">
        <f>40809100</f>
        <v>4.08091E7</v>
      </c>
      <c r="Y711" s="27"/>
      <c r="Z711" s="25" t="str">
        <f>"－"</f>
        <v>－</v>
      </c>
      <c r="AA711" s="25" t="n">
        <f>15190</f>
        <v>15190.0</v>
      </c>
      <c r="AB711" s="2" t="s">
        <v>754</v>
      </c>
      <c r="AC711" s="26" t="n">
        <f>15651</f>
        <v>15651.0</v>
      </c>
      <c r="AD711" s="3" t="s">
        <v>74</v>
      </c>
      <c r="AE711" s="27" t="n">
        <f>12853</f>
        <v>12853.0</v>
      </c>
    </row>
    <row r="712">
      <c r="A712" s="20" t="s">
        <v>1485</v>
      </c>
      <c r="B712" s="21" t="s">
        <v>1486</v>
      </c>
      <c r="C712" s="22"/>
      <c r="D712" s="23"/>
      <c r="E712" s="24" t="s">
        <v>148</v>
      </c>
      <c r="F712" s="28" t="n">
        <f>124</f>
        <v>124.0</v>
      </c>
      <c r="G712" s="25" t="n">
        <f>120317</f>
        <v>120317.0</v>
      </c>
      <c r="H712" s="25"/>
      <c r="I712" s="25" t="n">
        <f>6</f>
        <v>6.0</v>
      </c>
      <c r="J712" s="25" t="n">
        <f>970</f>
        <v>970.0</v>
      </c>
      <c r="K712" s="25" t="n">
        <f>0</f>
        <v>0.0</v>
      </c>
      <c r="L712" s="2" t="s">
        <v>129</v>
      </c>
      <c r="M712" s="26" t="n">
        <f>3559</f>
        <v>3559.0</v>
      </c>
      <c r="N712" s="3" t="s">
        <v>846</v>
      </c>
      <c r="O712" s="27" t="n">
        <f>139</f>
        <v>139.0</v>
      </c>
      <c r="P712" s="29" t="s">
        <v>1494</v>
      </c>
      <c r="Q712" s="25"/>
      <c r="R712" s="29" t="s">
        <v>1495</v>
      </c>
      <c r="S712" s="25" t="n">
        <f>402483273</f>
        <v>4.02483273E8</v>
      </c>
      <c r="T712" s="25" t="n">
        <f>21259</f>
        <v>21259.0</v>
      </c>
      <c r="U712" s="3" t="s">
        <v>129</v>
      </c>
      <c r="V712" s="27" t="n">
        <f>1577546000</f>
        <v>1.577546E9</v>
      </c>
      <c r="W712" s="3" t="s">
        <v>846</v>
      </c>
      <c r="X712" s="27" t="n">
        <f>54023200</f>
        <v>5.40232E7</v>
      </c>
      <c r="Y712" s="27"/>
      <c r="Z712" s="25" t="str">
        <f>"－"</f>
        <v>－</v>
      </c>
      <c r="AA712" s="25" t="n">
        <f>21237</f>
        <v>21237.0</v>
      </c>
      <c r="AB712" s="2" t="s">
        <v>129</v>
      </c>
      <c r="AC712" s="26" t="n">
        <f>21237</f>
        <v>21237.0</v>
      </c>
      <c r="AD712" s="3" t="s">
        <v>68</v>
      </c>
      <c r="AE712" s="27" t="n">
        <f>14866</f>
        <v>14866.0</v>
      </c>
    </row>
    <row r="713">
      <c r="A713" s="20" t="s">
        <v>1485</v>
      </c>
      <c r="B713" s="21" t="s">
        <v>1486</v>
      </c>
      <c r="C713" s="22"/>
      <c r="D713" s="23"/>
      <c r="E713" s="24" t="s">
        <v>151</v>
      </c>
      <c r="F713" s="28" t="n">
        <f>122</f>
        <v>122.0</v>
      </c>
      <c r="G713" s="25" t="n">
        <f>255938</f>
        <v>255938.0</v>
      </c>
      <c r="H713" s="25"/>
      <c r="I713" s="25" t="str">
        <f>"－"</f>
        <v>－</v>
      </c>
      <c r="J713" s="25" t="n">
        <f>2098</f>
        <v>2098.0</v>
      </c>
      <c r="K713" s="25" t="str">
        <f>"－"</f>
        <v>－</v>
      </c>
      <c r="L713" s="2" t="s">
        <v>233</v>
      </c>
      <c r="M713" s="26" t="n">
        <f>6224</f>
        <v>6224.0</v>
      </c>
      <c r="N713" s="3" t="s">
        <v>74</v>
      </c>
      <c r="O713" s="27" t="n">
        <f>473</f>
        <v>473.0</v>
      </c>
      <c r="P713" s="29" t="s">
        <v>1496</v>
      </c>
      <c r="Q713" s="25"/>
      <c r="R713" s="29" t="s">
        <v>262</v>
      </c>
      <c r="S713" s="25" t="n">
        <f>924020743</f>
        <v>9.24020743E8</v>
      </c>
      <c r="T713" s="25" t="str">
        <f>"－"</f>
        <v>－</v>
      </c>
      <c r="U713" s="3" t="s">
        <v>233</v>
      </c>
      <c r="V713" s="27" t="n">
        <f>2845244800</f>
        <v>2.8452448E9</v>
      </c>
      <c r="W713" s="3" t="s">
        <v>74</v>
      </c>
      <c r="X713" s="27" t="n">
        <f>198235500</f>
        <v>1.982355E8</v>
      </c>
      <c r="Y713" s="27"/>
      <c r="Z713" s="25" t="str">
        <f>"－"</f>
        <v>－</v>
      </c>
      <c r="AA713" s="25" t="n">
        <f>27887</f>
        <v>27887.0</v>
      </c>
      <c r="AB713" s="2" t="s">
        <v>1283</v>
      </c>
      <c r="AC713" s="26" t="n">
        <f>28310</f>
        <v>28310.0</v>
      </c>
      <c r="AD713" s="3" t="s">
        <v>863</v>
      </c>
      <c r="AE713" s="27" t="n">
        <f>19276</f>
        <v>19276.0</v>
      </c>
    </row>
    <row r="714">
      <c r="A714" s="20" t="s">
        <v>1485</v>
      </c>
      <c r="B714" s="21" t="s">
        <v>1486</v>
      </c>
      <c r="C714" s="22"/>
      <c r="D714" s="23"/>
      <c r="E714" s="24" t="s">
        <v>157</v>
      </c>
      <c r="F714" s="28" t="n">
        <f>124</f>
        <v>124.0</v>
      </c>
      <c r="G714" s="25" t="n">
        <f>419772</f>
        <v>419772.0</v>
      </c>
      <c r="H714" s="25"/>
      <c r="I714" s="25" t="str">
        <f>"－"</f>
        <v>－</v>
      </c>
      <c r="J714" s="25" t="n">
        <f>3385</f>
        <v>3385.0</v>
      </c>
      <c r="K714" s="25" t="str">
        <f>"－"</f>
        <v>－</v>
      </c>
      <c r="L714" s="2" t="s">
        <v>869</v>
      </c>
      <c r="M714" s="26" t="n">
        <f>9384</f>
        <v>9384.0</v>
      </c>
      <c r="N714" s="3" t="s">
        <v>632</v>
      </c>
      <c r="O714" s="27" t="n">
        <f>892</f>
        <v>892.0</v>
      </c>
      <c r="P714" s="29" t="s">
        <v>1497</v>
      </c>
      <c r="Q714" s="25"/>
      <c r="R714" s="29" t="s">
        <v>262</v>
      </c>
      <c r="S714" s="25" t="n">
        <f>1465196463</f>
        <v>1.465196463E9</v>
      </c>
      <c r="T714" s="25" t="str">
        <f>"－"</f>
        <v>－</v>
      </c>
      <c r="U714" s="3" t="s">
        <v>869</v>
      </c>
      <c r="V714" s="27" t="n">
        <f>4002887900</f>
        <v>4.0028879E9</v>
      </c>
      <c r="W714" s="3" t="s">
        <v>632</v>
      </c>
      <c r="X714" s="27" t="n">
        <f>382852400</f>
        <v>3.828524E8</v>
      </c>
      <c r="Y714" s="27"/>
      <c r="Z714" s="25" t="str">
        <f>"－"</f>
        <v>－</v>
      </c>
      <c r="AA714" s="25" t="n">
        <f>34373</f>
        <v>34373.0</v>
      </c>
      <c r="AB714" s="2" t="s">
        <v>1063</v>
      </c>
      <c r="AC714" s="26" t="n">
        <f>39382</f>
        <v>39382.0</v>
      </c>
      <c r="AD714" s="3" t="s">
        <v>986</v>
      </c>
      <c r="AE714" s="27" t="n">
        <f>25690</f>
        <v>25690.0</v>
      </c>
    </row>
    <row r="715">
      <c r="A715" s="20" t="s">
        <v>1485</v>
      </c>
      <c r="B715" s="21" t="s">
        <v>1486</v>
      </c>
      <c r="C715" s="22"/>
      <c r="D715" s="23"/>
      <c r="E715" s="24" t="s">
        <v>160</v>
      </c>
      <c r="F715" s="28" t="n">
        <f>58</f>
        <v>58.0</v>
      </c>
      <c r="G715" s="25" t="n">
        <f>381561</f>
        <v>381561.0</v>
      </c>
      <c r="H715" s="25"/>
      <c r="I715" s="25" t="n">
        <f>60</f>
        <v>60.0</v>
      </c>
      <c r="J715" s="25" t="n">
        <f>6579</f>
        <v>6579.0</v>
      </c>
      <c r="K715" s="25" t="n">
        <f>1</f>
        <v>1.0</v>
      </c>
      <c r="L715" s="2" t="s">
        <v>290</v>
      </c>
      <c r="M715" s="26" t="n">
        <f>17299</f>
        <v>17299.0</v>
      </c>
      <c r="N715" s="3" t="s">
        <v>193</v>
      </c>
      <c r="O715" s="27" t="n">
        <f>2218</f>
        <v>2218.0</v>
      </c>
      <c r="P715" s="29" t="s">
        <v>1498</v>
      </c>
      <c r="Q715" s="25"/>
      <c r="R715" s="29" t="s">
        <v>1499</v>
      </c>
      <c r="S715" s="25" t="n">
        <f>2853098840</f>
        <v>2.85309884E9</v>
      </c>
      <c r="T715" s="25" t="n">
        <f>442552</f>
        <v>442552.0</v>
      </c>
      <c r="U715" s="3" t="s">
        <v>290</v>
      </c>
      <c r="V715" s="27" t="n">
        <f>7595997100</f>
        <v>7.5959971E9</v>
      </c>
      <c r="W715" s="3" t="s">
        <v>193</v>
      </c>
      <c r="X715" s="27" t="n">
        <f>955821700</f>
        <v>9.558217E8</v>
      </c>
      <c r="Y715" s="27"/>
      <c r="Z715" s="25" t="str">
        <f>"－"</f>
        <v>－</v>
      </c>
      <c r="AA715" s="25" t="n">
        <f>44516</f>
        <v>44516.0</v>
      </c>
      <c r="AB715" s="2" t="s">
        <v>422</v>
      </c>
      <c r="AC715" s="26" t="n">
        <f>65135</f>
        <v>65135.0</v>
      </c>
      <c r="AD715" s="3" t="s">
        <v>147</v>
      </c>
      <c r="AE715" s="27" t="n">
        <f>34697</f>
        <v>34697.0</v>
      </c>
    </row>
    <row r="716">
      <c r="A716" s="20" t="s">
        <v>1500</v>
      </c>
      <c r="B716" s="21" t="s">
        <v>1501</v>
      </c>
      <c r="C716" s="22"/>
      <c r="D716" s="23"/>
      <c r="E716" s="24" t="s">
        <v>124</v>
      </c>
      <c r="F716" s="28" t="n">
        <f>108</f>
        <v>108.0</v>
      </c>
      <c r="G716" s="25" t="n">
        <f>2129</f>
        <v>2129.0</v>
      </c>
      <c r="H716" s="25"/>
      <c r="I716" s="25" t="str">
        <f>"－"</f>
        <v>－</v>
      </c>
      <c r="J716" s="25" t="n">
        <f>20</f>
        <v>20.0</v>
      </c>
      <c r="K716" s="25" t="str">
        <f>"－"</f>
        <v>－</v>
      </c>
      <c r="L716" s="2" t="s">
        <v>1502</v>
      </c>
      <c r="M716" s="26" t="n">
        <f>518</f>
        <v>518.0</v>
      </c>
      <c r="N716" s="3" t="s">
        <v>95</v>
      </c>
      <c r="O716" s="27" t="str">
        <f>"－"</f>
        <v>－</v>
      </c>
      <c r="P716" s="29" t="s">
        <v>1503</v>
      </c>
      <c r="Q716" s="25"/>
      <c r="R716" s="29" t="s">
        <v>262</v>
      </c>
      <c r="S716" s="25" t="n">
        <f>76756199</f>
        <v>7.6756199E7</v>
      </c>
      <c r="T716" s="25" t="str">
        <f>"－"</f>
        <v>－</v>
      </c>
      <c r="U716" s="3" t="s">
        <v>1502</v>
      </c>
      <c r="V716" s="27" t="n">
        <f>2039149000</f>
        <v>2.039149E9</v>
      </c>
      <c r="W716" s="3" t="s">
        <v>95</v>
      </c>
      <c r="X716" s="27" t="str">
        <f>"－"</f>
        <v>－</v>
      </c>
      <c r="Y716" s="27"/>
      <c r="Z716" s="25" t="str">
        <f>"－"</f>
        <v>－</v>
      </c>
      <c r="AA716" s="25" t="n">
        <f>350</f>
        <v>350.0</v>
      </c>
      <c r="AB716" s="2" t="s">
        <v>198</v>
      </c>
      <c r="AC716" s="26" t="n">
        <f>544</f>
        <v>544.0</v>
      </c>
      <c r="AD716" s="3" t="s">
        <v>498</v>
      </c>
      <c r="AE716" s="27" t="n">
        <f>349</f>
        <v>349.0</v>
      </c>
    </row>
    <row r="717">
      <c r="A717" s="20" t="s">
        <v>1500</v>
      </c>
      <c r="B717" s="21" t="s">
        <v>1501</v>
      </c>
      <c r="C717" s="22"/>
      <c r="D717" s="23"/>
      <c r="E717" s="24" t="s">
        <v>130</v>
      </c>
      <c r="F717" s="28" t="n">
        <f>121</f>
        <v>121.0</v>
      </c>
      <c r="G717" s="25" t="n">
        <f>1375</f>
        <v>1375.0</v>
      </c>
      <c r="H717" s="25"/>
      <c r="I717" s="25" t="n">
        <f>140</f>
        <v>140.0</v>
      </c>
      <c r="J717" s="25" t="n">
        <f>11</f>
        <v>11.0</v>
      </c>
      <c r="K717" s="25" t="n">
        <f>1</f>
        <v>1.0</v>
      </c>
      <c r="L717" s="2" t="s">
        <v>1027</v>
      </c>
      <c r="M717" s="26" t="n">
        <f>160</f>
        <v>160.0</v>
      </c>
      <c r="N717" s="3" t="s">
        <v>419</v>
      </c>
      <c r="O717" s="27" t="str">
        <f>"－"</f>
        <v>－</v>
      </c>
      <c r="P717" s="29" t="s">
        <v>1504</v>
      </c>
      <c r="Q717" s="25"/>
      <c r="R717" s="29" t="s">
        <v>1505</v>
      </c>
      <c r="S717" s="25" t="n">
        <f>49824562</f>
        <v>4.9824562E7</v>
      </c>
      <c r="T717" s="25" t="n">
        <f>4353017</f>
        <v>4353017.0</v>
      </c>
      <c r="U717" s="3" t="s">
        <v>201</v>
      </c>
      <c r="V717" s="27" t="n">
        <f>707027000</f>
        <v>7.07027E8</v>
      </c>
      <c r="W717" s="3" t="s">
        <v>419</v>
      </c>
      <c r="X717" s="27" t="str">
        <f>"－"</f>
        <v>－</v>
      </c>
      <c r="Y717" s="27"/>
      <c r="Z717" s="25" t="str">
        <f>"－"</f>
        <v>－</v>
      </c>
      <c r="AA717" s="25" t="n">
        <f>304</f>
        <v>304.0</v>
      </c>
      <c r="AB717" s="2" t="s">
        <v>1292</v>
      </c>
      <c r="AC717" s="26" t="n">
        <f>466</f>
        <v>466.0</v>
      </c>
      <c r="AD717" s="3" t="s">
        <v>131</v>
      </c>
      <c r="AE717" s="27" t="n">
        <f>304</f>
        <v>304.0</v>
      </c>
    </row>
    <row r="718">
      <c r="A718" s="20" t="s">
        <v>1500</v>
      </c>
      <c r="B718" s="21" t="s">
        <v>1501</v>
      </c>
      <c r="C718" s="22"/>
      <c r="D718" s="23"/>
      <c r="E718" s="24" t="s">
        <v>136</v>
      </c>
      <c r="F718" s="28" t="n">
        <f>124</f>
        <v>124.0</v>
      </c>
      <c r="G718" s="25" t="n">
        <f>320</f>
        <v>320.0</v>
      </c>
      <c r="H718" s="25"/>
      <c r="I718" s="25" t="str">
        <f>"－"</f>
        <v>－</v>
      </c>
      <c r="J718" s="25" t="n">
        <f>3</f>
        <v>3.0</v>
      </c>
      <c r="K718" s="25" t="str">
        <f>"－"</f>
        <v>－</v>
      </c>
      <c r="L718" s="2" t="s">
        <v>1469</v>
      </c>
      <c r="M718" s="26" t="n">
        <f>18</f>
        <v>18.0</v>
      </c>
      <c r="N718" s="3" t="s">
        <v>68</v>
      </c>
      <c r="O718" s="27" t="str">
        <f>"－"</f>
        <v>－</v>
      </c>
      <c r="P718" s="29" t="s">
        <v>1506</v>
      </c>
      <c r="Q718" s="25"/>
      <c r="R718" s="29" t="s">
        <v>262</v>
      </c>
      <c r="S718" s="25" t="n">
        <f>10850456</f>
        <v>1.0850456E7</v>
      </c>
      <c r="T718" s="25" t="str">
        <f>"－"</f>
        <v>－</v>
      </c>
      <c r="U718" s="3" t="s">
        <v>1469</v>
      </c>
      <c r="V718" s="27" t="n">
        <f>84780000</f>
        <v>8.478E7</v>
      </c>
      <c r="W718" s="3" t="s">
        <v>68</v>
      </c>
      <c r="X718" s="27" t="str">
        <f>"－"</f>
        <v>－</v>
      </c>
      <c r="Y718" s="27"/>
      <c r="Z718" s="25" t="str">
        <f>"－"</f>
        <v>－</v>
      </c>
      <c r="AA718" s="25" t="n">
        <f>115</f>
        <v>115.0</v>
      </c>
      <c r="AB718" s="2" t="s">
        <v>321</v>
      </c>
      <c r="AC718" s="26" t="n">
        <f>306</f>
        <v>306.0</v>
      </c>
      <c r="AD718" s="3" t="s">
        <v>498</v>
      </c>
      <c r="AE718" s="27" t="n">
        <f>111</f>
        <v>111.0</v>
      </c>
    </row>
    <row r="719">
      <c r="A719" s="20" t="s">
        <v>1500</v>
      </c>
      <c r="B719" s="21" t="s">
        <v>1501</v>
      </c>
      <c r="C719" s="22"/>
      <c r="D719" s="23"/>
      <c r="E719" s="24" t="s">
        <v>142</v>
      </c>
      <c r="F719" s="28" t="n">
        <f>120</f>
        <v>120.0</v>
      </c>
      <c r="G719" s="25" t="n">
        <f>168</f>
        <v>168.0</v>
      </c>
      <c r="H719" s="25"/>
      <c r="I719" s="25" t="n">
        <f>1</f>
        <v>1.0</v>
      </c>
      <c r="J719" s="25" t="n">
        <f>1</f>
        <v>1.0</v>
      </c>
      <c r="K719" s="25" t="n">
        <f>0</f>
        <v>0.0</v>
      </c>
      <c r="L719" s="2" t="s">
        <v>70</v>
      </c>
      <c r="M719" s="26" t="n">
        <f>14</f>
        <v>14.0</v>
      </c>
      <c r="N719" s="3" t="s">
        <v>156</v>
      </c>
      <c r="O719" s="27" t="str">
        <f>"－"</f>
        <v>－</v>
      </c>
      <c r="P719" s="29" t="s">
        <v>1507</v>
      </c>
      <c r="Q719" s="25"/>
      <c r="R719" s="29" t="s">
        <v>1508</v>
      </c>
      <c r="S719" s="25" t="n">
        <f>6309342</f>
        <v>6309342.0</v>
      </c>
      <c r="T719" s="25" t="n">
        <f>31883</f>
        <v>31883.0</v>
      </c>
      <c r="U719" s="3" t="s">
        <v>70</v>
      </c>
      <c r="V719" s="27" t="n">
        <f>79612500</f>
        <v>7.96125E7</v>
      </c>
      <c r="W719" s="3" t="s">
        <v>156</v>
      </c>
      <c r="X719" s="27" t="str">
        <f>"－"</f>
        <v>－</v>
      </c>
      <c r="Y719" s="27"/>
      <c r="Z719" s="25" t="str">
        <f>"－"</f>
        <v>－</v>
      </c>
      <c r="AA719" s="25" t="n">
        <f>33</f>
        <v>33.0</v>
      </c>
      <c r="AB719" s="2" t="s">
        <v>265</v>
      </c>
      <c r="AC719" s="26" t="n">
        <f>116</f>
        <v>116.0</v>
      </c>
      <c r="AD719" s="3" t="s">
        <v>131</v>
      </c>
      <c r="AE719" s="27" t="n">
        <f>33</f>
        <v>33.0</v>
      </c>
    </row>
    <row r="720">
      <c r="A720" s="20" t="s">
        <v>1500</v>
      </c>
      <c r="B720" s="21" t="s">
        <v>1501</v>
      </c>
      <c r="C720" s="22"/>
      <c r="D720" s="23"/>
      <c r="E720" s="24" t="s">
        <v>148</v>
      </c>
      <c r="F720" s="28" t="n">
        <f>124</f>
        <v>124.0</v>
      </c>
      <c r="G720" s="25" t="n">
        <f>45</f>
        <v>45.0</v>
      </c>
      <c r="H720" s="25"/>
      <c r="I720" s="25" t="str">
        <f>"－"</f>
        <v>－</v>
      </c>
      <c r="J720" s="25" t="n">
        <f>0</f>
        <v>0.0</v>
      </c>
      <c r="K720" s="25" t="str">
        <f>"－"</f>
        <v>－</v>
      </c>
      <c r="L720" s="2" t="s">
        <v>271</v>
      </c>
      <c r="M720" s="26" t="n">
        <f>5</f>
        <v>5.0</v>
      </c>
      <c r="N720" s="3" t="s">
        <v>68</v>
      </c>
      <c r="O720" s="27" t="str">
        <f>"－"</f>
        <v>－</v>
      </c>
      <c r="P720" s="29" t="s">
        <v>1509</v>
      </c>
      <c r="Q720" s="25"/>
      <c r="R720" s="29" t="s">
        <v>262</v>
      </c>
      <c r="S720" s="25" t="n">
        <f>1631629</f>
        <v>1631629.0</v>
      </c>
      <c r="T720" s="25" t="str">
        <f>"－"</f>
        <v>－</v>
      </c>
      <c r="U720" s="3" t="s">
        <v>1408</v>
      </c>
      <c r="V720" s="27" t="n">
        <f>20400000</f>
        <v>2.04E7</v>
      </c>
      <c r="W720" s="3" t="s">
        <v>68</v>
      </c>
      <c r="X720" s="27" t="str">
        <f>"－"</f>
        <v>－</v>
      </c>
      <c r="Y720" s="27"/>
      <c r="Z720" s="25" t="str">
        <f>"－"</f>
        <v>－</v>
      </c>
      <c r="AA720" s="25" t="n">
        <f>9</f>
        <v>9.0</v>
      </c>
      <c r="AB720" s="2" t="s">
        <v>296</v>
      </c>
      <c r="AC720" s="26" t="n">
        <f>35</f>
        <v>35.0</v>
      </c>
      <c r="AD720" s="3" t="s">
        <v>50</v>
      </c>
      <c r="AE720" s="27" t="n">
        <f>9</f>
        <v>9.0</v>
      </c>
    </row>
    <row r="721">
      <c r="A721" s="20" t="s">
        <v>1500</v>
      </c>
      <c r="B721" s="21" t="s">
        <v>1501</v>
      </c>
      <c r="C721" s="22"/>
      <c r="D721" s="23"/>
      <c r="E721" s="24" t="s">
        <v>151</v>
      </c>
      <c r="F721" s="28" t="n">
        <f>122</f>
        <v>122.0</v>
      </c>
      <c r="G721" s="25" t="n">
        <f>14</f>
        <v>14.0</v>
      </c>
      <c r="H721" s="25"/>
      <c r="I721" s="25" t="str">
        <f>"－"</f>
        <v>－</v>
      </c>
      <c r="J721" s="25" t="n">
        <f>0</f>
        <v>0.0</v>
      </c>
      <c r="K721" s="25" t="str">
        <f>"－"</f>
        <v>－</v>
      </c>
      <c r="L721" s="2" t="s">
        <v>741</v>
      </c>
      <c r="M721" s="26" t="n">
        <f>4</f>
        <v>4.0</v>
      </c>
      <c r="N721" s="3" t="s">
        <v>156</v>
      </c>
      <c r="O721" s="27" t="str">
        <f>"－"</f>
        <v>－</v>
      </c>
      <c r="P721" s="29" t="s">
        <v>1510</v>
      </c>
      <c r="Q721" s="25"/>
      <c r="R721" s="29" t="s">
        <v>262</v>
      </c>
      <c r="S721" s="25" t="n">
        <f>374467</f>
        <v>374467.0</v>
      </c>
      <c r="T721" s="25" t="str">
        <f>"－"</f>
        <v>－</v>
      </c>
      <c r="U721" s="3" t="s">
        <v>741</v>
      </c>
      <c r="V721" s="27" t="n">
        <f>13220500</f>
        <v>1.32205E7</v>
      </c>
      <c r="W721" s="3" t="s">
        <v>156</v>
      </c>
      <c r="X721" s="27" t="str">
        <f>"－"</f>
        <v>－</v>
      </c>
      <c r="Y721" s="27"/>
      <c r="Z721" s="25" t="str">
        <f>"－"</f>
        <v>－</v>
      </c>
      <c r="AA721" s="25" t="n">
        <f>10</f>
        <v>10.0</v>
      </c>
      <c r="AB721" s="2" t="s">
        <v>981</v>
      </c>
      <c r="AC721" s="26" t="n">
        <f>14</f>
        <v>14.0</v>
      </c>
      <c r="AD721" s="3" t="s">
        <v>236</v>
      </c>
      <c r="AE721" s="27" t="n">
        <f>8</f>
        <v>8.0</v>
      </c>
    </row>
    <row r="722">
      <c r="A722" s="20" t="s">
        <v>1500</v>
      </c>
      <c r="B722" s="21" t="s">
        <v>1501</v>
      </c>
      <c r="C722" s="22"/>
      <c r="D722" s="23"/>
      <c r="E722" s="24" t="s">
        <v>157</v>
      </c>
      <c r="F722" s="28" t="n">
        <f>124</f>
        <v>124.0</v>
      </c>
      <c r="G722" s="25" t="n">
        <f>10</f>
        <v>10.0</v>
      </c>
      <c r="H722" s="25"/>
      <c r="I722" s="25" t="str">
        <f>"－"</f>
        <v>－</v>
      </c>
      <c r="J722" s="25" t="n">
        <f>0</f>
        <v>0.0</v>
      </c>
      <c r="K722" s="25" t="str">
        <f>"－"</f>
        <v>－</v>
      </c>
      <c r="L722" s="2" t="s">
        <v>975</v>
      </c>
      <c r="M722" s="26" t="n">
        <f>3</f>
        <v>3.0</v>
      </c>
      <c r="N722" s="3" t="s">
        <v>633</v>
      </c>
      <c r="O722" s="27" t="str">
        <f>"－"</f>
        <v>－</v>
      </c>
      <c r="P722" s="29" t="s">
        <v>1511</v>
      </c>
      <c r="Q722" s="25"/>
      <c r="R722" s="29" t="s">
        <v>262</v>
      </c>
      <c r="S722" s="25" t="n">
        <f>217601</f>
        <v>217601.0</v>
      </c>
      <c r="T722" s="25" t="str">
        <f>"－"</f>
        <v>－</v>
      </c>
      <c r="U722" s="3" t="s">
        <v>975</v>
      </c>
      <c r="V722" s="27" t="n">
        <f>8925000</f>
        <v>8925000.0</v>
      </c>
      <c r="W722" s="3" t="s">
        <v>633</v>
      </c>
      <c r="X722" s="27" t="str">
        <f>"－"</f>
        <v>－</v>
      </c>
      <c r="Y722" s="27"/>
      <c r="Z722" s="25" t="str">
        <f>"－"</f>
        <v>－</v>
      </c>
      <c r="AA722" s="25" t="str">
        <f>"－"</f>
        <v>－</v>
      </c>
      <c r="AB722" s="2" t="s">
        <v>633</v>
      </c>
      <c r="AC722" s="26" t="n">
        <f>10</f>
        <v>10.0</v>
      </c>
      <c r="AD722" s="3" t="s">
        <v>976</v>
      </c>
      <c r="AE722" s="27" t="str">
        <f>"－"</f>
        <v>－</v>
      </c>
    </row>
    <row r="723">
      <c r="A723" s="20" t="s">
        <v>1500</v>
      </c>
      <c r="B723" s="21" t="s">
        <v>1501</v>
      </c>
      <c r="C723" s="22"/>
      <c r="D723" s="23"/>
      <c r="E723" s="24" t="s">
        <v>160</v>
      </c>
      <c r="F723" s="28" t="n">
        <f>58</f>
        <v>58.0</v>
      </c>
      <c r="G723" s="25" t="str">
        <f>"－"</f>
        <v>－</v>
      </c>
      <c r="H723" s="25"/>
      <c r="I723" s="25" t="str">
        <f>"－"</f>
        <v>－</v>
      </c>
      <c r="J723" s="25" t="str">
        <f>"－"</f>
        <v>－</v>
      </c>
      <c r="K723" s="25" t="str">
        <f>"－"</f>
        <v>－</v>
      </c>
      <c r="L723" s="2" t="s">
        <v>156</v>
      </c>
      <c r="M723" s="26" t="str">
        <f>"－"</f>
        <v>－</v>
      </c>
      <c r="N723" s="3" t="s">
        <v>156</v>
      </c>
      <c r="O723" s="27" t="str">
        <f>"－"</f>
        <v>－</v>
      </c>
      <c r="P723" s="29" t="s">
        <v>262</v>
      </c>
      <c r="Q723" s="25"/>
      <c r="R723" s="29" t="s">
        <v>262</v>
      </c>
      <c r="S723" s="25" t="str">
        <f>"－"</f>
        <v>－</v>
      </c>
      <c r="T723" s="25" t="str">
        <f>"－"</f>
        <v>－</v>
      </c>
      <c r="U723" s="3" t="s">
        <v>156</v>
      </c>
      <c r="V723" s="27" t="str">
        <f>"－"</f>
        <v>－</v>
      </c>
      <c r="W723" s="3" t="s">
        <v>156</v>
      </c>
      <c r="X723" s="27" t="str">
        <f>"－"</f>
        <v>－</v>
      </c>
      <c r="Y723" s="27"/>
      <c r="Z723" s="25" t="str">
        <f>"－"</f>
        <v>－</v>
      </c>
      <c r="AA723" s="25" t="str">
        <f>"－"</f>
        <v>－</v>
      </c>
      <c r="AB723" s="2" t="s">
        <v>156</v>
      </c>
      <c r="AC723" s="26" t="str">
        <f>"－"</f>
        <v>－</v>
      </c>
      <c r="AD723" s="3" t="s">
        <v>156</v>
      </c>
      <c r="AE723" s="27" t="str">
        <f>"－"</f>
        <v>－</v>
      </c>
    </row>
    <row r="724">
      <c r="A724" s="20" t="s">
        <v>1512</v>
      </c>
      <c r="B724" s="21" t="s">
        <v>1513</v>
      </c>
      <c r="C724" s="22"/>
      <c r="D724" s="23"/>
      <c r="E724" s="24" t="s">
        <v>136</v>
      </c>
      <c r="F724" s="28" t="n">
        <f>70</f>
        <v>70.0</v>
      </c>
      <c r="G724" s="25" t="n">
        <f>10141</f>
        <v>10141.0</v>
      </c>
      <c r="H724" s="25"/>
      <c r="I724" s="25" t="n">
        <f>107</f>
        <v>107.0</v>
      </c>
      <c r="J724" s="25" t="n">
        <f>145</f>
        <v>145.0</v>
      </c>
      <c r="K724" s="25" t="n">
        <f>2</f>
        <v>2.0</v>
      </c>
      <c r="L724" s="2" t="s">
        <v>719</v>
      </c>
      <c r="M724" s="26" t="n">
        <f>1013</f>
        <v>1013.0</v>
      </c>
      <c r="N724" s="3" t="s">
        <v>138</v>
      </c>
      <c r="O724" s="27" t="n">
        <f>1</f>
        <v>1.0</v>
      </c>
      <c r="P724" s="29" t="s">
        <v>1514</v>
      </c>
      <c r="Q724" s="25"/>
      <c r="R724" s="29" t="s">
        <v>1515</v>
      </c>
      <c r="S724" s="25" t="n">
        <f>267010009</f>
        <v>2.67010009E8</v>
      </c>
      <c r="T724" s="25" t="n">
        <f>2950343</f>
        <v>2950343.0</v>
      </c>
      <c r="U724" s="3" t="s">
        <v>719</v>
      </c>
      <c r="V724" s="27" t="n">
        <f>2022557000</f>
        <v>2.022557E9</v>
      </c>
      <c r="W724" s="3" t="s">
        <v>138</v>
      </c>
      <c r="X724" s="27" t="n">
        <f>1757000</f>
        <v>1757000.0</v>
      </c>
      <c r="Y724" s="27"/>
      <c r="Z724" s="25" t="str">
        <f>"－"</f>
        <v>－</v>
      </c>
      <c r="AA724" s="25" t="n">
        <f>403</f>
        <v>403.0</v>
      </c>
      <c r="AB724" s="2" t="s">
        <v>1166</v>
      </c>
      <c r="AC724" s="26" t="n">
        <f>966</f>
        <v>966.0</v>
      </c>
      <c r="AD724" s="3" t="s">
        <v>968</v>
      </c>
      <c r="AE724" s="27" t="n">
        <f>346</f>
        <v>346.0</v>
      </c>
    </row>
    <row r="725">
      <c r="A725" s="20" t="s">
        <v>1512</v>
      </c>
      <c r="B725" s="21" t="s">
        <v>1513</v>
      </c>
      <c r="C725" s="22"/>
      <c r="D725" s="23"/>
      <c r="E725" s="24" t="s">
        <v>142</v>
      </c>
      <c r="F725" s="28" t="n">
        <f>120</f>
        <v>120.0</v>
      </c>
      <c r="G725" s="25" t="n">
        <f>3305</f>
        <v>3305.0</v>
      </c>
      <c r="H725" s="25"/>
      <c r="I725" s="25" t="n">
        <f>42</f>
        <v>42.0</v>
      </c>
      <c r="J725" s="25" t="n">
        <f>28</f>
        <v>28.0</v>
      </c>
      <c r="K725" s="25" t="n">
        <f>0</f>
        <v>0.0</v>
      </c>
      <c r="L725" s="2" t="s">
        <v>236</v>
      </c>
      <c r="M725" s="26" t="n">
        <f>243</f>
        <v>243.0</v>
      </c>
      <c r="N725" s="3" t="s">
        <v>75</v>
      </c>
      <c r="O725" s="27" t="str">
        <f>"－"</f>
        <v>－</v>
      </c>
      <c r="P725" s="29" t="s">
        <v>1516</v>
      </c>
      <c r="Q725" s="25"/>
      <c r="R725" s="29" t="s">
        <v>1517</v>
      </c>
      <c r="S725" s="25" t="n">
        <f>62166771</f>
        <v>6.2166771E7</v>
      </c>
      <c r="T725" s="25" t="n">
        <f>796142</f>
        <v>796142.0</v>
      </c>
      <c r="U725" s="3" t="s">
        <v>236</v>
      </c>
      <c r="V725" s="27" t="n">
        <f>556331500</f>
        <v>5.563315E8</v>
      </c>
      <c r="W725" s="3" t="s">
        <v>75</v>
      </c>
      <c r="X725" s="27" t="str">
        <f>"－"</f>
        <v>－</v>
      </c>
      <c r="Y725" s="27"/>
      <c r="Z725" s="25" t="str">
        <f>"－"</f>
        <v>－</v>
      </c>
      <c r="AA725" s="25" t="n">
        <f>18</f>
        <v>18.0</v>
      </c>
      <c r="AB725" s="2" t="s">
        <v>156</v>
      </c>
      <c r="AC725" s="26" t="n">
        <f>392</f>
        <v>392.0</v>
      </c>
      <c r="AD725" s="3" t="s">
        <v>739</v>
      </c>
      <c r="AE725" s="27" t="n">
        <f>18</f>
        <v>18.0</v>
      </c>
    </row>
    <row r="726">
      <c r="A726" s="20" t="s">
        <v>1512</v>
      </c>
      <c r="B726" s="21" t="s">
        <v>1513</v>
      </c>
      <c r="C726" s="22"/>
      <c r="D726" s="23"/>
      <c r="E726" s="24" t="s">
        <v>148</v>
      </c>
      <c r="F726" s="28" t="n">
        <f>124</f>
        <v>124.0</v>
      </c>
      <c r="G726" s="25" t="n">
        <f>158</f>
        <v>158.0</v>
      </c>
      <c r="H726" s="25"/>
      <c r="I726" s="25" t="n">
        <f>3</f>
        <v>3.0</v>
      </c>
      <c r="J726" s="25" t="n">
        <f>1</f>
        <v>1.0</v>
      </c>
      <c r="K726" s="25" t="n">
        <f>0</f>
        <v>0.0</v>
      </c>
      <c r="L726" s="2" t="s">
        <v>529</v>
      </c>
      <c r="M726" s="26" t="n">
        <f>50</f>
        <v>50.0</v>
      </c>
      <c r="N726" s="3" t="s">
        <v>68</v>
      </c>
      <c r="O726" s="27" t="str">
        <f>"－"</f>
        <v>－</v>
      </c>
      <c r="P726" s="29" t="s">
        <v>1518</v>
      </c>
      <c r="Q726" s="25"/>
      <c r="R726" s="29" t="s">
        <v>1519</v>
      </c>
      <c r="S726" s="25" t="n">
        <f>2865702</f>
        <v>2865702.0</v>
      </c>
      <c r="T726" s="25" t="n">
        <f>58173</f>
        <v>58173.0</v>
      </c>
      <c r="U726" s="3" t="s">
        <v>529</v>
      </c>
      <c r="V726" s="27" t="n">
        <f>117425000</f>
        <v>1.17425E8</v>
      </c>
      <c r="W726" s="3" t="s">
        <v>68</v>
      </c>
      <c r="X726" s="27" t="str">
        <f>"－"</f>
        <v>－</v>
      </c>
      <c r="Y726" s="27"/>
      <c r="Z726" s="25" t="str">
        <f>"－"</f>
        <v>－</v>
      </c>
      <c r="AA726" s="25" t="n">
        <f>1</f>
        <v>1.0</v>
      </c>
      <c r="AB726" s="2" t="s">
        <v>529</v>
      </c>
      <c r="AC726" s="26" t="n">
        <f>35</f>
        <v>35.0</v>
      </c>
      <c r="AD726" s="3" t="s">
        <v>241</v>
      </c>
      <c r="AE726" s="27" t="str">
        <f>"－"</f>
        <v>－</v>
      </c>
    </row>
    <row r="727">
      <c r="A727" s="20" t="s">
        <v>1512</v>
      </c>
      <c r="B727" s="21" t="s">
        <v>1513</v>
      </c>
      <c r="C727" s="22"/>
      <c r="D727" s="23"/>
      <c r="E727" s="24" t="s">
        <v>151</v>
      </c>
      <c r="F727" s="28" t="n">
        <f>122</f>
        <v>122.0</v>
      </c>
      <c r="G727" s="25" t="n">
        <f>128</f>
        <v>128.0</v>
      </c>
      <c r="H727" s="25"/>
      <c r="I727" s="25" t="str">
        <f>"－"</f>
        <v>－</v>
      </c>
      <c r="J727" s="25" t="n">
        <f>1</f>
        <v>1.0</v>
      </c>
      <c r="K727" s="25" t="str">
        <f>"－"</f>
        <v>－</v>
      </c>
      <c r="L727" s="2" t="s">
        <v>146</v>
      </c>
      <c r="M727" s="26" t="n">
        <f>41</f>
        <v>41.0</v>
      </c>
      <c r="N727" s="3" t="s">
        <v>156</v>
      </c>
      <c r="O727" s="27" t="str">
        <f>"－"</f>
        <v>－</v>
      </c>
      <c r="P727" s="29" t="s">
        <v>1520</v>
      </c>
      <c r="Q727" s="25"/>
      <c r="R727" s="29" t="s">
        <v>262</v>
      </c>
      <c r="S727" s="25" t="n">
        <f>1955893</f>
        <v>1955893.0</v>
      </c>
      <c r="T727" s="25" t="str">
        <f>"－"</f>
        <v>－</v>
      </c>
      <c r="U727" s="3" t="s">
        <v>146</v>
      </c>
      <c r="V727" s="27" t="n">
        <f>73655000</f>
        <v>7.3655E7</v>
      </c>
      <c r="W727" s="3" t="s">
        <v>156</v>
      </c>
      <c r="X727" s="27" t="str">
        <f>"－"</f>
        <v>－</v>
      </c>
      <c r="Y727" s="27"/>
      <c r="Z727" s="25" t="str">
        <f>"－"</f>
        <v>－</v>
      </c>
      <c r="AA727" s="25" t="n">
        <f>62</f>
        <v>62.0</v>
      </c>
      <c r="AB727" s="2" t="s">
        <v>146</v>
      </c>
      <c r="AC727" s="26" t="n">
        <f>62</f>
        <v>62.0</v>
      </c>
      <c r="AD727" s="3" t="s">
        <v>328</v>
      </c>
      <c r="AE727" s="27" t="str">
        <f>"－"</f>
        <v>－</v>
      </c>
    </row>
    <row r="728">
      <c r="A728" s="20" t="s">
        <v>1512</v>
      </c>
      <c r="B728" s="21" t="s">
        <v>1513</v>
      </c>
      <c r="C728" s="22"/>
      <c r="D728" s="23"/>
      <c r="E728" s="24" t="s">
        <v>157</v>
      </c>
      <c r="F728" s="28" t="n">
        <f>124</f>
        <v>124.0</v>
      </c>
      <c r="G728" s="25" t="n">
        <f>180</f>
        <v>180.0</v>
      </c>
      <c r="H728" s="25"/>
      <c r="I728" s="25" t="n">
        <f>42</f>
        <v>42.0</v>
      </c>
      <c r="J728" s="25" t="n">
        <f>1</f>
        <v>1.0</v>
      </c>
      <c r="K728" s="25" t="n">
        <f>0</f>
        <v>0.0</v>
      </c>
      <c r="L728" s="2" t="s">
        <v>393</v>
      </c>
      <c r="M728" s="26" t="n">
        <f>32</f>
        <v>32.0</v>
      </c>
      <c r="N728" s="3" t="s">
        <v>633</v>
      </c>
      <c r="O728" s="27" t="str">
        <f>"－"</f>
        <v>－</v>
      </c>
      <c r="P728" s="29" t="s">
        <v>1521</v>
      </c>
      <c r="Q728" s="25"/>
      <c r="R728" s="29" t="s">
        <v>1522</v>
      </c>
      <c r="S728" s="25" t="n">
        <f>2996460</f>
        <v>2996460.0</v>
      </c>
      <c r="T728" s="25" t="n">
        <f>680435</f>
        <v>680435.0</v>
      </c>
      <c r="U728" s="3" t="s">
        <v>393</v>
      </c>
      <c r="V728" s="27" t="n">
        <f>62774000</f>
        <v>6.2774E7</v>
      </c>
      <c r="W728" s="3" t="s">
        <v>633</v>
      </c>
      <c r="X728" s="27" t="str">
        <f>"－"</f>
        <v>－</v>
      </c>
      <c r="Y728" s="27"/>
      <c r="Z728" s="25" t="str">
        <f>"－"</f>
        <v>－</v>
      </c>
      <c r="AA728" s="25" t="n">
        <f>20</f>
        <v>20.0</v>
      </c>
      <c r="AB728" s="2" t="s">
        <v>633</v>
      </c>
      <c r="AC728" s="26" t="n">
        <f>62</f>
        <v>62.0</v>
      </c>
      <c r="AD728" s="3" t="s">
        <v>241</v>
      </c>
      <c r="AE728" s="27" t="n">
        <f>10</f>
        <v>10.0</v>
      </c>
    </row>
    <row r="729">
      <c r="A729" s="20" t="s">
        <v>1512</v>
      </c>
      <c r="B729" s="21" t="s">
        <v>1513</v>
      </c>
      <c r="C729" s="22"/>
      <c r="D729" s="23"/>
      <c r="E729" s="24" t="s">
        <v>160</v>
      </c>
      <c r="F729" s="28" t="n">
        <f>58</f>
        <v>58.0</v>
      </c>
      <c r="G729" s="25" t="n">
        <f>123</f>
        <v>123.0</v>
      </c>
      <c r="H729" s="25"/>
      <c r="I729" s="25" t="str">
        <f>"－"</f>
        <v>－</v>
      </c>
      <c r="J729" s="25" t="n">
        <f>2</f>
        <v>2.0</v>
      </c>
      <c r="K729" s="25" t="str">
        <f>"－"</f>
        <v>－</v>
      </c>
      <c r="L729" s="2" t="s">
        <v>84</v>
      </c>
      <c r="M729" s="26" t="n">
        <f>40</f>
        <v>40.0</v>
      </c>
      <c r="N729" s="3" t="s">
        <v>156</v>
      </c>
      <c r="O729" s="27" t="str">
        <f>"－"</f>
        <v>－</v>
      </c>
      <c r="P729" s="29" t="s">
        <v>1523</v>
      </c>
      <c r="Q729" s="25"/>
      <c r="R729" s="29" t="s">
        <v>262</v>
      </c>
      <c r="S729" s="25" t="n">
        <f>4199664</f>
        <v>4199664.0</v>
      </c>
      <c r="T729" s="25" t="str">
        <f>"－"</f>
        <v>－</v>
      </c>
      <c r="U729" s="3" t="s">
        <v>84</v>
      </c>
      <c r="V729" s="27" t="n">
        <f>78210000</f>
        <v>7.821E7</v>
      </c>
      <c r="W729" s="3" t="s">
        <v>156</v>
      </c>
      <c r="X729" s="27" t="str">
        <f>"－"</f>
        <v>－</v>
      </c>
      <c r="Y729" s="27"/>
      <c r="Z729" s="25" t="str">
        <f>"－"</f>
        <v>－</v>
      </c>
      <c r="AA729" s="25" t="n">
        <f>6</f>
        <v>6.0</v>
      </c>
      <c r="AB729" s="2" t="s">
        <v>422</v>
      </c>
      <c r="AC729" s="26" t="n">
        <f>21</f>
        <v>21.0</v>
      </c>
      <c r="AD729" s="3" t="s">
        <v>242</v>
      </c>
      <c r="AE729" s="27" t="str">
        <f>"－"</f>
        <v>－</v>
      </c>
    </row>
    <row r="730">
      <c r="A730" s="20" t="s">
        <v>1524</v>
      </c>
      <c r="B730" s="21" t="s">
        <v>1525</v>
      </c>
      <c r="C730" s="22"/>
      <c r="D730" s="23"/>
      <c r="E730" s="24" t="s">
        <v>124</v>
      </c>
      <c r="F730" s="28" t="n">
        <f>108</f>
        <v>108.0</v>
      </c>
      <c r="G730" s="25" t="n">
        <f>574420</f>
        <v>574420.0</v>
      </c>
      <c r="H730" s="25"/>
      <c r="I730" s="25" t="n">
        <f>2933</f>
        <v>2933.0</v>
      </c>
      <c r="J730" s="25" t="n">
        <f>5319</f>
        <v>5319.0</v>
      </c>
      <c r="K730" s="25" t="n">
        <f>27</f>
        <v>27.0</v>
      </c>
      <c r="L730" s="2" t="s">
        <v>1526</v>
      </c>
      <c r="M730" s="26" t="n">
        <f>22405</f>
        <v>22405.0</v>
      </c>
      <c r="N730" s="3" t="s">
        <v>287</v>
      </c>
      <c r="O730" s="27" t="n">
        <f>1389</f>
        <v>1389.0</v>
      </c>
      <c r="P730" s="29" t="s">
        <v>1527</v>
      </c>
      <c r="Q730" s="25"/>
      <c r="R730" s="29" t="s">
        <v>1528</v>
      </c>
      <c r="S730" s="25" t="n">
        <f>5762129264</f>
        <v>5.762129264E9</v>
      </c>
      <c r="T730" s="25" t="n">
        <f>32066046</f>
        <v>3.2066046E7</v>
      </c>
      <c r="U730" s="3" t="s">
        <v>1526</v>
      </c>
      <c r="V730" s="27" t="n">
        <f>29320863500</f>
        <v>2.93208635E10</v>
      </c>
      <c r="W730" s="3" t="s">
        <v>287</v>
      </c>
      <c r="X730" s="27" t="n">
        <f>1217846000</f>
        <v>1.217846E9</v>
      </c>
      <c r="Y730" s="27"/>
      <c r="Z730" s="25" t="str">
        <f>"－"</f>
        <v>－</v>
      </c>
      <c r="AA730" s="25" t="n">
        <f>14266</f>
        <v>14266.0</v>
      </c>
      <c r="AB730" s="2" t="s">
        <v>260</v>
      </c>
      <c r="AC730" s="26" t="n">
        <f>18155</f>
        <v>18155.0</v>
      </c>
      <c r="AD730" s="3" t="s">
        <v>1259</v>
      </c>
      <c r="AE730" s="27" t="n">
        <f>13117</f>
        <v>13117.0</v>
      </c>
    </row>
    <row r="731">
      <c r="A731" s="20" t="s">
        <v>1524</v>
      </c>
      <c r="B731" s="21" t="s">
        <v>1525</v>
      </c>
      <c r="C731" s="22"/>
      <c r="D731" s="23"/>
      <c r="E731" s="24" t="s">
        <v>130</v>
      </c>
      <c r="F731" s="28" t="n">
        <f>121</f>
        <v>121.0</v>
      </c>
      <c r="G731" s="25" t="n">
        <f>392404</f>
        <v>392404.0</v>
      </c>
      <c r="H731" s="25"/>
      <c r="I731" s="25" t="n">
        <f>1538</f>
        <v>1538.0</v>
      </c>
      <c r="J731" s="25" t="n">
        <f>3243</f>
        <v>3243.0</v>
      </c>
      <c r="K731" s="25" t="n">
        <f>13</f>
        <v>13.0</v>
      </c>
      <c r="L731" s="2" t="s">
        <v>346</v>
      </c>
      <c r="M731" s="26" t="n">
        <f>7617</f>
        <v>7617.0</v>
      </c>
      <c r="N731" s="3" t="s">
        <v>205</v>
      </c>
      <c r="O731" s="27" t="n">
        <f>625</f>
        <v>625.0</v>
      </c>
      <c r="P731" s="29" t="s">
        <v>1529</v>
      </c>
      <c r="Q731" s="25"/>
      <c r="R731" s="29" t="s">
        <v>1530</v>
      </c>
      <c r="S731" s="25" t="n">
        <f>4026118702</f>
        <v>4.026118702E9</v>
      </c>
      <c r="T731" s="25" t="n">
        <f>16365310</f>
        <v>1.636531E7</v>
      </c>
      <c r="U731" s="3" t="s">
        <v>1531</v>
      </c>
      <c r="V731" s="27" t="n">
        <f>10851077000</f>
        <v>1.0851077E10</v>
      </c>
      <c r="W731" s="3" t="s">
        <v>205</v>
      </c>
      <c r="X731" s="27" t="n">
        <f>737494500</f>
        <v>7.374945E8</v>
      </c>
      <c r="Y731" s="27"/>
      <c r="Z731" s="25" t="str">
        <f>"－"</f>
        <v>－</v>
      </c>
      <c r="AA731" s="25" t="n">
        <f>12050</f>
        <v>12050.0</v>
      </c>
      <c r="AB731" s="2" t="s">
        <v>147</v>
      </c>
      <c r="AC731" s="26" t="n">
        <f>14151</f>
        <v>14151.0</v>
      </c>
      <c r="AD731" s="3" t="s">
        <v>1208</v>
      </c>
      <c r="AE731" s="27" t="n">
        <f>10832</f>
        <v>10832.0</v>
      </c>
    </row>
    <row r="732">
      <c r="A732" s="20" t="s">
        <v>1524</v>
      </c>
      <c r="B732" s="21" t="s">
        <v>1525</v>
      </c>
      <c r="C732" s="22"/>
      <c r="D732" s="23"/>
      <c r="E732" s="24" t="s">
        <v>136</v>
      </c>
      <c r="F732" s="28" t="n">
        <f>124</f>
        <v>124.0</v>
      </c>
      <c r="G732" s="25" t="n">
        <f>341482</f>
        <v>341482.0</v>
      </c>
      <c r="H732" s="25"/>
      <c r="I732" s="25" t="n">
        <f>1169</f>
        <v>1169.0</v>
      </c>
      <c r="J732" s="25" t="n">
        <f>2754</f>
        <v>2754.0</v>
      </c>
      <c r="K732" s="25" t="n">
        <f>9</f>
        <v>9.0</v>
      </c>
      <c r="L732" s="2" t="s">
        <v>1166</v>
      </c>
      <c r="M732" s="26" t="n">
        <f>6455</f>
        <v>6455.0</v>
      </c>
      <c r="N732" s="3" t="s">
        <v>498</v>
      </c>
      <c r="O732" s="27" t="n">
        <f>857</f>
        <v>857.0</v>
      </c>
      <c r="P732" s="29" t="s">
        <v>1532</v>
      </c>
      <c r="Q732" s="25"/>
      <c r="R732" s="29" t="s">
        <v>1533</v>
      </c>
      <c r="S732" s="25" t="n">
        <f>3032797917</f>
        <v>3.032797917E9</v>
      </c>
      <c r="T732" s="25" t="n">
        <f>10236316</f>
        <v>1.0236316E7</v>
      </c>
      <c r="U732" s="3" t="s">
        <v>532</v>
      </c>
      <c r="V732" s="27" t="n">
        <f>7462103000</f>
        <v>7.462103E9</v>
      </c>
      <c r="W732" s="3" t="s">
        <v>498</v>
      </c>
      <c r="X732" s="27" t="n">
        <f>981801000</f>
        <v>9.81801E8</v>
      </c>
      <c r="Y732" s="27"/>
      <c r="Z732" s="25" t="str">
        <f>"－"</f>
        <v>－</v>
      </c>
      <c r="AA732" s="25" t="n">
        <f>8420</f>
        <v>8420.0</v>
      </c>
      <c r="AB732" s="2" t="s">
        <v>1469</v>
      </c>
      <c r="AC732" s="26" t="n">
        <f>13002</f>
        <v>13002.0</v>
      </c>
      <c r="AD732" s="3" t="s">
        <v>129</v>
      </c>
      <c r="AE732" s="27" t="n">
        <f>8420</f>
        <v>8420.0</v>
      </c>
    </row>
    <row r="733">
      <c r="A733" s="20" t="s">
        <v>1524</v>
      </c>
      <c r="B733" s="21" t="s">
        <v>1525</v>
      </c>
      <c r="C733" s="22"/>
      <c r="D733" s="23"/>
      <c r="E733" s="24" t="s">
        <v>142</v>
      </c>
      <c r="F733" s="28" t="n">
        <f>120</f>
        <v>120.0</v>
      </c>
      <c r="G733" s="25" t="n">
        <f>307050</f>
        <v>307050.0</v>
      </c>
      <c r="H733" s="25"/>
      <c r="I733" s="25" t="n">
        <f>1371</f>
        <v>1371.0</v>
      </c>
      <c r="J733" s="25" t="n">
        <f>2559</f>
        <v>2559.0</v>
      </c>
      <c r="K733" s="25" t="n">
        <f>11</f>
        <v>11.0</v>
      </c>
      <c r="L733" s="2" t="s">
        <v>533</v>
      </c>
      <c r="M733" s="26" t="n">
        <f>6832</f>
        <v>6832.0</v>
      </c>
      <c r="N733" s="3" t="s">
        <v>112</v>
      </c>
      <c r="O733" s="27" t="n">
        <f>755</f>
        <v>755.0</v>
      </c>
      <c r="P733" s="29" t="s">
        <v>1534</v>
      </c>
      <c r="Q733" s="25"/>
      <c r="R733" s="29" t="s">
        <v>1535</v>
      </c>
      <c r="S733" s="25" t="n">
        <f>3217778971</f>
        <v>3.217778971E9</v>
      </c>
      <c r="T733" s="25" t="n">
        <f>14381079</f>
        <v>1.4381079E7</v>
      </c>
      <c r="U733" s="3" t="s">
        <v>533</v>
      </c>
      <c r="V733" s="27" t="n">
        <f>9107731500</f>
        <v>9.1077315E9</v>
      </c>
      <c r="W733" s="3" t="s">
        <v>112</v>
      </c>
      <c r="X733" s="27" t="n">
        <f>959746000</f>
        <v>9.59746E8</v>
      </c>
      <c r="Y733" s="27"/>
      <c r="Z733" s="25" t="str">
        <f>"－"</f>
        <v>－</v>
      </c>
      <c r="AA733" s="25" t="n">
        <f>8613</f>
        <v>8613.0</v>
      </c>
      <c r="AB733" s="2" t="s">
        <v>1531</v>
      </c>
      <c r="AC733" s="26" t="n">
        <f>11330</f>
        <v>11330.0</v>
      </c>
      <c r="AD733" s="3" t="s">
        <v>177</v>
      </c>
      <c r="AE733" s="27" t="n">
        <f>7533</f>
        <v>7533.0</v>
      </c>
    </row>
    <row r="734">
      <c r="A734" s="20" t="s">
        <v>1524</v>
      </c>
      <c r="B734" s="21" t="s">
        <v>1525</v>
      </c>
      <c r="C734" s="22"/>
      <c r="D734" s="23"/>
      <c r="E734" s="24" t="s">
        <v>148</v>
      </c>
      <c r="F734" s="28" t="n">
        <f>124</f>
        <v>124.0</v>
      </c>
      <c r="G734" s="25" t="n">
        <f>277371</f>
        <v>277371.0</v>
      </c>
      <c r="H734" s="25"/>
      <c r="I734" s="25" t="n">
        <f>1346</f>
        <v>1346.0</v>
      </c>
      <c r="J734" s="25" t="n">
        <f>2237</f>
        <v>2237.0</v>
      </c>
      <c r="K734" s="25" t="n">
        <f>11</f>
        <v>11.0</v>
      </c>
      <c r="L734" s="2" t="s">
        <v>735</v>
      </c>
      <c r="M734" s="26" t="n">
        <f>5063</f>
        <v>5063.0</v>
      </c>
      <c r="N734" s="3" t="s">
        <v>198</v>
      </c>
      <c r="O734" s="27" t="n">
        <f>488</f>
        <v>488.0</v>
      </c>
      <c r="P734" s="29" t="s">
        <v>1536</v>
      </c>
      <c r="Q734" s="25"/>
      <c r="R734" s="29" t="s">
        <v>1537</v>
      </c>
      <c r="S734" s="25" t="n">
        <f>2524319625</f>
        <v>2.524319625E9</v>
      </c>
      <c r="T734" s="25" t="n">
        <f>12112468</f>
        <v>1.2112468E7</v>
      </c>
      <c r="U734" s="3" t="s">
        <v>735</v>
      </c>
      <c r="V734" s="27" t="n">
        <f>5502371500</f>
        <v>5.5023715E9</v>
      </c>
      <c r="W734" s="3" t="s">
        <v>198</v>
      </c>
      <c r="X734" s="27" t="n">
        <f>584804000</f>
        <v>5.84804E8</v>
      </c>
      <c r="Y734" s="27"/>
      <c r="Z734" s="25" t="str">
        <f>"－"</f>
        <v>－</v>
      </c>
      <c r="AA734" s="25" t="n">
        <f>11857</f>
        <v>11857.0</v>
      </c>
      <c r="AB734" s="2" t="s">
        <v>64</v>
      </c>
      <c r="AC734" s="26" t="n">
        <f>12711</f>
        <v>12711.0</v>
      </c>
      <c r="AD734" s="3" t="s">
        <v>1158</v>
      </c>
      <c r="AE734" s="27" t="n">
        <f>7686</f>
        <v>7686.0</v>
      </c>
    </row>
    <row r="735">
      <c r="A735" s="20" t="s">
        <v>1524</v>
      </c>
      <c r="B735" s="21" t="s">
        <v>1525</v>
      </c>
      <c r="C735" s="22"/>
      <c r="D735" s="23"/>
      <c r="E735" s="24" t="s">
        <v>151</v>
      </c>
      <c r="F735" s="28" t="n">
        <f>122</f>
        <v>122.0</v>
      </c>
      <c r="G735" s="25" t="n">
        <f>298945</f>
        <v>298945.0</v>
      </c>
      <c r="H735" s="25"/>
      <c r="I735" s="25" t="n">
        <f>2554</f>
        <v>2554.0</v>
      </c>
      <c r="J735" s="25" t="n">
        <f>2450</f>
        <v>2450.0</v>
      </c>
      <c r="K735" s="25" t="n">
        <f>21</f>
        <v>21.0</v>
      </c>
      <c r="L735" s="2" t="s">
        <v>741</v>
      </c>
      <c r="M735" s="26" t="n">
        <f>6225</f>
        <v>6225.0</v>
      </c>
      <c r="N735" s="3" t="s">
        <v>1096</v>
      </c>
      <c r="O735" s="27" t="n">
        <f>626</f>
        <v>626.0</v>
      </c>
      <c r="P735" s="29" t="s">
        <v>1538</v>
      </c>
      <c r="Q735" s="25"/>
      <c r="R735" s="29" t="s">
        <v>1539</v>
      </c>
      <c r="S735" s="25" t="n">
        <f>2631863832</f>
        <v>2.631863832E9</v>
      </c>
      <c r="T735" s="25" t="n">
        <f>21930107</f>
        <v>2.1930107E7</v>
      </c>
      <c r="U735" s="3" t="s">
        <v>741</v>
      </c>
      <c r="V735" s="27" t="n">
        <f>6774959000</f>
        <v>6.774959E9</v>
      </c>
      <c r="W735" s="3" t="s">
        <v>184</v>
      </c>
      <c r="X735" s="27" t="n">
        <f>662017000</f>
        <v>6.62017E8</v>
      </c>
      <c r="Y735" s="27"/>
      <c r="Z735" s="25" t="str">
        <f>"－"</f>
        <v>－</v>
      </c>
      <c r="AA735" s="25" t="n">
        <f>17846</f>
        <v>17846.0</v>
      </c>
      <c r="AB735" s="2" t="s">
        <v>251</v>
      </c>
      <c r="AC735" s="26" t="n">
        <f>17846</f>
        <v>17846.0</v>
      </c>
      <c r="AD735" s="3" t="s">
        <v>741</v>
      </c>
      <c r="AE735" s="27" t="n">
        <f>10459</f>
        <v>10459.0</v>
      </c>
    </row>
    <row r="736">
      <c r="A736" s="20" t="s">
        <v>1524</v>
      </c>
      <c r="B736" s="21" t="s">
        <v>1525</v>
      </c>
      <c r="C736" s="22"/>
      <c r="D736" s="23"/>
      <c r="E736" s="24" t="s">
        <v>157</v>
      </c>
      <c r="F736" s="28" t="n">
        <f>124</f>
        <v>124.0</v>
      </c>
      <c r="G736" s="25" t="n">
        <f>351008</f>
        <v>351008.0</v>
      </c>
      <c r="H736" s="25"/>
      <c r="I736" s="25" t="n">
        <f>1976</f>
        <v>1976.0</v>
      </c>
      <c r="J736" s="25" t="n">
        <f>2831</f>
        <v>2831.0</v>
      </c>
      <c r="K736" s="25" t="n">
        <f>16</f>
        <v>16.0</v>
      </c>
      <c r="L736" s="2" t="s">
        <v>331</v>
      </c>
      <c r="M736" s="26" t="n">
        <f>13912</f>
        <v>13912.0</v>
      </c>
      <c r="N736" s="3" t="s">
        <v>50</v>
      </c>
      <c r="O736" s="27" t="n">
        <f>670</f>
        <v>670.0</v>
      </c>
      <c r="P736" s="29" t="s">
        <v>1540</v>
      </c>
      <c r="Q736" s="25"/>
      <c r="R736" s="29" t="s">
        <v>1541</v>
      </c>
      <c r="S736" s="25" t="n">
        <f>3230878282</f>
        <v>3.230878282E9</v>
      </c>
      <c r="T736" s="25" t="n">
        <f>16635512</f>
        <v>1.6635512E7</v>
      </c>
      <c r="U736" s="3" t="s">
        <v>331</v>
      </c>
      <c r="V736" s="27" t="n">
        <f>16172852500</f>
        <v>1.61728525E10</v>
      </c>
      <c r="W736" s="3" t="s">
        <v>50</v>
      </c>
      <c r="X736" s="27" t="n">
        <f>824703500</f>
        <v>8.247035E8</v>
      </c>
      <c r="Y736" s="27"/>
      <c r="Z736" s="25" t="str">
        <f>"－"</f>
        <v>－</v>
      </c>
      <c r="AA736" s="25" t="n">
        <f>5667</f>
        <v>5667.0</v>
      </c>
      <c r="AB736" s="2" t="s">
        <v>632</v>
      </c>
      <c r="AC736" s="26" t="n">
        <f>19962</f>
        <v>19962.0</v>
      </c>
      <c r="AD736" s="3" t="s">
        <v>50</v>
      </c>
      <c r="AE736" s="27" t="n">
        <f>5242</f>
        <v>5242.0</v>
      </c>
    </row>
    <row r="737">
      <c r="A737" s="20" t="s">
        <v>1524</v>
      </c>
      <c r="B737" s="21" t="s">
        <v>1525</v>
      </c>
      <c r="C737" s="22"/>
      <c r="D737" s="23"/>
      <c r="E737" s="24" t="s">
        <v>160</v>
      </c>
      <c r="F737" s="28" t="n">
        <f>58</f>
        <v>58.0</v>
      </c>
      <c r="G737" s="25" t="n">
        <f>137946</f>
        <v>137946.0</v>
      </c>
      <c r="H737" s="25"/>
      <c r="I737" s="25" t="n">
        <f>1357</f>
        <v>1357.0</v>
      </c>
      <c r="J737" s="25" t="n">
        <f>2378</f>
        <v>2378.0</v>
      </c>
      <c r="K737" s="25" t="n">
        <f>23</f>
        <v>23.0</v>
      </c>
      <c r="L737" s="2" t="s">
        <v>282</v>
      </c>
      <c r="M737" s="26" t="n">
        <f>5048</f>
        <v>5048.0</v>
      </c>
      <c r="N737" s="3" t="s">
        <v>123</v>
      </c>
      <c r="O737" s="27" t="n">
        <f>643</f>
        <v>643.0</v>
      </c>
      <c r="P737" s="29" t="s">
        <v>1542</v>
      </c>
      <c r="Q737" s="25"/>
      <c r="R737" s="29" t="s">
        <v>1543</v>
      </c>
      <c r="S737" s="25" t="n">
        <f>3573416914</f>
        <v>3.573416914E9</v>
      </c>
      <c r="T737" s="25" t="n">
        <f>34850629</f>
        <v>3.4850629E7</v>
      </c>
      <c r="U737" s="3" t="s">
        <v>282</v>
      </c>
      <c r="V737" s="27" t="n">
        <f>8688839000</f>
        <v>8.688839E9</v>
      </c>
      <c r="W737" s="3" t="s">
        <v>706</v>
      </c>
      <c r="X737" s="27" t="n">
        <f>822774500</f>
        <v>8.227745E8</v>
      </c>
      <c r="Y737" s="27"/>
      <c r="Z737" s="25" t="str">
        <f>"－"</f>
        <v>－</v>
      </c>
      <c r="AA737" s="25" t="n">
        <f>8154</f>
        <v>8154.0</v>
      </c>
      <c r="AB737" s="2" t="s">
        <v>60</v>
      </c>
      <c r="AC737" s="26" t="n">
        <f>10043</f>
        <v>10043.0</v>
      </c>
      <c r="AD737" s="3" t="s">
        <v>171</v>
      </c>
      <c r="AE737" s="27" t="n">
        <f>5093</f>
        <v>5093.0</v>
      </c>
    </row>
    <row r="738">
      <c r="A738" s="20" t="s">
        <v>1544</v>
      </c>
      <c r="B738" s="21" t="s">
        <v>1545</v>
      </c>
      <c r="C738" s="22"/>
      <c r="D738" s="23"/>
      <c r="E738" s="24" t="s">
        <v>124</v>
      </c>
      <c r="F738" s="28" t="n">
        <f>108</f>
        <v>108.0</v>
      </c>
      <c r="G738" s="25" t="n">
        <f>80</f>
        <v>80.0</v>
      </c>
      <c r="H738" s="25"/>
      <c r="I738" s="25" t="n">
        <f>40</f>
        <v>40.0</v>
      </c>
      <c r="J738" s="25" t="n">
        <f>1</f>
        <v>1.0</v>
      </c>
      <c r="K738" s="25" t="n">
        <f>0</f>
        <v>0.0</v>
      </c>
      <c r="L738" s="2" t="s">
        <v>388</v>
      </c>
      <c r="M738" s="26" t="n">
        <f>40</f>
        <v>40.0</v>
      </c>
      <c r="N738" s="3" t="s">
        <v>198</v>
      </c>
      <c r="O738" s="27" t="str">
        <f>"－"</f>
        <v>－</v>
      </c>
      <c r="P738" s="29" t="s">
        <v>1546</v>
      </c>
      <c r="Q738" s="25"/>
      <c r="R738" s="29" t="s">
        <v>1547</v>
      </c>
      <c r="S738" s="25" t="n">
        <f>532407</f>
        <v>532407.0</v>
      </c>
      <c r="T738" s="25" t="n">
        <f>268519</f>
        <v>268519.0</v>
      </c>
      <c r="U738" s="3" t="s">
        <v>467</v>
      </c>
      <c r="V738" s="27" t="n">
        <f>29000000</f>
        <v>2.9E7</v>
      </c>
      <c r="W738" s="3" t="s">
        <v>198</v>
      </c>
      <c r="X738" s="27" t="str">
        <f>"－"</f>
        <v>－</v>
      </c>
      <c r="Y738" s="27"/>
      <c r="Z738" s="25" t="str">
        <f>"－"</f>
        <v>－</v>
      </c>
      <c r="AA738" s="25" t="str">
        <f>"－"</f>
        <v>－</v>
      </c>
      <c r="AB738" s="2" t="s">
        <v>388</v>
      </c>
      <c r="AC738" s="26" t="n">
        <f>40</f>
        <v>40.0</v>
      </c>
      <c r="AD738" s="3" t="s">
        <v>198</v>
      </c>
      <c r="AE738" s="27" t="str">
        <f>"－"</f>
        <v>－</v>
      </c>
    </row>
    <row r="739">
      <c r="A739" s="20" t="s">
        <v>1544</v>
      </c>
      <c r="B739" s="21" t="s">
        <v>1545</v>
      </c>
      <c r="C739" s="22"/>
      <c r="D739" s="23"/>
      <c r="E739" s="24" t="s">
        <v>130</v>
      </c>
      <c r="F739" s="28" t="n">
        <f>121</f>
        <v>121.0</v>
      </c>
      <c r="G739" s="25" t="n">
        <f>28</f>
        <v>28.0</v>
      </c>
      <c r="H739" s="25"/>
      <c r="I739" s="25" t="n">
        <f>4</f>
        <v>4.0</v>
      </c>
      <c r="J739" s="25" t="n">
        <f>0</f>
        <v>0.0</v>
      </c>
      <c r="K739" s="25" t="n">
        <f>0</f>
        <v>0.0</v>
      </c>
      <c r="L739" s="2" t="s">
        <v>767</v>
      </c>
      <c r="M739" s="26" t="n">
        <f>12</f>
        <v>12.0</v>
      </c>
      <c r="N739" s="3" t="s">
        <v>156</v>
      </c>
      <c r="O739" s="27" t="str">
        <f>"－"</f>
        <v>－</v>
      </c>
      <c r="P739" s="29" t="s">
        <v>1548</v>
      </c>
      <c r="Q739" s="25"/>
      <c r="R739" s="29" t="s">
        <v>1549</v>
      </c>
      <c r="S739" s="25" t="n">
        <f>202640</f>
        <v>202640.0</v>
      </c>
      <c r="T739" s="25" t="n">
        <f>29041</f>
        <v>29041.0</v>
      </c>
      <c r="U739" s="3" t="s">
        <v>767</v>
      </c>
      <c r="V739" s="27" t="n">
        <f>10524500</f>
        <v>1.05245E7</v>
      </c>
      <c r="W739" s="3" t="s">
        <v>156</v>
      </c>
      <c r="X739" s="27" t="str">
        <f>"－"</f>
        <v>－</v>
      </c>
      <c r="Y739" s="27"/>
      <c r="Z739" s="25" t="str">
        <f>"－"</f>
        <v>－</v>
      </c>
      <c r="AA739" s="25" t="str">
        <f>"－"</f>
        <v>－</v>
      </c>
      <c r="AB739" s="2" t="s">
        <v>1326</v>
      </c>
      <c r="AC739" s="26" t="n">
        <f>3</f>
        <v>3.0</v>
      </c>
      <c r="AD739" s="3" t="s">
        <v>156</v>
      </c>
      <c r="AE739" s="27" t="str">
        <f>"－"</f>
        <v>－</v>
      </c>
    </row>
    <row r="740">
      <c r="A740" s="20" t="s">
        <v>1544</v>
      </c>
      <c r="B740" s="21" t="s">
        <v>1545</v>
      </c>
      <c r="C740" s="22"/>
      <c r="D740" s="23"/>
      <c r="E740" s="24" t="s">
        <v>136</v>
      </c>
      <c r="F740" s="28" t="n">
        <f>124</f>
        <v>124.0</v>
      </c>
      <c r="G740" s="25" t="n">
        <f>337</f>
        <v>337.0</v>
      </c>
      <c r="H740" s="25"/>
      <c r="I740" s="25" t="n">
        <f>13</f>
        <v>13.0</v>
      </c>
      <c r="J740" s="25" t="n">
        <f>3</f>
        <v>3.0</v>
      </c>
      <c r="K740" s="25" t="n">
        <f>0</f>
        <v>0.0</v>
      </c>
      <c r="L740" s="2" t="s">
        <v>320</v>
      </c>
      <c r="M740" s="26" t="n">
        <f>50</f>
        <v>50.0</v>
      </c>
      <c r="N740" s="3" t="s">
        <v>68</v>
      </c>
      <c r="O740" s="27" t="str">
        <f>"－"</f>
        <v>－</v>
      </c>
      <c r="P740" s="29" t="s">
        <v>1550</v>
      </c>
      <c r="Q740" s="25"/>
      <c r="R740" s="29" t="s">
        <v>1551</v>
      </c>
      <c r="S740" s="25" t="n">
        <f>2649121</f>
        <v>2649121.0</v>
      </c>
      <c r="T740" s="25" t="n">
        <f>99339</f>
        <v>99339.0</v>
      </c>
      <c r="U740" s="3" t="s">
        <v>320</v>
      </c>
      <c r="V740" s="27" t="n">
        <f>47901500</f>
        <v>4.79015E7</v>
      </c>
      <c r="W740" s="3" t="s">
        <v>68</v>
      </c>
      <c r="X740" s="27" t="str">
        <f>"－"</f>
        <v>－</v>
      </c>
      <c r="Y740" s="27"/>
      <c r="Z740" s="25" t="str">
        <f>"－"</f>
        <v>－</v>
      </c>
      <c r="AA740" s="25" t="str">
        <f>"－"</f>
        <v>－</v>
      </c>
      <c r="AB740" s="2" t="s">
        <v>1067</v>
      </c>
      <c r="AC740" s="26" t="n">
        <f>21</f>
        <v>21.0</v>
      </c>
      <c r="AD740" s="3" t="s">
        <v>68</v>
      </c>
      <c r="AE740" s="27" t="str">
        <f>"－"</f>
        <v>－</v>
      </c>
    </row>
    <row r="741">
      <c r="A741" s="20" t="s">
        <v>1544</v>
      </c>
      <c r="B741" s="21" t="s">
        <v>1545</v>
      </c>
      <c r="C741" s="22"/>
      <c r="D741" s="23"/>
      <c r="E741" s="24" t="s">
        <v>142</v>
      </c>
      <c r="F741" s="28" t="n">
        <f>120</f>
        <v>120.0</v>
      </c>
      <c r="G741" s="25" t="n">
        <f>378</f>
        <v>378.0</v>
      </c>
      <c r="H741" s="25"/>
      <c r="I741" s="25" t="n">
        <f>3</f>
        <v>3.0</v>
      </c>
      <c r="J741" s="25" t="n">
        <f>3</f>
        <v>3.0</v>
      </c>
      <c r="K741" s="25" t="n">
        <f>0</f>
        <v>0.0</v>
      </c>
      <c r="L741" s="2" t="s">
        <v>448</v>
      </c>
      <c r="M741" s="26" t="n">
        <f>30</f>
        <v>30.0</v>
      </c>
      <c r="N741" s="3" t="s">
        <v>369</v>
      </c>
      <c r="O741" s="27" t="str">
        <f>"－"</f>
        <v>－</v>
      </c>
      <c r="P741" s="29" t="s">
        <v>1552</v>
      </c>
      <c r="Q741" s="25"/>
      <c r="R741" s="29" t="s">
        <v>1553</v>
      </c>
      <c r="S741" s="25" t="n">
        <f>3251125</f>
        <v>3251125.0</v>
      </c>
      <c r="T741" s="25" t="n">
        <f>25575</f>
        <v>25575.0</v>
      </c>
      <c r="U741" s="3" t="s">
        <v>56</v>
      </c>
      <c r="V741" s="27" t="n">
        <f>30802500</f>
        <v>3.08025E7</v>
      </c>
      <c r="W741" s="3" t="s">
        <v>369</v>
      </c>
      <c r="X741" s="27" t="str">
        <f>"－"</f>
        <v>－</v>
      </c>
      <c r="Y741" s="27"/>
      <c r="Z741" s="25" t="str">
        <f>"－"</f>
        <v>－</v>
      </c>
      <c r="AA741" s="25" t="str">
        <f>"－"</f>
        <v>－</v>
      </c>
      <c r="AB741" s="2" t="s">
        <v>963</v>
      </c>
      <c r="AC741" s="26" t="n">
        <f>6</f>
        <v>6.0</v>
      </c>
      <c r="AD741" s="3" t="s">
        <v>147</v>
      </c>
      <c r="AE741" s="27" t="str">
        <f>"－"</f>
        <v>－</v>
      </c>
    </row>
    <row r="742">
      <c r="A742" s="20" t="s">
        <v>1544</v>
      </c>
      <c r="B742" s="21" t="s">
        <v>1545</v>
      </c>
      <c r="C742" s="22"/>
      <c r="D742" s="23"/>
      <c r="E742" s="24" t="s">
        <v>148</v>
      </c>
      <c r="F742" s="28" t="n">
        <f>124</f>
        <v>124.0</v>
      </c>
      <c r="G742" s="25" t="n">
        <f>259</f>
        <v>259.0</v>
      </c>
      <c r="H742" s="25"/>
      <c r="I742" s="25" t="str">
        <f>"－"</f>
        <v>－</v>
      </c>
      <c r="J742" s="25" t="n">
        <f>2</f>
        <v>2.0</v>
      </c>
      <c r="K742" s="25" t="str">
        <f>"－"</f>
        <v>－</v>
      </c>
      <c r="L742" s="2" t="s">
        <v>141</v>
      </c>
      <c r="M742" s="26" t="n">
        <f>45</f>
        <v>45.0</v>
      </c>
      <c r="N742" s="3" t="s">
        <v>68</v>
      </c>
      <c r="O742" s="27" t="str">
        <f>"－"</f>
        <v>－</v>
      </c>
      <c r="P742" s="29" t="s">
        <v>1554</v>
      </c>
      <c r="Q742" s="25"/>
      <c r="R742" s="29" t="s">
        <v>262</v>
      </c>
      <c r="S742" s="25" t="n">
        <f>1935617</f>
        <v>1935617.0</v>
      </c>
      <c r="T742" s="25" t="str">
        <f>"－"</f>
        <v>－</v>
      </c>
      <c r="U742" s="3" t="s">
        <v>288</v>
      </c>
      <c r="V742" s="27" t="n">
        <f>42394500</f>
        <v>4.23945E7</v>
      </c>
      <c r="W742" s="3" t="s">
        <v>68</v>
      </c>
      <c r="X742" s="27" t="str">
        <f>"－"</f>
        <v>－</v>
      </c>
      <c r="Y742" s="27"/>
      <c r="Z742" s="25" t="str">
        <f>"－"</f>
        <v>－</v>
      </c>
      <c r="AA742" s="25" t="str">
        <f>"－"</f>
        <v>－</v>
      </c>
      <c r="AB742" s="2" t="s">
        <v>141</v>
      </c>
      <c r="AC742" s="26" t="n">
        <f>3</f>
        <v>3.0</v>
      </c>
      <c r="AD742" s="3" t="s">
        <v>68</v>
      </c>
      <c r="AE742" s="27" t="str">
        <f>"－"</f>
        <v>－</v>
      </c>
    </row>
    <row r="743">
      <c r="A743" s="20" t="s">
        <v>1544</v>
      </c>
      <c r="B743" s="21" t="s">
        <v>1545</v>
      </c>
      <c r="C743" s="22"/>
      <c r="D743" s="23"/>
      <c r="E743" s="24" t="s">
        <v>151</v>
      </c>
      <c r="F743" s="28" t="n">
        <f>122</f>
        <v>122.0</v>
      </c>
      <c r="G743" s="25" t="n">
        <f>58</f>
        <v>58.0</v>
      </c>
      <c r="H743" s="25"/>
      <c r="I743" s="25" t="str">
        <f>"－"</f>
        <v>－</v>
      </c>
      <c r="J743" s="25" t="n">
        <f>0</f>
        <v>0.0</v>
      </c>
      <c r="K743" s="25" t="str">
        <f>"－"</f>
        <v>－</v>
      </c>
      <c r="L743" s="2" t="s">
        <v>1027</v>
      </c>
      <c r="M743" s="26" t="n">
        <f>33</f>
        <v>33.0</v>
      </c>
      <c r="N743" s="3" t="s">
        <v>156</v>
      </c>
      <c r="O743" s="27" t="str">
        <f>"－"</f>
        <v>－</v>
      </c>
      <c r="P743" s="29" t="s">
        <v>1555</v>
      </c>
      <c r="Q743" s="25"/>
      <c r="R743" s="29" t="s">
        <v>262</v>
      </c>
      <c r="S743" s="25" t="n">
        <f>433984</f>
        <v>433984.0</v>
      </c>
      <c r="T743" s="25" t="str">
        <f>"－"</f>
        <v>－</v>
      </c>
      <c r="U743" s="3" t="s">
        <v>1027</v>
      </c>
      <c r="V743" s="27" t="n">
        <f>30741000</f>
        <v>3.0741E7</v>
      </c>
      <c r="W743" s="3" t="s">
        <v>156</v>
      </c>
      <c r="X743" s="27" t="str">
        <f>"－"</f>
        <v>－</v>
      </c>
      <c r="Y743" s="27"/>
      <c r="Z743" s="25" t="str">
        <f>"－"</f>
        <v>－</v>
      </c>
      <c r="AA743" s="25" t="str">
        <f>"－"</f>
        <v>－</v>
      </c>
      <c r="AB743" s="2" t="s">
        <v>156</v>
      </c>
      <c r="AC743" s="26" t="str">
        <f>"－"</f>
        <v>－</v>
      </c>
      <c r="AD743" s="3" t="s">
        <v>156</v>
      </c>
      <c r="AE743" s="27" t="str">
        <f>"－"</f>
        <v>－</v>
      </c>
    </row>
    <row r="744">
      <c r="A744" s="20" t="s">
        <v>1544</v>
      </c>
      <c r="B744" s="21" t="s">
        <v>1545</v>
      </c>
      <c r="C744" s="22"/>
      <c r="D744" s="23"/>
      <c r="E744" s="24" t="s">
        <v>157</v>
      </c>
      <c r="F744" s="28" t="n">
        <f>124</f>
        <v>124.0</v>
      </c>
      <c r="G744" s="25" t="n">
        <f>33</f>
        <v>33.0</v>
      </c>
      <c r="H744" s="25"/>
      <c r="I744" s="25" t="str">
        <f>"－"</f>
        <v>－</v>
      </c>
      <c r="J744" s="25" t="n">
        <f>0</f>
        <v>0.0</v>
      </c>
      <c r="K744" s="25" t="str">
        <f>"－"</f>
        <v>－</v>
      </c>
      <c r="L744" s="2" t="s">
        <v>240</v>
      </c>
      <c r="M744" s="26" t="n">
        <f>12</f>
        <v>12.0</v>
      </c>
      <c r="N744" s="3" t="s">
        <v>633</v>
      </c>
      <c r="O744" s="27" t="str">
        <f>"－"</f>
        <v>－</v>
      </c>
      <c r="P744" s="29" t="s">
        <v>1556</v>
      </c>
      <c r="Q744" s="25"/>
      <c r="R744" s="29" t="s">
        <v>262</v>
      </c>
      <c r="S744" s="25" t="n">
        <f>252387</f>
        <v>252387.0</v>
      </c>
      <c r="T744" s="25" t="str">
        <f>"－"</f>
        <v>－</v>
      </c>
      <c r="U744" s="3" t="s">
        <v>240</v>
      </c>
      <c r="V744" s="27" t="n">
        <f>10878000</f>
        <v>1.0878E7</v>
      </c>
      <c r="W744" s="3" t="s">
        <v>633</v>
      </c>
      <c r="X744" s="27" t="str">
        <f>"－"</f>
        <v>－</v>
      </c>
      <c r="Y744" s="27"/>
      <c r="Z744" s="25" t="str">
        <f>"－"</f>
        <v>－</v>
      </c>
      <c r="AA744" s="25" t="str">
        <f>"－"</f>
        <v>－</v>
      </c>
      <c r="AB744" s="2" t="s">
        <v>846</v>
      </c>
      <c r="AC744" s="26" t="n">
        <f>3</f>
        <v>3.0</v>
      </c>
      <c r="AD744" s="3" t="s">
        <v>633</v>
      </c>
      <c r="AE744" s="27" t="str">
        <f>"－"</f>
        <v>－</v>
      </c>
    </row>
    <row r="745">
      <c r="A745" s="20" t="s">
        <v>1544</v>
      </c>
      <c r="B745" s="21" t="s">
        <v>1545</v>
      </c>
      <c r="C745" s="22"/>
      <c r="D745" s="23"/>
      <c r="E745" s="24" t="s">
        <v>160</v>
      </c>
      <c r="F745" s="28" t="n">
        <f>58</f>
        <v>58.0</v>
      </c>
      <c r="G745" s="25" t="n">
        <f>13</f>
        <v>13.0</v>
      </c>
      <c r="H745" s="25"/>
      <c r="I745" s="25" t="str">
        <f>"－"</f>
        <v>－</v>
      </c>
      <c r="J745" s="25" t="n">
        <f>0</f>
        <v>0.0</v>
      </c>
      <c r="K745" s="25" t="str">
        <f>"－"</f>
        <v>－</v>
      </c>
      <c r="L745" s="2" t="s">
        <v>226</v>
      </c>
      <c r="M745" s="26" t="n">
        <f>6</f>
        <v>6.0</v>
      </c>
      <c r="N745" s="3" t="s">
        <v>156</v>
      </c>
      <c r="O745" s="27" t="str">
        <f>"－"</f>
        <v>－</v>
      </c>
      <c r="P745" s="29" t="s">
        <v>1557</v>
      </c>
      <c r="Q745" s="25"/>
      <c r="R745" s="29" t="s">
        <v>262</v>
      </c>
      <c r="S745" s="25" t="n">
        <f>261724</f>
        <v>261724.0</v>
      </c>
      <c r="T745" s="25" t="str">
        <f>"－"</f>
        <v>－</v>
      </c>
      <c r="U745" s="3" t="s">
        <v>226</v>
      </c>
      <c r="V745" s="27" t="n">
        <f>6903000</f>
        <v>6903000.0</v>
      </c>
      <c r="W745" s="3" t="s">
        <v>156</v>
      </c>
      <c r="X745" s="27" t="str">
        <f>"－"</f>
        <v>－</v>
      </c>
      <c r="Y745" s="27"/>
      <c r="Z745" s="25" t="str">
        <f>"－"</f>
        <v>－</v>
      </c>
      <c r="AA745" s="25" t="str">
        <f>"－"</f>
        <v>－</v>
      </c>
      <c r="AB745" s="2" t="s">
        <v>156</v>
      </c>
      <c r="AC745" s="26" t="str">
        <f>"－"</f>
        <v>－</v>
      </c>
      <c r="AD745" s="3" t="s">
        <v>156</v>
      </c>
      <c r="AE745" s="27" t="str">
        <f>"－"</f>
        <v>－</v>
      </c>
    </row>
    <row r="746">
      <c r="A746" s="20" t="s">
        <v>1558</v>
      </c>
      <c r="B746" s="21" t="s">
        <v>1559</v>
      </c>
      <c r="C746" s="22"/>
      <c r="D746" s="23"/>
      <c r="E746" s="24" t="s">
        <v>124</v>
      </c>
      <c r="F746" s="28" t="n">
        <f>108</f>
        <v>108.0</v>
      </c>
      <c r="G746" s="25" t="n">
        <f>18628</f>
        <v>18628.0</v>
      </c>
      <c r="H746" s="25"/>
      <c r="I746" s="25" t="n">
        <f>241</f>
        <v>241.0</v>
      </c>
      <c r="J746" s="25" t="n">
        <f>172</f>
        <v>172.0</v>
      </c>
      <c r="K746" s="25" t="n">
        <f>2</f>
        <v>2.0</v>
      </c>
      <c r="L746" s="2" t="s">
        <v>923</v>
      </c>
      <c r="M746" s="26" t="n">
        <f>410</f>
        <v>410.0</v>
      </c>
      <c r="N746" s="3" t="s">
        <v>1502</v>
      </c>
      <c r="O746" s="27" t="n">
        <f>19</f>
        <v>19.0</v>
      </c>
      <c r="P746" s="29" t="s">
        <v>1560</v>
      </c>
      <c r="Q746" s="25"/>
      <c r="R746" s="29" t="s">
        <v>1561</v>
      </c>
      <c r="S746" s="25" t="n">
        <f>207431282</f>
        <v>2.07431282E8</v>
      </c>
      <c r="T746" s="25" t="n">
        <f>2764037</f>
        <v>2764037.0</v>
      </c>
      <c r="U746" s="3" t="s">
        <v>923</v>
      </c>
      <c r="V746" s="27" t="n">
        <f>492124000</f>
        <v>4.92124E8</v>
      </c>
      <c r="W746" s="3" t="s">
        <v>1502</v>
      </c>
      <c r="X746" s="27" t="n">
        <f>22506500</f>
        <v>2.25065E7</v>
      </c>
      <c r="Y746" s="27"/>
      <c r="Z746" s="25" t="str">
        <f>"－"</f>
        <v>－</v>
      </c>
      <c r="AA746" s="25" t="n">
        <f>1515</f>
        <v>1515.0</v>
      </c>
      <c r="AB746" s="2" t="s">
        <v>1024</v>
      </c>
      <c r="AC746" s="26" t="n">
        <f>1951</f>
        <v>1951.0</v>
      </c>
      <c r="AD746" s="3" t="s">
        <v>882</v>
      </c>
      <c r="AE746" s="27" t="n">
        <f>1408</f>
        <v>1408.0</v>
      </c>
    </row>
    <row r="747">
      <c r="A747" s="20" t="s">
        <v>1558</v>
      </c>
      <c r="B747" s="21" t="s">
        <v>1559</v>
      </c>
      <c r="C747" s="22"/>
      <c r="D747" s="23"/>
      <c r="E747" s="24" t="s">
        <v>130</v>
      </c>
      <c r="F747" s="28" t="n">
        <f>121</f>
        <v>121.0</v>
      </c>
      <c r="G747" s="25" t="n">
        <f>44694</f>
        <v>44694.0</v>
      </c>
      <c r="H747" s="25"/>
      <c r="I747" s="25" t="n">
        <f>350</f>
        <v>350.0</v>
      </c>
      <c r="J747" s="25" t="n">
        <f>369</f>
        <v>369.0</v>
      </c>
      <c r="K747" s="25" t="n">
        <f>3</f>
        <v>3.0</v>
      </c>
      <c r="L747" s="2" t="s">
        <v>1089</v>
      </c>
      <c r="M747" s="26" t="n">
        <f>1188</f>
        <v>1188.0</v>
      </c>
      <c r="N747" s="3" t="s">
        <v>1179</v>
      </c>
      <c r="O747" s="27" t="n">
        <f>43</f>
        <v>43.0</v>
      </c>
      <c r="P747" s="29" t="s">
        <v>1562</v>
      </c>
      <c r="Q747" s="25"/>
      <c r="R747" s="29" t="s">
        <v>1563</v>
      </c>
      <c r="S747" s="25" t="n">
        <f>597526764</f>
        <v>5.97526764E8</v>
      </c>
      <c r="T747" s="25" t="n">
        <f>4584037</f>
        <v>4584037.0</v>
      </c>
      <c r="U747" s="3" t="s">
        <v>1089</v>
      </c>
      <c r="V747" s="27" t="n">
        <f>1982200000</f>
        <v>1.9822E9</v>
      </c>
      <c r="W747" s="3" t="s">
        <v>1179</v>
      </c>
      <c r="X747" s="27" t="n">
        <f>64003000</f>
        <v>6.4003E7</v>
      </c>
      <c r="Y747" s="27"/>
      <c r="Z747" s="25" t="str">
        <f>"－"</f>
        <v>－</v>
      </c>
      <c r="AA747" s="25" t="n">
        <f>2206</f>
        <v>2206.0</v>
      </c>
      <c r="AB747" s="2" t="s">
        <v>1144</v>
      </c>
      <c r="AC747" s="26" t="n">
        <f>2230</f>
        <v>2230.0</v>
      </c>
      <c r="AD747" s="3" t="s">
        <v>147</v>
      </c>
      <c r="AE747" s="27" t="n">
        <f>1483</f>
        <v>1483.0</v>
      </c>
    </row>
    <row r="748">
      <c r="A748" s="20" t="s">
        <v>1558</v>
      </c>
      <c r="B748" s="21" t="s">
        <v>1559</v>
      </c>
      <c r="C748" s="22"/>
      <c r="D748" s="23"/>
      <c r="E748" s="24" t="s">
        <v>136</v>
      </c>
      <c r="F748" s="28" t="n">
        <f>124</f>
        <v>124.0</v>
      </c>
      <c r="G748" s="25" t="n">
        <f>26525</f>
        <v>26525.0</v>
      </c>
      <c r="H748" s="25"/>
      <c r="I748" s="25" t="n">
        <f>124</f>
        <v>124.0</v>
      </c>
      <c r="J748" s="25" t="n">
        <f>214</f>
        <v>214.0</v>
      </c>
      <c r="K748" s="25" t="n">
        <f>1</f>
        <v>1.0</v>
      </c>
      <c r="L748" s="2" t="s">
        <v>68</v>
      </c>
      <c r="M748" s="26" t="n">
        <f>1095</f>
        <v>1095.0</v>
      </c>
      <c r="N748" s="3" t="s">
        <v>882</v>
      </c>
      <c r="O748" s="27" t="n">
        <f>25</f>
        <v>25.0</v>
      </c>
      <c r="P748" s="29" t="s">
        <v>1564</v>
      </c>
      <c r="Q748" s="25"/>
      <c r="R748" s="29" t="s">
        <v>1565</v>
      </c>
      <c r="S748" s="25" t="n">
        <f>397450988</f>
        <v>3.97450988E8</v>
      </c>
      <c r="T748" s="25" t="n">
        <f>1914819</f>
        <v>1914819.0</v>
      </c>
      <c r="U748" s="3" t="s">
        <v>68</v>
      </c>
      <c r="V748" s="27" t="n">
        <f>1941720000</f>
        <v>1.94172E9</v>
      </c>
      <c r="W748" s="3" t="s">
        <v>882</v>
      </c>
      <c r="X748" s="27" t="n">
        <f>47638000</f>
        <v>4.7638E7</v>
      </c>
      <c r="Y748" s="27"/>
      <c r="Z748" s="25" t="str">
        <f>"－"</f>
        <v>－</v>
      </c>
      <c r="AA748" s="25" t="n">
        <f>1945</f>
        <v>1945.0</v>
      </c>
      <c r="AB748" s="2" t="s">
        <v>321</v>
      </c>
      <c r="AC748" s="26" t="n">
        <f>2191</f>
        <v>2191.0</v>
      </c>
      <c r="AD748" s="3" t="s">
        <v>1331</v>
      </c>
      <c r="AE748" s="27" t="n">
        <f>1801</f>
        <v>1801.0</v>
      </c>
    </row>
    <row r="749">
      <c r="A749" s="20" t="s">
        <v>1558</v>
      </c>
      <c r="B749" s="21" t="s">
        <v>1559</v>
      </c>
      <c r="C749" s="22"/>
      <c r="D749" s="23"/>
      <c r="E749" s="24" t="s">
        <v>142</v>
      </c>
      <c r="F749" s="28" t="n">
        <f>120</f>
        <v>120.0</v>
      </c>
      <c r="G749" s="25" t="n">
        <f>29890</f>
        <v>29890.0</v>
      </c>
      <c r="H749" s="25"/>
      <c r="I749" s="25" t="n">
        <f>777</f>
        <v>777.0</v>
      </c>
      <c r="J749" s="25" t="n">
        <f>249</f>
        <v>249.0</v>
      </c>
      <c r="K749" s="25" t="n">
        <f>6</f>
        <v>6.0</v>
      </c>
      <c r="L749" s="2" t="s">
        <v>767</v>
      </c>
      <c r="M749" s="26" t="n">
        <f>975</f>
        <v>975.0</v>
      </c>
      <c r="N749" s="3" t="s">
        <v>185</v>
      </c>
      <c r="O749" s="27" t="n">
        <f>61</f>
        <v>61.0</v>
      </c>
      <c r="P749" s="29" t="s">
        <v>1566</v>
      </c>
      <c r="Q749" s="25"/>
      <c r="R749" s="29" t="s">
        <v>1567</v>
      </c>
      <c r="S749" s="25" t="n">
        <f>637583571</f>
        <v>6.37583571E8</v>
      </c>
      <c r="T749" s="25" t="n">
        <f>18721238</f>
        <v>1.8721238E7</v>
      </c>
      <c r="U749" s="3" t="s">
        <v>767</v>
      </c>
      <c r="V749" s="27" t="n">
        <f>2793792000</f>
        <v>2.793792E9</v>
      </c>
      <c r="W749" s="3" t="s">
        <v>185</v>
      </c>
      <c r="X749" s="27" t="n">
        <f>130001500</f>
        <v>1.300015E8</v>
      </c>
      <c r="Y749" s="27"/>
      <c r="Z749" s="25" t="str">
        <f>"－"</f>
        <v>－</v>
      </c>
      <c r="AA749" s="25" t="n">
        <f>2049</f>
        <v>2049.0</v>
      </c>
      <c r="AB749" s="2" t="s">
        <v>670</v>
      </c>
      <c r="AC749" s="26" t="n">
        <f>2238</f>
        <v>2238.0</v>
      </c>
      <c r="AD749" s="3" t="s">
        <v>1091</v>
      </c>
      <c r="AE749" s="27" t="n">
        <f>1908</f>
        <v>1908.0</v>
      </c>
    </row>
    <row r="750">
      <c r="A750" s="20" t="s">
        <v>1558</v>
      </c>
      <c r="B750" s="21" t="s">
        <v>1559</v>
      </c>
      <c r="C750" s="22"/>
      <c r="D750" s="23"/>
      <c r="E750" s="24" t="s">
        <v>148</v>
      </c>
      <c r="F750" s="28" t="n">
        <f>124</f>
        <v>124.0</v>
      </c>
      <c r="G750" s="25" t="n">
        <f>23304</f>
        <v>23304.0</v>
      </c>
      <c r="H750" s="25"/>
      <c r="I750" s="25" t="n">
        <f>508</f>
        <v>508.0</v>
      </c>
      <c r="J750" s="25" t="n">
        <f>188</f>
        <v>188.0</v>
      </c>
      <c r="K750" s="25" t="n">
        <f>4</f>
        <v>4.0</v>
      </c>
      <c r="L750" s="2" t="s">
        <v>321</v>
      </c>
      <c r="M750" s="26" t="n">
        <f>784</f>
        <v>784.0</v>
      </c>
      <c r="N750" s="3" t="s">
        <v>81</v>
      </c>
      <c r="O750" s="27" t="n">
        <f>38</f>
        <v>38.0</v>
      </c>
      <c r="P750" s="29" t="s">
        <v>1568</v>
      </c>
      <c r="Q750" s="25"/>
      <c r="R750" s="29" t="s">
        <v>1569</v>
      </c>
      <c r="S750" s="25" t="n">
        <f>449028331</f>
        <v>4.49028331E8</v>
      </c>
      <c r="T750" s="25" t="n">
        <f>8991355</f>
        <v>8991355.0</v>
      </c>
      <c r="U750" s="3" t="s">
        <v>321</v>
      </c>
      <c r="V750" s="27" t="n">
        <f>1816293000</f>
        <v>1.816293E9</v>
      </c>
      <c r="W750" s="3" t="s">
        <v>81</v>
      </c>
      <c r="X750" s="27" t="n">
        <f>85800000</f>
        <v>8.58E7</v>
      </c>
      <c r="Y750" s="27"/>
      <c r="Z750" s="25" t="str">
        <f>"－"</f>
        <v>－</v>
      </c>
      <c r="AA750" s="25" t="n">
        <f>1576</f>
        <v>1576.0</v>
      </c>
      <c r="AB750" s="2" t="s">
        <v>1015</v>
      </c>
      <c r="AC750" s="26" t="n">
        <f>2352</f>
        <v>2352.0</v>
      </c>
      <c r="AD750" s="3" t="s">
        <v>53</v>
      </c>
      <c r="AE750" s="27" t="n">
        <f>1551</f>
        <v>1551.0</v>
      </c>
    </row>
    <row r="751">
      <c r="A751" s="20" t="s">
        <v>1558</v>
      </c>
      <c r="B751" s="21" t="s">
        <v>1559</v>
      </c>
      <c r="C751" s="22"/>
      <c r="D751" s="23"/>
      <c r="E751" s="24" t="s">
        <v>151</v>
      </c>
      <c r="F751" s="28" t="n">
        <f>122</f>
        <v>122.0</v>
      </c>
      <c r="G751" s="25" t="n">
        <f>9695</f>
        <v>9695.0</v>
      </c>
      <c r="H751" s="25"/>
      <c r="I751" s="25" t="n">
        <f>378</f>
        <v>378.0</v>
      </c>
      <c r="J751" s="25" t="n">
        <f>79</f>
        <v>79.0</v>
      </c>
      <c r="K751" s="25" t="n">
        <f>3</f>
        <v>3.0</v>
      </c>
      <c r="L751" s="2" t="s">
        <v>397</v>
      </c>
      <c r="M751" s="26" t="n">
        <f>251</f>
        <v>251.0</v>
      </c>
      <c r="N751" s="3" t="s">
        <v>84</v>
      </c>
      <c r="O751" s="27" t="n">
        <f>16</f>
        <v>16.0</v>
      </c>
      <c r="P751" s="29" t="s">
        <v>1570</v>
      </c>
      <c r="Q751" s="25"/>
      <c r="R751" s="29" t="s">
        <v>1571</v>
      </c>
      <c r="S751" s="25" t="n">
        <f>170287758</f>
        <v>1.70287758E8</v>
      </c>
      <c r="T751" s="25" t="n">
        <f>6878914</f>
        <v>6878914.0</v>
      </c>
      <c r="U751" s="3" t="s">
        <v>397</v>
      </c>
      <c r="V751" s="27" t="n">
        <f>547553500</f>
        <v>5.475535E8</v>
      </c>
      <c r="W751" s="3" t="s">
        <v>84</v>
      </c>
      <c r="X751" s="27" t="n">
        <f>34978000</f>
        <v>3.4978E7</v>
      </c>
      <c r="Y751" s="27"/>
      <c r="Z751" s="25" t="str">
        <f>"－"</f>
        <v>－</v>
      </c>
      <c r="AA751" s="25" t="n">
        <f>1147</f>
        <v>1147.0</v>
      </c>
      <c r="AB751" s="2" t="s">
        <v>161</v>
      </c>
      <c r="AC751" s="26" t="n">
        <f>1592</f>
        <v>1592.0</v>
      </c>
      <c r="AD751" s="3" t="s">
        <v>737</v>
      </c>
      <c r="AE751" s="27" t="n">
        <f>1068</f>
        <v>1068.0</v>
      </c>
    </row>
    <row r="752">
      <c r="A752" s="20" t="s">
        <v>1558</v>
      </c>
      <c r="B752" s="21" t="s">
        <v>1559</v>
      </c>
      <c r="C752" s="22"/>
      <c r="D752" s="23"/>
      <c r="E752" s="24" t="s">
        <v>157</v>
      </c>
      <c r="F752" s="28" t="n">
        <f>124</f>
        <v>124.0</v>
      </c>
      <c r="G752" s="25" t="n">
        <f>11082</f>
        <v>11082.0</v>
      </c>
      <c r="H752" s="25"/>
      <c r="I752" s="25" t="n">
        <f>482</f>
        <v>482.0</v>
      </c>
      <c r="J752" s="25" t="n">
        <f>89</f>
        <v>89.0</v>
      </c>
      <c r="K752" s="25" t="n">
        <f>4</f>
        <v>4.0</v>
      </c>
      <c r="L752" s="2" t="s">
        <v>549</v>
      </c>
      <c r="M752" s="26" t="n">
        <f>982</f>
        <v>982.0</v>
      </c>
      <c r="N752" s="3" t="s">
        <v>114</v>
      </c>
      <c r="O752" s="27" t="n">
        <f>5</f>
        <v>5.0</v>
      </c>
      <c r="P752" s="29" t="s">
        <v>1572</v>
      </c>
      <c r="Q752" s="25"/>
      <c r="R752" s="29" t="s">
        <v>1573</v>
      </c>
      <c r="S752" s="25" t="n">
        <f>177733673</f>
        <v>1.77733673E8</v>
      </c>
      <c r="T752" s="25" t="n">
        <f>7250823</f>
        <v>7250823.0</v>
      </c>
      <c r="U752" s="3" t="s">
        <v>549</v>
      </c>
      <c r="V752" s="27" t="n">
        <f>2009491500</f>
        <v>2.0094915E9</v>
      </c>
      <c r="W752" s="3" t="s">
        <v>114</v>
      </c>
      <c r="X752" s="27" t="n">
        <f>9283000</f>
        <v>9283000.0</v>
      </c>
      <c r="Y752" s="27"/>
      <c r="Z752" s="25" t="str">
        <f>"－"</f>
        <v>－</v>
      </c>
      <c r="AA752" s="25" t="n">
        <f>1527</f>
        <v>1527.0</v>
      </c>
      <c r="AB752" s="2" t="s">
        <v>555</v>
      </c>
      <c r="AC752" s="26" t="n">
        <f>2069</f>
        <v>2069.0</v>
      </c>
      <c r="AD752" s="3" t="s">
        <v>232</v>
      </c>
      <c r="AE752" s="27" t="n">
        <f>1077</f>
        <v>1077.0</v>
      </c>
    </row>
    <row r="753">
      <c r="A753" s="20" t="s">
        <v>1558</v>
      </c>
      <c r="B753" s="21" t="s">
        <v>1559</v>
      </c>
      <c r="C753" s="22"/>
      <c r="D753" s="23"/>
      <c r="E753" s="24" t="s">
        <v>160</v>
      </c>
      <c r="F753" s="28" t="n">
        <f>58</f>
        <v>58.0</v>
      </c>
      <c r="G753" s="25" t="n">
        <f>1600</f>
        <v>1600.0</v>
      </c>
      <c r="H753" s="25"/>
      <c r="I753" s="25" t="n">
        <f>121</f>
        <v>121.0</v>
      </c>
      <c r="J753" s="25" t="n">
        <f>28</f>
        <v>28.0</v>
      </c>
      <c r="K753" s="25" t="n">
        <f>2</f>
        <v>2.0</v>
      </c>
      <c r="L753" s="2" t="s">
        <v>275</v>
      </c>
      <c r="M753" s="26" t="n">
        <f>115</f>
        <v>115.0</v>
      </c>
      <c r="N753" s="3" t="s">
        <v>411</v>
      </c>
      <c r="O753" s="27" t="n">
        <f>2</f>
        <v>2.0</v>
      </c>
      <c r="P753" s="29" t="s">
        <v>1574</v>
      </c>
      <c r="Q753" s="25"/>
      <c r="R753" s="29" t="s">
        <v>1575</v>
      </c>
      <c r="S753" s="25" t="n">
        <f>51076293</f>
        <v>5.1076293E7</v>
      </c>
      <c r="T753" s="25" t="n">
        <f>3867241</f>
        <v>3867241.0</v>
      </c>
      <c r="U753" s="3" t="s">
        <v>275</v>
      </c>
      <c r="V753" s="27" t="n">
        <f>213209000</f>
        <v>2.13209E8</v>
      </c>
      <c r="W753" s="3" t="s">
        <v>411</v>
      </c>
      <c r="X753" s="27" t="n">
        <f>3745000</f>
        <v>3745000.0</v>
      </c>
      <c r="Y753" s="27"/>
      <c r="Z753" s="25" t="str">
        <f>"－"</f>
        <v>－</v>
      </c>
      <c r="AA753" s="25" t="n">
        <f>1296</f>
        <v>1296.0</v>
      </c>
      <c r="AB753" s="2" t="s">
        <v>305</v>
      </c>
      <c r="AC753" s="26" t="n">
        <f>1536</f>
        <v>1536.0</v>
      </c>
      <c r="AD753" s="3" t="s">
        <v>243</v>
      </c>
      <c r="AE753" s="27" t="n">
        <f>1296</f>
        <v>1296.0</v>
      </c>
    </row>
    <row r="754">
      <c r="A754" s="20" t="s">
        <v>1576</v>
      </c>
      <c r="B754" s="21" t="s">
        <v>1577</v>
      </c>
      <c r="C754" s="22"/>
      <c r="D754" s="23"/>
      <c r="E754" s="24" t="s">
        <v>124</v>
      </c>
      <c r="F754" s="28" t="n">
        <f>108</f>
        <v>108.0</v>
      </c>
      <c r="G754" s="25" t="n">
        <f>2</f>
        <v>2.0</v>
      </c>
      <c r="H754" s="25"/>
      <c r="I754" s="25" t="str">
        <f>"－"</f>
        <v>－</v>
      </c>
      <c r="J754" s="25" t="n">
        <f>0</f>
        <v>0.0</v>
      </c>
      <c r="K754" s="25" t="str">
        <f>"－"</f>
        <v>－</v>
      </c>
      <c r="L754" s="2" t="s">
        <v>1388</v>
      </c>
      <c r="M754" s="26" t="n">
        <f>1</f>
        <v>1.0</v>
      </c>
      <c r="N754" s="3" t="s">
        <v>198</v>
      </c>
      <c r="O754" s="27" t="str">
        <f>"－"</f>
        <v>－</v>
      </c>
      <c r="P754" s="29" t="s">
        <v>1578</v>
      </c>
      <c r="Q754" s="25"/>
      <c r="R754" s="29" t="s">
        <v>262</v>
      </c>
      <c r="S754" s="25" t="n">
        <f>22407</f>
        <v>22407.0</v>
      </c>
      <c r="T754" s="25" t="str">
        <f>"－"</f>
        <v>－</v>
      </c>
      <c r="U754" s="3" t="s">
        <v>593</v>
      </c>
      <c r="V754" s="27" t="n">
        <f>1270000</f>
        <v>1270000.0</v>
      </c>
      <c r="W754" s="3" t="s">
        <v>198</v>
      </c>
      <c r="X754" s="27" t="str">
        <f>"－"</f>
        <v>－</v>
      </c>
      <c r="Y754" s="27"/>
      <c r="Z754" s="25" t="str">
        <f>"－"</f>
        <v>－</v>
      </c>
      <c r="AA754" s="25" t="str">
        <f>"－"</f>
        <v>－</v>
      </c>
      <c r="AB754" s="2" t="s">
        <v>1388</v>
      </c>
      <c r="AC754" s="26" t="n">
        <f>1</f>
        <v>1.0</v>
      </c>
      <c r="AD754" s="3" t="s">
        <v>198</v>
      </c>
      <c r="AE754" s="27" t="str">
        <f>"－"</f>
        <v>－</v>
      </c>
    </row>
    <row r="755">
      <c r="A755" s="20" t="s">
        <v>1576</v>
      </c>
      <c r="B755" s="21" t="s">
        <v>1577</v>
      </c>
      <c r="C755" s="22"/>
      <c r="D755" s="23"/>
      <c r="E755" s="24" t="s">
        <v>130</v>
      </c>
      <c r="F755" s="28" t="n">
        <f>121</f>
        <v>121.0</v>
      </c>
      <c r="G755" s="25" t="str">
        <f>"－"</f>
        <v>－</v>
      </c>
      <c r="H755" s="25"/>
      <c r="I755" s="25" t="str">
        <f>"－"</f>
        <v>－</v>
      </c>
      <c r="J755" s="25" t="str">
        <f>"－"</f>
        <v>－</v>
      </c>
      <c r="K755" s="25" t="str">
        <f>"－"</f>
        <v>－</v>
      </c>
      <c r="L755" s="2" t="s">
        <v>156</v>
      </c>
      <c r="M755" s="26" t="str">
        <f>"－"</f>
        <v>－</v>
      </c>
      <c r="N755" s="3" t="s">
        <v>156</v>
      </c>
      <c r="O755" s="27" t="str">
        <f>"－"</f>
        <v>－</v>
      </c>
      <c r="P755" s="29" t="s">
        <v>262</v>
      </c>
      <c r="Q755" s="25"/>
      <c r="R755" s="29" t="s">
        <v>262</v>
      </c>
      <c r="S755" s="25" t="str">
        <f>"－"</f>
        <v>－</v>
      </c>
      <c r="T755" s="25" t="str">
        <f>"－"</f>
        <v>－</v>
      </c>
      <c r="U755" s="3" t="s">
        <v>156</v>
      </c>
      <c r="V755" s="27" t="str">
        <f>"－"</f>
        <v>－</v>
      </c>
      <c r="W755" s="3" t="s">
        <v>156</v>
      </c>
      <c r="X755" s="27" t="str">
        <f>"－"</f>
        <v>－</v>
      </c>
      <c r="Y755" s="27"/>
      <c r="Z755" s="25" t="str">
        <f>"－"</f>
        <v>－</v>
      </c>
      <c r="AA755" s="25" t="str">
        <f>"－"</f>
        <v>－</v>
      </c>
      <c r="AB755" s="2" t="s">
        <v>156</v>
      </c>
      <c r="AC755" s="26" t="str">
        <f>"－"</f>
        <v>－</v>
      </c>
      <c r="AD755" s="3" t="s">
        <v>156</v>
      </c>
      <c r="AE755" s="27" t="str">
        <f>"－"</f>
        <v>－</v>
      </c>
    </row>
    <row r="756">
      <c r="A756" s="20" t="s">
        <v>1576</v>
      </c>
      <c r="B756" s="21" t="s">
        <v>1577</v>
      </c>
      <c r="C756" s="22"/>
      <c r="D756" s="23"/>
      <c r="E756" s="24" t="s">
        <v>136</v>
      </c>
      <c r="F756" s="28" t="n">
        <f>124</f>
        <v>124.0</v>
      </c>
      <c r="G756" s="25" t="str">
        <f>"－"</f>
        <v>－</v>
      </c>
      <c r="H756" s="25"/>
      <c r="I756" s="25" t="str">
        <f>"－"</f>
        <v>－</v>
      </c>
      <c r="J756" s="25" t="str">
        <f>"－"</f>
        <v>－</v>
      </c>
      <c r="K756" s="25" t="str">
        <f>"－"</f>
        <v>－</v>
      </c>
      <c r="L756" s="2" t="s">
        <v>68</v>
      </c>
      <c r="M756" s="26" t="str">
        <f>"－"</f>
        <v>－</v>
      </c>
      <c r="N756" s="3" t="s">
        <v>68</v>
      </c>
      <c r="O756" s="27" t="str">
        <f>"－"</f>
        <v>－</v>
      </c>
      <c r="P756" s="29" t="s">
        <v>262</v>
      </c>
      <c r="Q756" s="25"/>
      <c r="R756" s="29" t="s">
        <v>262</v>
      </c>
      <c r="S756" s="25" t="str">
        <f>"－"</f>
        <v>－</v>
      </c>
      <c r="T756" s="25" t="str">
        <f>"－"</f>
        <v>－</v>
      </c>
      <c r="U756" s="3" t="s">
        <v>68</v>
      </c>
      <c r="V756" s="27" t="str">
        <f>"－"</f>
        <v>－</v>
      </c>
      <c r="W756" s="3" t="s">
        <v>68</v>
      </c>
      <c r="X756" s="27" t="str">
        <f>"－"</f>
        <v>－</v>
      </c>
      <c r="Y756" s="27"/>
      <c r="Z756" s="25" t="str">
        <f>"－"</f>
        <v>－</v>
      </c>
      <c r="AA756" s="25" t="str">
        <f>"－"</f>
        <v>－</v>
      </c>
      <c r="AB756" s="2" t="s">
        <v>68</v>
      </c>
      <c r="AC756" s="26" t="str">
        <f>"－"</f>
        <v>－</v>
      </c>
      <c r="AD756" s="3" t="s">
        <v>68</v>
      </c>
      <c r="AE756" s="27" t="str">
        <f>"－"</f>
        <v>－</v>
      </c>
    </row>
    <row r="757">
      <c r="A757" s="20" t="s">
        <v>1576</v>
      </c>
      <c r="B757" s="21" t="s">
        <v>1577</v>
      </c>
      <c r="C757" s="22"/>
      <c r="D757" s="23"/>
      <c r="E757" s="24" t="s">
        <v>142</v>
      </c>
      <c r="F757" s="28" t="n">
        <f>120</f>
        <v>120.0</v>
      </c>
      <c r="G757" s="25" t="str">
        <f>"－"</f>
        <v>－</v>
      </c>
      <c r="H757" s="25"/>
      <c r="I757" s="25" t="str">
        <f>"－"</f>
        <v>－</v>
      </c>
      <c r="J757" s="25" t="str">
        <f>"－"</f>
        <v>－</v>
      </c>
      <c r="K757" s="25" t="str">
        <f>"－"</f>
        <v>－</v>
      </c>
      <c r="L757" s="2" t="s">
        <v>156</v>
      </c>
      <c r="M757" s="26" t="str">
        <f>"－"</f>
        <v>－</v>
      </c>
      <c r="N757" s="3" t="s">
        <v>156</v>
      </c>
      <c r="O757" s="27" t="str">
        <f>"－"</f>
        <v>－</v>
      </c>
      <c r="P757" s="29" t="s">
        <v>262</v>
      </c>
      <c r="Q757" s="25"/>
      <c r="R757" s="29" t="s">
        <v>262</v>
      </c>
      <c r="S757" s="25" t="str">
        <f>"－"</f>
        <v>－</v>
      </c>
      <c r="T757" s="25" t="str">
        <f>"－"</f>
        <v>－</v>
      </c>
      <c r="U757" s="3" t="s">
        <v>156</v>
      </c>
      <c r="V757" s="27" t="str">
        <f>"－"</f>
        <v>－</v>
      </c>
      <c r="W757" s="3" t="s">
        <v>156</v>
      </c>
      <c r="X757" s="27" t="str">
        <f>"－"</f>
        <v>－</v>
      </c>
      <c r="Y757" s="27"/>
      <c r="Z757" s="25" t="str">
        <f>"－"</f>
        <v>－</v>
      </c>
      <c r="AA757" s="25" t="str">
        <f>"－"</f>
        <v>－</v>
      </c>
      <c r="AB757" s="2" t="s">
        <v>156</v>
      </c>
      <c r="AC757" s="26" t="str">
        <f>"－"</f>
        <v>－</v>
      </c>
      <c r="AD757" s="3" t="s">
        <v>156</v>
      </c>
      <c r="AE757" s="27" t="str">
        <f>"－"</f>
        <v>－</v>
      </c>
    </row>
    <row r="758">
      <c r="A758" s="20" t="s">
        <v>1576</v>
      </c>
      <c r="B758" s="21" t="s">
        <v>1577</v>
      </c>
      <c r="C758" s="22"/>
      <c r="D758" s="23"/>
      <c r="E758" s="24" t="s">
        <v>148</v>
      </c>
      <c r="F758" s="28" t="n">
        <f>124</f>
        <v>124.0</v>
      </c>
      <c r="G758" s="25" t="str">
        <f>"－"</f>
        <v>－</v>
      </c>
      <c r="H758" s="25"/>
      <c r="I758" s="25" t="str">
        <f>"－"</f>
        <v>－</v>
      </c>
      <c r="J758" s="25" t="str">
        <f>"－"</f>
        <v>－</v>
      </c>
      <c r="K758" s="25" t="str">
        <f>"－"</f>
        <v>－</v>
      </c>
      <c r="L758" s="2" t="s">
        <v>68</v>
      </c>
      <c r="M758" s="26" t="str">
        <f>"－"</f>
        <v>－</v>
      </c>
      <c r="N758" s="3" t="s">
        <v>68</v>
      </c>
      <c r="O758" s="27" t="str">
        <f>"－"</f>
        <v>－</v>
      </c>
      <c r="P758" s="29" t="s">
        <v>262</v>
      </c>
      <c r="Q758" s="25"/>
      <c r="R758" s="29" t="s">
        <v>262</v>
      </c>
      <c r="S758" s="25" t="str">
        <f>"－"</f>
        <v>－</v>
      </c>
      <c r="T758" s="25" t="str">
        <f>"－"</f>
        <v>－</v>
      </c>
      <c r="U758" s="3" t="s">
        <v>68</v>
      </c>
      <c r="V758" s="27" t="str">
        <f>"－"</f>
        <v>－</v>
      </c>
      <c r="W758" s="3" t="s">
        <v>68</v>
      </c>
      <c r="X758" s="27" t="str">
        <f>"－"</f>
        <v>－</v>
      </c>
      <c r="Y758" s="27"/>
      <c r="Z758" s="25" t="str">
        <f>"－"</f>
        <v>－</v>
      </c>
      <c r="AA758" s="25" t="str">
        <f>"－"</f>
        <v>－</v>
      </c>
      <c r="AB758" s="2" t="s">
        <v>68</v>
      </c>
      <c r="AC758" s="26" t="str">
        <f>"－"</f>
        <v>－</v>
      </c>
      <c r="AD758" s="3" t="s">
        <v>68</v>
      </c>
      <c r="AE758" s="27" t="str">
        <f>"－"</f>
        <v>－</v>
      </c>
    </row>
    <row r="759">
      <c r="A759" s="20" t="s">
        <v>1576</v>
      </c>
      <c r="B759" s="21" t="s">
        <v>1577</v>
      </c>
      <c r="C759" s="22"/>
      <c r="D759" s="23"/>
      <c r="E759" s="24" t="s">
        <v>151</v>
      </c>
      <c r="F759" s="28" t="n">
        <f>122</f>
        <v>122.0</v>
      </c>
      <c r="G759" s="25" t="str">
        <f>"－"</f>
        <v>－</v>
      </c>
      <c r="H759" s="25"/>
      <c r="I759" s="25" t="str">
        <f>"－"</f>
        <v>－</v>
      </c>
      <c r="J759" s="25" t="str">
        <f>"－"</f>
        <v>－</v>
      </c>
      <c r="K759" s="25" t="str">
        <f>"－"</f>
        <v>－</v>
      </c>
      <c r="L759" s="2" t="s">
        <v>156</v>
      </c>
      <c r="M759" s="26" t="str">
        <f>"－"</f>
        <v>－</v>
      </c>
      <c r="N759" s="3" t="s">
        <v>156</v>
      </c>
      <c r="O759" s="27" t="str">
        <f>"－"</f>
        <v>－</v>
      </c>
      <c r="P759" s="29" t="s">
        <v>262</v>
      </c>
      <c r="Q759" s="25"/>
      <c r="R759" s="29" t="s">
        <v>262</v>
      </c>
      <c r="S759" s="25" t="str">
        <f>"－"</f>
        <v>－</v>
      </c>
      <c r="T759" s="25" t="str">
        <f>"－"</f>
        <v>－</v>
      </c>
      <c r="U759" s="3" t="s">
        <v>156</v>
      </c>
      <c r="V759" s="27" t="str">
        <f>"－"</f>
        <v>－</v>
      </c>
      <c r="W759" s="3" t="s">
        <v>156</v>
      </c>
      <c r="X759" s="27" t="str">
        <f>"－"</f>
        <v>－</v>
      </c>
      <c r="Y759" s="27"/>
      <c r="Z759" s="25" t="str">
        <f>"－"</f>
        <v>－</v>
      </c>
      <c r="AA759" s="25" t="str">
        <f>"－"</f>
        <v>－</v>
      </c>
      <c r="AB759" s="2" t="s">
        <v>156</v>
      </c>
      <c r="AC759" s="26" t="str">
        <f>"－"</f>
        <v>－</v>
      </c>
      <c r="AD759" s="3" t="s">
        <v>156</v>
      </c>
      <c r="AE759" s="27" t="str">
        <f>"－"</f>
        <v>－</v>
      </c>
    </row>
    <row r="760">
      <c r="A760" s="20" t="s">
        <v>1576</v>
      </c>
      <c r="B760" s="21" t="s">
        <v>1577</v>
      </c>
      <c r="C760" s="22"/>
      <c r="D760" s="23"/>
      <c r="E760" s="24" t="s">
        <v>157</v>
      </c>
      <c r="F760" s="28" t="n">
        <f>124</f>
        <v>124.0</v>
      </c>
      <c r="G760" s="25" t="n">
        <f>2</f>
        <v>2.0</v>
      </c>
      <c r="H760" s="25"/>
      <c r="I760" s="25" t="str">
        <f>"－"</f>
        <v>－</v>
      </c>
      <c r="J760" s="25" t="n">
        <f>0</f>
        <v>0.0</v>
      </c>
      <c r="K760" s="25" t="str">
        <f>"－"</f>
        <v>－</v>
      </c>
      <c r="L760" s="2" t="s">
        <v>240</v>
      </c>
      <c r="M760" s="26" t="n">
        <f>2</f>
        <v>2.0</v>
      </c>
      <c r="N760" s="3" t="s">
        <v>633</v>
      </c>
      <c r="O760" s="27" t="str">
        <f>"－"</f>
        <v>－</v>
      </c>
      <c r="P760" s="29" t="s">
        <v>1579</v>
      </c>
      <c r="Q760" s="25"/>
      <c r="R760" s="29" t="s">
        <v>262</v>
      </c>
      <c r="S760" s="25" t="n">
        <f>25423</f>
        <v>25423.0</v>
      </c>
      <c r="T760" s="25" t="str">
        <f>"－"</f>
        <v>－</v>
      </c>
      <c r="U760" s="3" t="s">
        <v>240</v>
      </c>
      <c r="V760" s="27" t="n">
        <f>3152500</f>
        <v>3152500.0</v>
      </c>
      <c r="W760" s="3" t="s">
        <v>633</v>
      </c>
      <c r="X760" s="27" t="str">
        <f>"－"</f>
        <v>－</v>
      </c>
      <c r="Y760" s="27"/>
      <c r="Z760" s="25" t="str">
        <f>"－"</f>
        <v>－</v>
      </c>
      <c r="AA760" s="25" t="str">
        <f>"－"</f>
        <v>－</v>
      </c>
      <c r="AB760" s="2" t="s">
        <v>633</v>
      </c>
      <c r="AC760" s="26" t="str">
        <f>"－"</f>
        <v>－</v>
      </c>
      <c r="AD760" s="3" t="s">
        <v>633</v>
      </c>
      <c r="AE760" s="27" t="str">
        <f>"－"</f>
        <v>－</v>
      </c>
    </row>
    <row r="761">
      <c r="A761" s="20" t="s">
        <v>1576</v>
      </c>
      <c r="B761" s="21" t="s">
        <v>1577</v>
      </c>
      <c r="C761" s="22"/>
      <c r="D761" s="23"/>
      <c r="E761" s="24" t="s">
        <v>160</v>
      </c>
      <c r="F761" s="28" t="n">
        <f>58</f>
        <v>58.0</v>
      </c>
      <c r="G761" s="25" t="str">
        <f>"－"</f>
        <v>－</v>
      </c>
      <c r="H761" s="25"/>
      <c r="I761" s="25" t="str">
        <f>"－"</f>
        <v>－</v>
      </c>
      <c r="J761" s="25" t="str">
        <f>"－"</f>
        <v>－</v>
      </c>
      <c r="K761" s="25" t="str">
        <f>"－"</f>
        <v>－</v>
      </c>
      <c r="L761" s="2" t="s">
        <v>156</v>
      </c>
      <c r="M761" s="26" t="str">
        <f>"－"</f>
        <v>－</v>
      </c>
      <c r="N761" s="3" t="s">
        <v>156</v>
      </c>
      <c r="O761" s="27" t="str">
        <f>"－"</f>
        <v>－</v>
      </c>
      <c r="P761" s="29" t="s">
        <v>262</v>
      </c>
      <c r="Q761" s="25"/>
      <c r="R761" s="29" t="s">
        <v>262</v>
      </c>
      <c r="S761" s="25" t="str">
        <f>"－"</f>
        <v>－</v>
      </c>
      <c r="T761" s="25" t="str">
        <f>"－"</f>
        <v>－</v>
      </c>
      <c r="U761" s="3" t="s">
        <v>156</v>
      </c>
      <c r="V761" s="27" t="str">
        <f>"－"</f>
        <v>－</v>
      </c>
      <c r="W761" s="3" t="s">
        <v>156</v>
      </c>
      <c r="X761" s="27" t="str">
        <f>"－"</f>
        <v>－</v>
      </c>
      <c r="Y761" s="27"/>
      <c r="Z761" s="25" t="str">
        <f>"－"</f>
        <v>－</v>
      </c>
      <c r="AA761" s="25" t="str">
        <f>"－"</f>
        <v>－</v>
      </c>
      <c r="AB761" s="2" t="s">
        <v>156</v>
      </c>
      <c r="AC761" s="26" t="str">
        <f>"－"</f>
        <v>－</v>
      </c>
      <c r="AD761" s="3" t="s">
        <v>156</v>
      </c>
      <c r="AE761" s="27" t="str">
        <f>"－"</f>
        <v>－</v>
      </c>
    </row>
    <row r="762">
      <c r="A762" s="20" t="s">
        <v>1580</v>
      </c>
      <c r="B762" s="21" t="s">
        <v>1581</v>
      </c>
      <c r="C762" s="22"/>
      <c r="D762" s="23"/>
      <c r="E762" s="24" t="s">
        <v>124</v>
      </c>
      <c r="F762" s="28" t="n">
        <f>108</f>
        <v>108.0</v>
      </c>
      <c r="G762" s="25" t="n">
        <f>19</f>
        <v>19.0</v>
      </c>
      <c r="H762" s="25"/>
      <c r="I762" s="25" t="n">
        <f>2</f>
        <v>2.0</v>
      </c>
      <c r="J762" s="25" t="n">
        <f>0</f>
        <v>0.0</v>
      </c>
      <c r="K762" s="25" t="n">
        <f>0</f>
        <v>0.0</v>
      </c>
      <c r="L762" s="2" t="s">
        <v>141</v>
      </c>
      <c r="M762" s="26" t="n">
        <f>3</f>
        <v>3.0</v>
      </c>
      <c r="N762" s="3" t="s">
        <v>198</v>
      </c>
      <c r="O762" s="27" t="str">
        <f>"－"</f>
        <v>－</v>
      </c>
      <c r="P762" s="29" t="s">
        <v>1582</v>
      </c>
      <c r="Q762" s="25"/>
      <c r="R762" s="29" t="s">
        <v>1583</v>
      </c>
      <c r="S762" s="25" t="n">
        <f>158378</f>
        <v>158378.0</v>
      </c>
      <c r="T762" s="25" t="n">
        <f>15741</f>
        <v>15741.0</v>
      </c>
      <c r="U762" s="3" t="s">
        <v>141</v>
      </c>
      <c r="V762" s="27" t="n">
        <f>2736800</f>
        <v>2736800.0</v>
      </c>
      <c r="W762" s="3" t="s">
        <v>198</v>
      </c>
      <c r="X762" s="27" t="str">
        <f>"－"</f>
        <v>－</v>
      </c>
      <c r="Y762" s="27"/>
      <c r="Z762" s="25" t="str">
        <f>"－"</f>
        <v>－</v>
      </c>
      <c r="AA762" s="25" t="n">
        <f>1</f>
        <v>1.0</v>
      </c>
      <c r="AB762" s="2" t="s">
        <v>141</v>
      </c>
      <c r="AC762" s="26" t="n">
        <f>8</f>
        <v>8.0</v>
      </c>
      <c r="AD762" s="3" t="s">
        <v>1584</v>
      </c>
      <c r="AE762" s="27" t="n">
        <f>1</f>
        <v>1.0</v>
      </c>
    </row>
    <row r="763">
      <c r="A763" s="20" t="s">
        <v>1580</v>
      </c>
      <c r="B763" s="21" t="s">
        <v>1581</v>
      </c>
      <c r="C763" s="22"/>
      <c r="D763" s="23"/>
      <c r="E763" s="24" t="s">
        <v>130</v>
      </c>
      <c r="F763" s="28" t="n">
        <f>121</f>
        <v>121.0</v>
      </c>
      <c r="G763" s="25" t="n">
        <f>7</f>
        <v>7.0</v>
      </c>
      <c r="H763" s="25"/>
      <c r="I763" s="25" t="str">
        <f>"－"</f>
        <v>－</v>
      </c>
      <c r="J763" s="25" t="n">
        <f>0</f>
        <v>0.0</v>
      </c>
      <c r="K763" s="25" t="str">
        <f>"－"</f>
        <v>－</v>
      </c>
      <c r="L763" s="2" t="s">
        <v>411</v>
      </c>
      <c r="M763" s="26" t="n">
        <f>3</f>
        <v>3.0</v>
      </c>
      <c r="N763" s="3" t="s">
        <v>156</v>
      </c>
      <c r="O763" s="27" t="str">
        <f>"－"</f>
        <v>－</v>
      </c>
      <c r="P763" s="29" t="s">
        <v>1585</v>
      </c>
      <c r="Q763" s="25"/>
      <c r="R763" s="29" t="s">
        <v>262</v>
      </c>
      <c r="S763" s="25" t="n">
        <f>50645</f>
        <v>50645.0</v>
      </c>
      <c r="T763" s="25" t="str">
        <f>"－"</f>
        <v>－</v>
      </c>
      <c r="U763" s="3" t="s">
        <v>411</v>
      </c>
      <c r="V763" s="27" t="n">
        <f>2952000</f>
        <v>2952000.0</v>
      </c>
      <c r="W763" s="3" t="s">
        <v>156</v>
      </c>
      <c r="X763" s="27" t="str">
        <f>"－"</f>
        <v>－</v>
      </c>
      <c r="Y763" s="27"/>
      <c r="Z763" s="25" t="str">
        <f>"－"</f>
        <v>－</v>
      </c>
      <c r="AA763" s="25" t="str">
        <f>"－"</f>
        <v>－</v>
      </c>
      <c r="AB763" s="2" t="s">
        <v>411</v>
      </c>
      <c r="AC763" s="26" t="n">
        <f>3</f>
        <v>3.0</v>
      </c>
      <c r="AD763" s="3" t="s">
        <v>698</v>
      </c>
      <c r="AE763" s="27" t="str">
        <f>"－"</f>
        <v>－</v>
      </c>
    </row>
    <row r="764">
      <c r="A764" s="20" t="s">
        <v>1580</v>
      </c>
      <c r="B764" s="21" t="s">
        <v>1581</v>
      </c>
      <c r="C764" s="22"/>
      <c r="D764" s="23"/>
      <c r="E764" s="24" t="s">
        <v>136</v>
      </c>
      <c r="F764" s="28" t="n">
        <f>124</f>
        <v>124.0</v>
      </c>
      <c r="G764" s="25" t="str">
        <f>"－"</f>
        <v>－</v>
      </c>
      <c r="H764" s="25"/>
      <c r="I764" s="25" t="str">
        <f>"－"</f>
        <v>－</v>
      </c>
      <c r="J764" s="25" t="str">
        <f>"－"</f>
        <v>－</v>
      </c>
      <c r="K764" s="25" t="str">
        <f>"－"</f>
        <v>－</v>
      </c>
      <c r="L764" s="2" t="s">
        <v>68</v>
      </c>
      <c r="M764" s="26" t="str">
        <f>"－"</f>
        <v>－</v>
      </c>
      <c r="N764" s="3" t="s">
        <v>68</v>
      </c>
      <c r="O764" s="27" t="str">
        <f>"－"</f>
        <v>－</v>
      </c>
      <c r="P764" s="29" t="s">
        <v>262</v>
      </c>
      <c r="Q764" s="25"/>
      <c r="R764" s="29" t="s">
        <v>262</v>
      </c>
      <c r="S764" s="25" t="str">
        <f>"－"</f>
        <v>－</v>
      </c>
      <c r="T764" s="25" t="str">
        <f>"－"</f>
        <v>－</v>
      </c>
      <c r="U764" s="3" t="s">
        <v>68</v>
      </c>
      <c r="V764" s="27" t="str">
        <f>"－"</f>
        <v>－</v>
      </c>
      <c r="W764" s="3" t="s">
        <v>68</v>
      </c>
      <c r="X764" s="27" t="str">
        <f>"－"</f>
        <v>－</v>
      </c>
      <c r="Y764" s="27"/>
      <c r="Z764" s="25" t="str">
        <f>"－"</f>
        <v>－</v>
      </c>
      <c r="AA764" s="25" t="str">
        <f>"－"</f>
        <v>－</v>
      </c>
      <c r="AB764" s="2" t="s">
        <v>68</v>
      </c>
      <c r="AC764" s="26" t="str">
        <f>"－"</f>
        <v>－</v>
      </c>
      <c r="AD764" s="3" t="s">
        <v>68</v>
      </c>
      <c r="AE764" s="27" t="str">
        <f>"－"</f>
        <v>－</v>
      </c>
    </row>
    <row r="765">
      <c r="A765" s="20" t="s">
        <v>1580</v>
      </c>
      <c r="B765" s="21" t="s">
        <v>1581</v>
      </c>
      <c r="C765" s="22"/>
      <c r="D765" s="23"/>
      <c r="E765" s="24" t="s">
        <v>142</v>
      </c>
      <c r="F765" s="28" t="n">
        <f>120</f>
        <v>120.0</v>
      </c>
      <c r="G765" s="25" t="str">
        <f>"－"</f>
        <v>－</v>
      </c>
      <c r="H765" s="25"/>
      <c r="I765" s="25" t="str">
        <f>"－"</f>
        <v>－</v>
      </c>
      <c r="J765" s="25" t="str">
        <f>"－"</f>
        <v>－</v>
      </c>
      <c r="K765" s="25" t="str">
        <f>"－"</f>
        <v>－</v>
      </c>
      <c r="L765" s="2" t="s">
        <v>156</v>
      </c>
      <c r="M765" s="26" t="str">
        <f>"－"</f>
        <v>－</v>
      </c>
      <c r="N765" s="3" t="s">
        <v>156</v>
      </c>
      <c r="O765" s="27" t="str">
        <f>"－"</f>
        <v>－</v>
      </c>
      <c r="P765" s="29" t="s">
        <v>262</v>
      </c>
      <c r="Q765" s="25"/>
      <c r="R765" s="29" t="s">
        <v>262</v>
      </c>
      <c r="S765" s="25" t="str">
        <f>"－"</f>
        <v>－</v>
      </c>
      <c r="T765" s="25" t="str">
        <f>"－"</f>
        <v>－</v>
      </c>
      <c r="U765" s="3" t="s">
        <v>156</v>
      </c>
      <c r="V765" s="27" t="str">
        <f>"－"</f>
        <v>－</v>
      </c>
      <c r="W765" s="3" t="s">
        <v>156</v>
      </c>
      <c r="X765" s="27" t="str">
        <f>"－"</f>
        <v>－</v>
      </c>
      <c r="Y765" s="27"/>
      <c r="Z765" s="25" t="str">
        <f>"－"</f>
        <v>－</v>
      </c>
      <c r="AA765" s="25" t="str">
        <f>"－"</f>
        <v>－</v>
      </c>
      <c r="AB765" s="2" t="s">
        <v>156</v>
      </c>
      <c r="AC765" s="26" t="str">
        <f>"－"</f>
        <v>－</v>
      </c>
      <c r="AD765" s="3" t="s">
        <v>156</v>
      </c>
      <c r="AE765" s="27" t="str">
        <f>"－"</f>
        <v>－</v>
      </c>
    </row>
    <row r="766">
      <c r="A766" s="20" t="s">
        <v>1580</v>
      </c>
      <c r="B766" s="21" t="s">
        <v>1581</v>
      </c>
      <c r="C766" s="22"/>
      <c r="D766" s="23"/>
      <c r="E766" s="24" t="s">
        <v>148</v>
      </c>
      <c r="F766" s="28" t="n">
        <f>124</f>
        <v>124.0</v>
      </c>
      <c r="G766" s="25" t="str">
        <f>"－"</f>
        <v>－</v>
      </c>
      <c r="H766" s="25"/>
      <c r="I766" s="25" t="str">
        <f>"－"</f>
        <v>－</v>
      </c>
      <c r="J766" s="25" t="str">
        <f>"－"</f>
        <v>－</v>
      </c>
      <c r="K766" s="25" t="str">
        <f>"－"</f>
        <v>－</v>
      </c>
      <c r="L766" s="2" t="s">
        <v>68</v>
      </c>
      <c r="M766" s="26" t="str">
        <f>"－"</f>
        <v>－</v>
      </c>
      <c r="N766" s="3" t="s">
        <v>68</v>
      </c>
      <c r="O766" s="27" t="str">
        <f>"－"</f>
        <v>－</v>
      </c>
      <c r="P766" s="29" t="s">
        <v>262</v>
      </c>
      <c r="Q766" s="25"/>
      <c r="R766" s="29" t="s">
        <v>262</v>
      </c>
      <c r="S766" s="25" t="str">
        <f>"－"</f>
        <v>－</v>
      </c>
      <c r="T766" s="25" t="str">
        <f>"－"</f>
        <v>－</v>
      </c>
      <c r="U766" s="3" t="s">
        <v>68</v>
      </c>
      <c r="V766" s="27" t="str">
        <f>"－"</f>
        <v>－</v>
      </c>
      <c r="W766" s="3" t="s">
        <v>68</v>
      </c>
      <c r="X766" s="27" t="str">
        <f>"－"</f>
        <v>－</v>
      </c>
      <c r="Y766" s="27"/>
      <c r="Z766" s="25" t="str">
        <f>"－"</f>
        <v>－</v>
      </c>
      <c r="AA766" s="25" t="str">
        <f>"－"</f>
        <v>－</v>
      </c>
      <c r="AB766" s="2" t="s">
        <v>68</v>
      </c>
      <c r="AC766" s="26" t="str">
        <f>"－"</f>
        <v>－</v>
      </c>
      <c r="AD766" s="3" t="s">
        <v>68</v>
      </c>
      <c r="AE766" s="27" t="str">
        <f>"－"</f>
        <v>－</v>
      </c>
    </row>
    <row r="767">
      <c r="A767" s="20" t="s">
        <v>1580</v>
      </c>
      <c r="B767" s="21" t="s">
        <v>1581</v>
      </c>
      <c r="C767" s="22"/>
      <c r="D767" s="23"/>
      <c r="E767" s="24" t="s">
        <v>151</v>
      </c>
      <c r="F767" s="28" t="n">
        <f>122</f>
        <v>122.0</v>
      </c>
      <c r="G767" s="25" t="str">
        <f>"－"</f>
        <v>－</v>
      </c>
      <c r="H767" s="25"/>
      <c r="I767" s="25" t="str">
        <f>"－"</f>
        <v>－</v>
      </c>
      <c r="J767" s="25" t="str">
        <f>"－"</f>
        <v>－</v>
      </c>
      <c r="K767" s="25" t="str">
        <f>"－"</f>
        <v>－</v>
      </c>
      <c r="L767" s="2" t="s">
        <v>156</v>
      </c>
      <c r="M767" s="26" t="str">
        <f>"－"</f>
        <v>－</v>
      </c>
      <c r="N767" s="3" t="s">
        <v>156</v>
      </c>
      <c r="O767" s="27" t="str">
        <f>"－"</f>
        <v>－</v>
      </c>
      <c r="P767" s="29" t="s">
        <v>262</v>
      </c>
      <c r="Q767" s="25"/>
      <c r="R767" s="29" t="s">
        <v>262</v>
      </c>
      <c r="S767" s="25" t="str">
        <f>"－"</f>
        <v>－</v>
      </c>
      <c r="T767" s="25" t="str">
        <f>"－"</f>
        <v>－</v>
      </c>
      <c r="U767" s="3" t="s">
        <v>156</v>
      </c>
      <c r="V767" s="27" t="str">
        <f>"－"</f>
        <v>－</v>
      </c>
      <c r="W767" s="3" t="s">
        <v>156</v>
      </c>
      <c r="X767" s="27" t="str">
        <f>"－"</f>
        <v>－</v>
      </c>
      <c r="Y767" s="27"/>
      <c r="Z767" s="25" t="str">
        <f>"－"</f>
        <v>－</v>
      </c>
      <c r="AA767" s="25" t="str">
        <f>"－"</f>
        <v>－</v>
      </c>
      <c r="AB767" s="2" t="s">
        <v>156</v>
      </c>
      <c r="AC767" s="26" t="str">
        <f>"－"</f>
        <v>－</v>
      </c>
      <c r="AD767" s="3" t="s">
        <v>156</v>
      </c>
      <c r="AE767" s="27" t="str">
        <f>"－"</f>
        <v>－</v>
      </c>
    </row>
    <row r="768">
      <c r="A768" s="20" t="s">
        <v>1580</v>
      </c>
      <c r="B768" s="21" t="s">
        <v>1581</v>
      </c>
      <c r="C768" s="22"/>
      <c r="D768" s="23"/>
      <c r="E768" s="24" t="s">
        <v>157</v>
      </c>
      <c r="F768" s="28" t="n">
        <f>124</f>
        <v>124.0</v>
      </c>
      <c r="G768" s="25" t="n">
        <f>2</f>
        <v>2.0</v>
      </c>
      <c r="H768" s="25"/>
      <c r="I768" s="25" t="str">
        <f>"－"</f>
        <v>－</v>
      </c>
      <c r="J768" s="25" t="n">
        <f>0</f>
        <v>0.0</v>
      </c>
      <c r="K768" s="25" t="str">
        <f>"－"</f>
        <v>－</v>
      </c>
      <c r="L768" s="2" t="s">
        <v>240</v>
      </c>
      <c r="M768" s="26" t="n">
        <f>2</f>
        <v>2.0</v>
      </c>
      <c r="N768" s="3" t="s">
        <v>633</v>
      </c>
      <c r="O768" s="27" t="str">
        <f>"－"</f>
        <v>－</v>
      </c>
      <c r="P768" s="29" t="s">
        <v>1586</v>
      </c>
      <c r="Q768" s="25"/>
      <c r="R768" s="29" t="s">
        <v>262</v>
      </c>
      <c r="S768" s="25" t="n">
        <f>15748</f>
        <v>15748.0</v>
      </c>
      <c r="T768" s="25" t="str">
        <f>"－"</f>
        <v>－</v>
      </c>
      <c r="U768" s="3" t="s">
        <v>240</v>
      </c>
      <c r="V768" s="27" t="n">
        <f>1952800</f>
        <v>1952800.0</v>
      </c>
      <c r="W768" s="3" t="s">
        <v>633</v>
      </c>
      <c r="X768" s="27" t="str">
        <f>"－"</f>
        <v>－</v>
      </c>
      <c r="Y768" s="27"/>
      <c r="Z768" s="25" t="str">
        <f>"－"</f>
        <v>－</v>
      </c>
      <c r="AA768" s="25" t="str">
        <f>"－"</f>
        <v>－</v>
      </c>
      <c r="AB768" s="2" t="s">
        <v>633</v>
      </c>
      <c r="AC768" s="26" t="str">
        <f>"－"</f>
        <v>－</v>
      </c>
      <c r="AD768" s="3" t="s">
        <v>633</v>
      </c>
      <c r="AE768" s="27" t="str">
        <f>"－"</f>
        <v>－</v>
      </c>
    </row>
    <row r="769">
      <c r="A769" s="20" t="s">
        <v>1580</v>
      </c>
      <c r="B769" s="21" t="s">
        <v>1581</v>
      </c>
      <c r="C769" s="22"/>
      <c r="D769" s="23"/>
      <c r="E769" s="24" t="s">
        <v>160</v>
      </c>
      <c r="F769" s="28" t="n">
        <f>58</f>
        <v>58.0</v>
      </c>
      <c r="G769" s="25" t="str">
        <f>"－"</f>
        <v>－</v>
      </c>
      <c r="H769" s="25"/>
      <c r="I769" s="25" t="str">
        <f>"－"</f>
        <v>－</v>
      </c>
      <c r="J769" s="25" t="str">
        <f>"－"</f>
        <v>－</v>
      </c>
      <c r="K769" s="25" t="str">
        <f>"－"</f>
        <v>－</v>
      </c>
      <c r="L769" s="2" t="s">
        <v>156</v>
      </c>
      <c r="M769" s="26" t="str">
        <f>"－"</f>
        <v>－</v>
      </c>
      <c r="N769" s="3" t="s">
        <v>156</v>
      </c>
      <c r="O769" s="27" t="str">
        <f>"－"</f>
        <v>－</v>
      </c>
      <c r="P769" s="29" t="s">
        <v>262</v>
      </c>
      <c r="Q769" s="25"/>
      <c r="R769" s="29" t="s">
        <v>262</v>
      </c>
      <c r="S769" s="25" t="str">
        <f>"－"</f>
        <v>－</v>
      </c>
      <c r="T769" s="25" t="str">
        <f>"－"</f>
        <v>－</v>
      </c>
      <c r="U769" s="3" t="s">
        <v>156</v>
      </c>
      <c r="V769" s="27" t="str">
        <f>"－"</f>
        <v>－</v>
      </c>
      <c r="W769" s="3" t="s">
        <v>156</v>
      </c>
      <c r="X769" s="27" t="str">
        <f>"－"</f>
        <v>－</v>
      </c>
      <c r="Y769" s="27"/>
      <c r="Z769" s="25" t="str">
        <f>"－"</f>
        <v>－</v>
      </c>
      <c r="AA769" s="25" t="str">
        <f>"－"</f>
        <v>－</v>
      </c>
      <c r="AB769" s="2" t="s">
        <v>156</v>
      </c>
      <c r="AC769" s="26" t="str">
        <f>"－"</f>
        <v>－</v>
      </c>
      <c r="AD769" s="3" t="s">
        <v>156</v>
      </c>
      <c r="AE769" s="27" t="str">
        <f>"－"</f>
        <v>－</v>
      </c>
    </row>
    <row r="770">
      <c r="A770" s="20" t="s">
        <v>1587</v>
      </c>
      <c r="B770" s="21" t="s">
        <v>1588</v>
      </c>
      <c r="C770" s="22"/>
      <c r="D770" s="23"/>
      <c r="E770" s="24" t="s">
        <v>124</v>
      </c>
      <c r="F770" s="28" t="n">
        <f>108</f>
        <v>108.0</v>
      </c>
      <c r="G770" s="25" t="n">
        <f>26517</f>
        <v>26517.0</v>
      </c>
      <c r="H770" s="25"/>
      <c r="I770" s="25" t="n">
        <f>1637</f>
        <v>1637.0</v>
      </c>
      <c r="J770" s="25" t="n">
        <f>246</f>
        <v>246.0</v>
      </c>
      <c r="K770" s="25" t="n">
        <f>15</f>
        <v>15.0</v>
      </c>
      <c r="L770" s="2" t="s">
        <v>278</v>
      </c>
      <c r="M770" s="26" t="n">
        <f>722</f>
        <v>722.0</v>
      </c>
      <c r="N770" s="3" t="s">
        <v>1122</v>
      </c>
      <c r="O770" s="27" t="n">
        <f>54</f>
        <v>54.0</v>
      </c>
      <c r="P770" s="29" t="s">
        <v>1589</v>
      </c>
      <c r="Q770" s="25"/>
      <c r="R770" s="29" t="s">
        <v>1590</v>
      </c>
      <c r="S770" s="25" t="n">
        <f>500569014</f>
        <v>5.00569014E8</v>
      </c>
      <c r="T770" s="25" t="n">
        <f>30653718</f>
        <v>3.0653718E7</v>
      </c>
      <c r="U770" s="3" t="s">
        <v>278</v>
      </c>
      <c r="V770" s="27" t="n">
        <f>1423741500</f>
        <v>1.4237415E9</v>
      </c>
      <c r="W770" s="3" t="s">
        <v>1122</v>
      </c>
      <c r="X770" s="27" t="n">
        <f>111816500</f>
        <v>1.118165E8</v>
      </c>
      <c r="Y770" s="27"/>
      <c r="Z770" s="25" t="str">
        <f>"－"</f>
        <v>－</v>
      </c>
      <c r="AA770" s="25" t="n">
        <f>1317</f>
        <v>1317.0</v>
      </c>
      <c r="AB770" s="2" t="s">
        <v>63</v>
      </c>
      <c r="AC770" s="26" t="n">
        <f>2066</f>
        <v>2066.0</v>
      </c>
      <c r="AD770" s="3" t="s">
        <v>64</v>
      </c>
      <c r="AE770" s="27" t="n">
        <f>1291</f>
        <v>1291.0</v>
      </c>
    </row>
    <row r="771">
      <c r="A771" s="20" t="s">
        <v>1587</v>
      </c>
      <c r="B771" s="21" t="s">
        <v>1588</v>
      </c>
      <c r="C771" s="22"/>
      <c r="D771" s="23"/>
      <c r="E771" s="24" t="s">
        <v>130</v>
      </c>
      <c r="F771" s="28" t="n">
        <f>121</f>
        <v>121.0</v>
      </c>
      <c r="G771" s="25" t="n">
        <f>24293</f>
        <v>24293.0</v>
      </c>
      <c r="H771" s="25"/>
      <c r="I771" s="25" t="n">
        <f>1460</f>
        <v>1460.0</v>
      </c>
      <c r="J771" s="25" t="n">
        <f>201</f>
        <v>201.0</v>
      </c>
      <c r="K771" s="25" t="n">
        <f>12</f>
        <v>12.0</v>
      </c>
      <c r="L771" s="2" t="s">
        <v>528</v>
      </c>
      <c r="M771" s="26" t="n">
        <f>610</f>
        <v>610.0</v>
      </c>
      <c r="N771" s="3" t="s">
        <v>1144</v>
      </c>
      <c r="O771" s="27" t="n">
        <f>46</f>
        <v>46.0</v>
      </c>
      <c r="P771" s="29" t="s">
        <v>1591</v>
      </c>
      <c r="Q771" s="25"/>
      <c r="R771" s="29" t="s">
        <v>1592</v>
      </c>
      <c r="S771" s="25" t="n">
        <f>548304430</f>
        <v>5.4830443E8</v>
      </c>
      <c r="T771" s="25" t="n">
        <f>33732769</f>
        <v>3.3732769E7</v>
      </c>
      <c r="U771" s="3" t="s">
        <v>528</v>
      </c>
      <c r="V771" s="27" t="n">
        <f>1659800000</f>
        <v>1.6598E9</v>
      </c>
      <c r="W771" s="3" t="s">
        <v>1144</v>
      </c>
      <c r="X771" s="27" t="n">
        <f>133889000</f>
        <v>1.33889E8</v>
      </c>
      <c r="Y771" s="27"/>
      <c r="Z771" s="25" t="str">
        <f>"－"</f>
        <v>－</v>
      </c>
      <c r="AA771" s="25" t="n">
        <f>1329</f>
        <v>1329.0</v>
      </c>
      <c r="AB771" s="2" t="s">
        <v>397</v>
      </c>
      <c r="AC771" s="26" t="n">
        <f>1795</f>
        <v>1795.0</v>
      </c>
      <c r="AD771" s="3" t="s">
        <v>71</v>
      </c>
      <c r="AE771" s="27" t="n">
        <f>1122</f>
        <v>1122.0</v>
      </c>
    </row>
    <row r="772">
      <c r="A772" s="20" t="s">
        <v>1587</v>
      </c>
      <c r="B772" s="21" t="s">
        <v>1588</v>
      </c>
      <c r="C772" s="22"/>
      <c r="D772" s="23"/>
      <c r="E772" s="24" t="s">
        <v>136</v>
      </c>
      <c r="F772" s="28" t="n">
        <f>124</f>
        <v>124.0</v>
      </c>
      <c r="G772" s="25" t="n">
        <f>12554</f>
        <v>12554.0</v>
      </c>
      <c r="H772" s="25"/>
      <c r="I772" s="25" t="n">
        <f>701</f>
        <v>701.0</v>
      </c>
      <c r="J772" s="25" t="n">
        <f>101</f>
        <v>101.0</v>
      </c>
      <c r="K772" s="25" t="n">
        <f>6</f>
        <v>6.0</v>
      </c>
      <c r="L772" s="2" t="s">
        <v>68</v>
      </c>
      <c r="M772" s="26" t="n">
        <f>545</f>
        <v>545.0</v>
      </c>
      <c r="N772" s="3" t="s">
        <v>90</v>
      </c>
      <c r="O772" s="27" t="n">
        <f>4</f>
        <v>4.0</v>
      </c>
      <c r="P772" s="29" t="s">
        <v>1593</v>
      </c>
      <c r="Q772" s="25"/>
      <c r="R772" s="29" t="s">
        <v>1594</v>
      </c>
      <c r="S772" s="25" t="n">
        <f>330037722</f>
        <v>3.30037722E8</v>
      </c>
      <c r="T772" s="25" t="n">
        <f>18816831</f>
        <v>1.8816831E7</v>
      </c>
      <c r="U772" s="3" t="s">
        <v>68</v>
      </c>
      <c r="V772" s="27" t="n">
        <f>1695317000</f>
        <v>1.695317E9</v>
      </c>
      <c r="W772" s="3" t="s">
        <v>90</v>
      </c>
      <c r="X772" s="27" t="n">
        <f>12531500</f>
        <v>1.25315E7</v>
      </c>
      <c r="Y772" s="27"/>
      <c r="Z772" s="25" t="str">
        <f>"－"</f>
        <v>－</v>
      </c>
      <c r="AA772" s="25" t="n">
        <f>584</f>
        <v>584.0</v>
      </c>
      <c r="AB772" s="2" t="s">
        <v>891</v>
      </c>
      <c r="AC772" s="26" t="n">
        <f>1237</f>
        <v>1237.0</v>
      </c>
      <c r="AD772" s="3" t="s">
        <v>269</v>
      </c>
      <c r="AE772" s="27" t="n">
        <f>581</f>
        <v>581.0</v>
      </c>
    </row>
    <row r="773">
      <c r="A773" s="20" t="s">
        <v>1587</v>
      </c>
      <c r="B773" s="21" t="s">
        <v>1588</v>
      </c>
      <c r="C773" s="22"/>
      <c r="D773" s="23"/>
      <c r="E773" s="24" t="s">
        <v>142</v>
      </c>
      <c r="F773" s="28" t="n">
        <f>120</f>
        <v>120.0</v>
      </c>
      <c r="G773" s="25" t="n">
        <f>3130</f>
        <v>3130.0</v>
      </c>
      <c r="H773" s="25"/>
      <c r="I773" s="25" t="n">
        <f>563</f>
        <v>563.0</v>
      </c>
      <c r="J773" s="25" t="n">
        <f>26</f>
        <v>26.0</v>
      </c>
      <c r="K773" s="25" t="n">
        <f>5</f>
        <v>5.0</v>
      </c>
      <c r="L773" s="2" t="s">
        <v>226</v>
      </c>
      <c r="M773" s="26" t="n">
        <f>160</f>
        <v>160.0</v>
      </c>
      <c r="N773" s="3" t="s">
        <v>525</v>
      </c>
      <c r="O773" s="27" t="str">
        <f>"－"</f>
        <v>－</v>
      </c>
      <c r="P773" s="29" t="s">
        <v>1595</v>
      </c>
      <c r="Q773" s="25"/>
      <c r="R773" s="29" t="s">
        <v>1596</v>
      </c>
      <c r="S773" s="25" t="n">
        <f>101283446</f>
        <v>1.01283446E8</v>
      </c>
      <c r="T773" s="25" t="n">
        <f>18496279</f>
        <v>1.8496279E7</v>
      </c>
      <c r="U773" s="3" t="s">
        <v>226</v>
      </c>
      <c r="V773" s="27" t="n">
        <f>593913000</f>
        <v>5.93913E8</v>
      </c>
      <c r="W773" s="3" t="s">
        <v>525</v>
      </c>
      <c r="X773" s="27" t="str">
        <f>"－"</f>
        <v>－</v>
      </c>
      <c r="Y773" s="27"/>
      <c r="Z773" s="25" t="str">
        <f>"－"</f>
        <v>－</v>
      </c>
      <c r="AA773" s="25" t="n">
        <f>53</f>
        <v>53.0</v>
      </c>
      <c r="AB773" s="2" t="s">
        <v>226</v>
      </c>
      <c r="AC773" s="26" t="n">
        <f>663</f>
        <v>663.0</v>
      </c>
      <c r="AD773" s="3" t="s">
        <v>400</v>
      </c>
      <c r="AE773" s="27" t="n">
        <f>52</f>
        <v>52.0</v>
      </c>
    </row>
    <row r="774">
      <c r="A774" s="20" t="s">
        <v>1587</v>
      </c>
      <c r="B774" s="21" t="s">
        <v>1588</v>
      </c>
      <c r="C774" s="22"/>
      <c r="D774" s="23"/>
      <c r="E774" s="24" t="s">
        <v>148</v>
      </c>
      <c r="F774" s="28" t="n">
        <f>124</f>
        <v>124.0</v>
      </c>
      <c r="G774" s="25" t="n">
        <f>148</f>
        <v>148.0</v>
      </c>
      <c r="H774" s="25"/>
      <c r="I774" s="25" t="n">
        <f>54</f>
        <v>54.0</v>
      </c>
      <c r="J774" s="25" t="n">
        <f>1</f>
        <v>1.0</v>
      </c>
      <c r="K774" s="25" t="n">
        <f>0</f>
        <v>0.0</v>
      </c>
      <c r="L774" s="2" t="s">
        <v>1136</v>
      </c>
      <c r="M774" s="26" t="n">
        <f>22</f>
        <v>22.0</v>
      </c>
      <c r="N774" s="3" t="s">
        <v>254</v>
      </c>
      <c r="O774" s="27" t="str">
        <f>"－"</f>
        <v>－</v>
      </c>
      <c r="P774" s="29" t="s">
        <v>1597</v>
      </c>
      <c r="Q774" s="25"/>
      <c r="R774" s="29" t="s">
        <v>1598</v>
      </c>
      <c r="S774" s="25" t="n">
        <f>4741367</f>
        <v>4741367.0</v>
      </c>
      <c r="T774" s="25" t="n">
        <f>1641645</f>
        <v>1641645.0</v>
      </c>
      <c r="U774" s="3" t="s">
        <v>1136</v>
      </c>
      <c r="V774" s="27" t="n">
        <f>82860000</f>
        <v>8.286E7</v>
      </c>
      <c r="W774" s="3" t="s">
        <v>254</v>
      </c>
      <c r="X774" s="27" t="str">
        <f>"－"</f>
        <v>－</v>
      </c>
      <c r="Y774" s="27"/>
      <c r="Z774" s="25" t="str">
        <f>"－"</f>
        <v>－</v>
      </c>
      <c r="AA774" s="25" t="n">
        <f>2</f>
        <v>2.0</v>
      </c>
      <c r="AB774" s="2" t="s">
        <v>225</v>
      </c>
      <c r="AC774" s="26" t="n">
        <f>58</f>
        <v>58.0</v>
      </c>
      <c r="AD774" s="3" t="s">
        <v>991</v>
      </c>
      <c r="AE774" s="27" t="n">
        <f>2</f>
        <v>2.0</v>
      </c>
    </row>
    <row r="775">
      <c r="A775" s="20" t="s">
        <v>1587</v>
      </c>
      <c r="B775" s="21" t="s">
        <v>1588</v>
      </c>
      <c r="C775" s="22"/>
      <c r="D775" s="23"/>
      <c r="E775" s="24" t="s">
        <v>151</v>
      </c>
      <c r="F775" s="28" t="n">
        <f>122</f>
        <v>122.0</v>
      </c>
      <c r="G775" s="25" t="n">
        <f>2</f>
        <v>2.0</v>
      </c>
      <c r="H775" s="25"/>
      <c r="I775" s="25" t="str">
        <f>"－"</f>
        <v>－</v>
      </c>
      <c r="J775" s="25" t="n">
        <f>0</f>
        <v>0.0</v>
      </c>
      <c r="K775" s="25" t="str">
        <f>"－"</f>
        <v>－</v>
      </c>
      <c r="L775" s="2" t="s">
        <v>863</v>
      </c>
      <c r="M775" s="26" t="n">
        <f>2</f>
        <v>2.0</v>
      </c>
      <c r="N775" s="3" t="s">
        <v>156</v>
      </c>
      <c r="O775" s="27" t="str">
        <f>"－"</f>
        <v>－</v>
      </c>
      <c r="P775" s="29" t="s">
        <v>1599</v>
      </c>
      <c r="Q775" s="25"/>
      <c r="R775" s="29" t="s">
        <v>262</v>
      </c>
      <c r="S775" s="25" t="n">
        <f>61475</f>
        <v>61475.0</v>
      </c>
      <c r="T775" s="25" t="str">
        <f>"－"</f>
        <v>－</v>
      </c>
      <c r="U775" s="3" t="s">
        <v>863</v>
      </c>
      <c r="V775" s="27" t="n">
        <f>7500000</f>
        <v>7500000.0</v>
      </c>
      <c r="W775" s="3" t="s">
        <v>156</v>
      </c>
      <c r="X775" s="27" t="str">
        <f>"－"</f>
        <v>－</v>
      </c>
      <c r="Y775" s="27"/>
      <c r="Z775" s="25" t="str">
        <f>"－"</f>
        <v>－</v>
      </c>
      <c r="AA775" s="25" t="str">
        <f>"－"</f>
        <v>－</v>
      </c>
      <c r="AB775" s="2" t="s">
        <v>156</v>
      </c>
      <c r="AC775" s="26" t="n">
        <f>2</f>
        <v>2.0</v>
      </c>
      <c r="AD775" s="3" t="s">
        <v>863</v>
      </c>
      <c r="AE775" s="27" t="str">
        <f>"－"</f>
        <v>－</v>
      </c>
    </row>
    <row r="776">
      <c r="A776" s="20" t="s">
        <v>1587</v>
      </c>
      <c r="B776" s="21" t="s">
        <v>1588</v>
      </c>
      <c r="C776" s="22"/>
      <c r="D776" s="23"/>
      <c r="E776" s="24" t="s">
        <v>157</v>
      </c>
      <c r="F776" s="28" t="n">
        <f>124</f>
        <v>124.0</v>
      </c>
      <c r="G776" s="25" t="str">
        <f>"－"</f>
        <v>－</v>
      </c>
      <c r="H776" s="25"/>
      <c r="I776" s="25" t="str">
        <f>"－"</f>
        <v>－</v>
      </c>
      <c r="J776" s="25" t="str">
        <f>"－"</f>
        <v>－</v>
      </c>
      <c r="K776" s="25" t="str">
        <f>"－"</f>
        <v>－</v>
      </c>
      <c r="L776" s="2" t="s">
        <v>633</v>
      </c>
      <c r="M776" s="26" t="str">
        <f>"－"</f>
        <v>－</v>
      </c>
      <c r="N776" s="3" t="s">
        <v>633</v>
      </c>
      <c r="O776" s="27" t="str">
        <f>"－"</f>
        <v>－</v>
      </c>
      <c r="P776" s="29" t="s">
        <v>262</v>
      </c>
      <c r="Q776" s="25"/>
      <c r="R776" s="29" t="s">
        <v>262</v>
      </c>
      <c r="S776" s="25" t="str">
        <f>"－"</f>
        <v>－</v>
      </c>
      <c r="T776" s="25" t="str">
        <f>"－"</f>
        <v>－</v>
      </c>
      <c r="U776" s="3" t="s">
        <v>633</v>
      </c>
      <c r="V776" s="27" t="str">
        <f>"－"</f>
        <v>－</v>
      </c>
      <c r="W776" s="3" t="s">
        <v>633</v>
      </c>
      <c r="X776" s="27" t="str">
        <f>"－"</f>
        <v>－</v>
      </c>
      <c r="Y776" s="27"/>
      <c r="Z776" s="25" t="str">
        <f>"－"</f>
        <v>－</v>
      </c>
      <c r="AA776" s="25" t="str">
        <f>"－"</f>
        <v>－</v>
      </c>
      <c r="AB776" s="2" t="s">
        <v>633</v>
      </c>
      <c r="AC776" s="26" t="str">
        <f>"－"</f>
        <v>－</v>
      </c>
      <c r="AD776" s="3" t="s">
        <v>633</v>
      </c>
      <c r="AE776" s="27" t="str">
        <f>"－"</f>
        <v>－</v>
      </c>
    </row>
    <row r="777">
      <c r="A777" s="20" t="s">
        <v>1587</v>
      </c>
      <c r="B777" s="21" t="s">
        <v>1588</v>
      </c>
      <c r="C777" s="22"/>
      <c r="D777" s="23"/>
      <c r="E777" s="24" t="s">
        <v>160</v>
      </c>
      <c r="F777" s="28" t="n">
        <f>58</f>
        <v>58.0</v>
      </c>
      <c r="G777" s="25" t="str">
        <f>"－"</f>
        <v>－</v>
      </c>
      <c r="H777" s="25"/>
      <c r="I777" s="25" t="str">
        <f>"－"</f>
        <v>－</v>
      </c>
      <c r="J777" s="25" t="str">
        <f>"－"</f>
        <v>－</v>
      </c>
      <c r="K777" s="25" t="str">
        <f>"－"</f>
        <v>－</v>
      </c>
      <c r="L777" s="2" t="s">
        <v>156</v>
      </c>
      <c r="M777" s="26" t="str">
        <f>"－"</f>
        <v>－</v>
      </c>
      <c r="N777" s="3" t="s">
        <v>156</v>
      </c>
      <c r="O777" s="27" t="str">
        <f>"－"</f>
        <v>－</v>
      </c>
      <c r="P777" s="29" t="s">
        <v>262</v>
      </c>
      <c r="Q777" s="25"/>
      <c r="R777" s="29" t="s">
        <v>262</v>
      </c>
      <c r="S777" s="25" t="str">
        <f>"－"</f>
        <v>－</v>
      </c>
      <c r="T777" s="25" t="str">
        <f>"－"</f>
        <v>－</v>
      </c>
      <c r="U777" s="3" t="s">
        <v>156</v>
      </c>
      <c r="V777" s="27" t="str">
        <f>"－"</f>
        <v>－</v>
      </c>
      <c r="W777" s="3" t="s">
        <v>156</v>
      </c>
      <c r="X777" s="27" t="str">
        <f>"－"</f>
        <v>－</v>
      </c>
      <c r="Y777" s="27"/>
      <c r="Z777" s="25" t="str">
        <f>"－"</f>
        <v>－</v>
      </c>
      <c r="AA777" s="25" t="str">
        <f>"－"</f>
        <v>－</v>
      </c>
      <c r="AB777" s="2" t="s">
        <v>156</v>
      </c>
      <c r="AC777" s="26" t="str">
        <f>"－"</f>
        <v>－</v>
      </c>
      <c r="AD777" s="3" t="s">
        <v>156</v>
      </c>
      <c r="AE777" s="27" t="str">
        <f>"－"</f>
        <v>－</v>
      </c>
    </row>
    <row r="778">
      <c r="A778" s="20" t="s">
        <v>1600</v>
      </c>
      <c r="B778" s="21" t="s">
        <v>1601</v>
      </c>
      <c r="C778" s="22"/>
      <c r="D778" s="23"/>
      <c r="E778" s="24" t="s">
        <v>124</v>
      </c>
      <c r="F778" s="28" t="n">
        <f>108</f>
        <v>108.0</v>
      </c>
      <c r="G778" s="25" t="n">
        <f>16416</f>
        <v>16416.0</v>
      </c>
      <c r="H778" s="25"/>
      <c r="I778" s="25" t="n">
        <f>973</f>
        <v>973.0</v>
      </c>
      <c r="J778" s="25" t="n">
        <f>152</f>
        <v>152.0</v>
      </c>
      <c r="K778" s="25" t="n">
        <f>9</f>
        <v>9.0</v>
      </c>
      <c r="L778" s="2" t="s">
        <v>263</v>
      </c>
      <c r="M778" s="26" t="n">
        <f>533</f>
        <v>533.0</v>
      </c>
      <c r="N778" s="3" t="s">
        <v>1122</v>
      </c>
      <c r="O778" s="27" t="n">
        <f>25</f>
        <v>25.0</v>
      </c>
      <c r="P778" s="29" t="s">
        <v>1602</v>
      </c>
      <c r="Q778" s="25"/>
      <c r="R778" s="29" t="s">
        <v>1603</v>
      </c>
      <c r="S778" s="25" t="n">
        <f>330458713</f>
        <v>3.30458713E8</v>
      </c>
      <c r="T778" s="25" t="n">
        <f>19599310</f>
        <v>1.959931E7</v>
      </c>
      <c r="U778" s="3" t="s">
        <v>263</v>
      </c>
      <c r="V778" s="27" t="n">
        <f>1123580500</f>
        <v>1.1235805E9</v>
      </c>
      <c r="W778" s="3" t="s">
        <v>1122</v>
      </c>
      <c r="X778" s="27" t="n">
        <f>54473500</f>
        <v>5.44735E7</v>
      </c>
      <c r="Y778" s="27"/>
      <c r="Z778" s="25" t="str">
        <f>"－"</f>
        <v>－</v>
      </c>
      <c r="AA778" s="25" t="n">
        <f>1333</f>
        <v>1333.0</v>
      </c>
      <c r="AB778" s="2" t="s">
        <v>1297</v>
      </c>
      <c r="AC778" s="26" t="n">
        <f>1758</f>
        <v>1758.0</v>
      </c>
      <c r="AD778" s="3" t="s">
        <v>198</v>
      </c>
      <c r="AE778" s="27" t="n">
        <f>655</f>
        <v>655.0</v>
      </c>
    </row>
    <row r="779">
      <c r="A779" s="20" t="s">
        <v>1600</v>
      </c>
      <c r="B779" s="21" t="s">
        <v>1601</v>
      </c>
      <c r="C779" s="22"/>
      <c r="D779" s="23"/>
      <c r="E779" s="24" t="s">
        <v>130</v>
      </c>
      <c r="F779" s="28" t="n">
        <f>121</f>
        <v>121.0</v>
      </c>
      <c r="G779" s="25" t="n">
        <f>15315</f>
        <v>15315.0</v>
      </c>
      <c r="H779" s="25"/>
      <c r="I779" s="25" t="n">
        <f>1889</f>
        <v>1889.0</v>
      </c>
      <c r="J779" s="25" t="n">
        <f>127</f>
        <v>127.0</v>
      </c>
      <c r="K779" s="25" t="n">
        <f>16</f>
        <v>16.0</v>
      </c>
      <c r="L779" s="2" t="s">
        <v>290</v>
      </c>
      <c r="M779" s="26" t="n">
        <f>473</f>
        <v>473.0</v>
      </c>
      <c r="N779" s="3" t="s">
        <v>112</v>
      </c>
      <c r="O779" s="27" t="n">
        <f>23</f>
        <v>23.0</v>
      </c>
      <c r="P779" s="29" t="s">
        <v>1604</v>
      </c>
      <c r="Q779" s="25"/>
      <c r="R779" s="29" t="s">
        <v>1605</v>
      </c>
      <c r="S779" s="25" t="n">
        <f>350507236</f>
        <v>3.50507236E8</v>
      </c>
      <c r="T779" s="25" t="n">
        <f>43132140</f>
        <v>4.313214E7</v>
      </c>
      <c r="U779" s="3" t="s">
        <v>290</v>
      </c>
      <c r="V779" s="27" t="n">
        <f>1373528000</f>
        <v>1.373528E9</v>
      </c>
      <c r="W779" s="3" t="s">
        <v>112</v>
      </c>
      <c r="X779" s="27" t="n">
        <f>72485000</f>
        <v>7.2485E7</v>
      </c>
      <c r="Y779" s="27"/>
      <c r="Z779" s="25" t="str">
        <f>"－"</f>
        <v>－</v>
      </c>
      <c r="AA779" s="25" t="n">
        <f>675</f>
        <v>675.0</v>
      </c>
      <c r="AB779" s="2" t="s">
        <v>226</v>
      </c>
      <c r="AC779" s="26" t="n">
        <f>1645</f>
        <v>1645.0</v>
      </c>
      <c r="AD779" s="3" t="s">
        <v>131</v>
      </c>
      <c r="AE779" s="27" t="n">
        <f>603</f>
        <v>603.0</v>
      </c>
    </row>
    <row r="780">
      <c r="A780" s="20" t="s">
        <v>1600</v>
      </c>
      <c r="B780" s="21" t="s">
        <v>1601</v>
      </c>
      <c r="C780" s="22"/>
      <c r="D780" s="23"/>
      <c r="E780" s="24" t="s">
        <v>136</v>
      </c>
      <c r="F780" s="28" t="n">
        <f>124</f>
        <v>124.0</v>
      </c>
      <c r="G780" s="25" t="n">
        <f>6002</f>
        <v>6002.0</v>
      </c>
      <c r="H780" s="25"/>
      <c r="I780" s="25" t="n">
        <f>717</f>
        <v>717.0</v>
      </c>
      <c r="J780" s="25" t="n">
        <f>48</f>
        <v>48.0</v>
      </c>
      <c r="K780" s="25" t="n">
        <f>6</f>
        <v>6.0</v>
      </c>
      <c r="L780" s="2" t="s">
        <v>229</v>
      </c>
      <c r="M780" s="26" t="n">
        <f>165</f>
        <v>165.0</v>
      </c>
      <c r="N780" s="3" t="s">
        <v>259</v>
      </c>
      <c r="O780" s="27" t="str">
        <f>"－"</f>
        <v>－</v>
      </c>
      <c r="P780" s="29" t="s">
        <v>1606</v>
      </c>
      <c r="Q780" s="25"/>
      <c r="R780" s="29" t="s">
        <v>1607</v>
      </c>
      <c r="S780" s="25" t="n">
        <f>162719629</f>
        <v>1.62719629E8</v>
      </c>
      <c r="T780" s="25" t="n">
        <f>20226923</f>
        <v>2.0226923E7</v>
      </c>
      <c r="U780" s="3" t="s">
        <v>229</v>
      </c>
      <c r="V780" s="27" t="n">
        <f>610680500</f>
        <v>6.106805E8</v>
      </c>
      <c r="W780" s="3" t="s">
        <v>259</v>
      </c>
      <c r="X780" s="27" t="str">
        <f>"－"</f>
        <v>－</v>
      </c>
      <c r="Y780" s="27"/>
      <c r="Z780" s="25" t="str">
        <f>"－"</f>
        <v>－</v>
      </c>
      <c r="AA780" s="25" t="n">
        <f>320</f>
        <v>320.0</v>
      </c>
      <c r="AB780" s="2" t="s">
        <v>536</v>
      </c>
      <c r="AC780" s="26" t="n">
        <f>930</f>
        <v>930.0</v>
      </c>
      <c r="AD780" s="3" t="s">
        <v>138</v>
      </c>
      <c r="AE780" s="27" t="n">
        <f>314</f>
        <v>314.0</v>
      </c>
    </row>
    <row r="781">
      <c r="A781" s="20" t="s">
        <v>1600</v>
      </c>
      <c r="B781" s="21" t="s">
        <v>1601</v>
      </c>
      <c r="C781" s="22"/>
      <c r="D781" s="23"/>
      <c r="E781" s="24" t="s">
        <v>142</v>
      </c>
      <c r="F781" s="28" t="n">
        <f>120</f>
        <v>120.0</v>
      </c>
      <c r="G781" s="25" t="n">
        <f>2347</f>
        <v>2347.0</v>
      </c>
      <c r="H781" s="25"/>
      <c r="I781" s="25" t="n">
        <f>420</f>
        <v>420.0</v>
      </c>
      <c r="J781" s="25" t="n">
        <f>20</f>
        <v>20.0</v>
      </c>
      <c r="K781" s="25" t="n">
        <f>4</f>
        <v>4.0</v>
      </c>
      <c r="L781" s="2" t="s">
        <v>193</v>
      </c>
      <c r="M781" s="26" t="n">
        <f>137</f>
        <v>137.0</v>
      </c>
      <c r="N781" s="3" t="s">
        <v>773</v>
      </c>
      <c r="O781" s="27" t="str">
        <f>"－"</f>
        <v>－</v>
      </c>
      <c r="P781" s="29" t="s">
        <v>1608</v>
      </c>
      <c r="Q781" s="25"/>
      <c r="R781" s="29" t="s">
        <v>1609</v>
      </c>
      <c r="S781" s="25" t="n">
        <f>75979388</f>
        <v>7.5979388E7</v>
      </c>
      <c r="T781" s="25" t="n">
        <f>13802279</f>
        <v>1.3802279E7</v>
      </c>
      <c r="U781" s="3" t="s">
        <v>193</v>
      </c>
      <c r="V781" s="27" t="n">
        <f>544950500</f>
        <v>5.449505E8</v>
      </c>
      <c r="W781" s="3" t="s">
        <v>773</v>
      </c>
      <c r="X781" s="27" t="str">
        <f>"－"</f>
        <v>－</v>
      </c>
      <c r="Y781" s="27"/>
      <c r="Z781" s="25" t="str">
        <f>"－"</f>
        <v>－</v>
      </c>
      <c r="AA781" s="25" t="n">
        <f>30</f>
        <v>30.0</v>
      </c>
      <c r="AB781" s="2" t="s">
        <v>226</v>
      </c>
      <c r="AC781" s="26" t="n">
        <f>526</f>
        <v>526.0</v>
      </c>
      <c r="AD781" s="3" t="s">
        <v>400</v>
      </c>
      <c r="AE781" s="27" t="n">
        <f>30</f>
        <v>30.0</v>
      </c>
    </row>
    <row r="782">
      <c r="A782" s="20" t="s">
        <v>1600</v>
      </c>
      <c r="B782" s="21" t="s">
        <v>1601</v>
      </c>
      <c r="C782" s="22"/>
      <c r="D782" s="23"/>
      <c r="E782" s="24" t="s">
        <v>148</v>
      </c>
      <c r="F782" s="28" t="n">
        <f>124</f>
        <v>124.0</v>
      </c>
      <c r="G782" s="25" t="n">
        <f>253</f>
        <v>253.0</v>
      </c>
      <c r="H782" s="25"/>
      <c r="I782" s="25" t="n">
        <f>185</f>
        <v>185.0</v>
      </c>
      <c r="J782" s="25" t="n">
        <f>2</f>
        <v>2.0</v>
      </c>
      <c r="K782" s="25" t="n">
        <f>1</f>
        <v>1.0</v>
      </c>
      <c r="L782" s="2" t="s">
        <v>1610</v>
      </c>
      <c r="M782" s="26" t="n">
        <f>130</f>
        <v>130.0</v>
      </c>
      <c r="N782" s="3" t="s">
        <v>68</v>
      </c>
      <c r="O782" s="27" t="str">
        <f>"－"</f>
        <v>－</v>
      </c>
      <c r="P782" s="29" t="s">
        <v>1611</v>
      </c>
      <c r="Q782" s="25"/>
      <c r="R782" s="29" t="s">
        <v>1612</v>
      </c>
      <c r="S782" s="25" t="n">
        <f>8053452</f>
        <v>8053452.0</v>
      </c>
      <c r="T782" s="25" t="n">
        <f>5834496</f>
        <v>5834496.0</v>
      </c>
      <c r="U782" s="3" t="s">
        <v>1610</v>
      </c>
      <c r="V782" s="27" t="n">
        <f>508490000</f>
        <v>5.0849E8</v>
      </c>
      <c r="W782" s="3" t="s">
        <v>68</v>
      </c>
      <c r="X782" s="27" t="str">
        <f>"－"</f>
        <v>－</v>
      </c>
      <c r="Y782" s="27"/>
      <c r="Z782" s="25" t="str">
        <f>"－"</f>
        <v>－</v>
      </c>
      <c r="AA782" s="25" t="str">
        <f>"－"</f>
        <v>－</v>
      </c>
      <c r="AB782" s="2" t="s">
        <v>1610</v>
      </c>
      <c r="AC782" s="26" t="n">
        <f>54</f>
        <v>54.0</v>
      </c>
      <c r="AD782" s="3" t="s">
        <v>50</v>
      </c>
      <c r="AE782" s="27" t="str">
        <f>"－"</f>
        <v>－</v>
      </c>
    </row>
    <row r="783">
      <c r="A783" s="20" t="s">
        <v>1600</v>
      </c>
      <c r="B783" s="21" t="s">
        <v>1601</v>
      </c>
      <c r="C783" s="22"/>
      <c r="D783" s="23"/>
      <c r="E783" s="24" t="s">
        <v>151</v>
      </c>
      <c r="F783" s="28" t="n">
        <f>122</f>
        <v>122.0</v>
      </c>
      <c r="G783" s="25" t="n">
        <f>22</f>
        <v>22.0</v>
      </c>
      <c r="H783" s="25"/>
      <c r="I783" s="25" t="n">
        <f>20</f>
        <v>20.0</v>
      </c>
      <c r="J783" s="25" t="n">
        <f>0</f>
        <v>0.0</v>
      </c>
      <c r="K783" s="25" t="n">
        <f>0</f>
        <v>0.0</v>
      </c>
      <c r="L783" s="2" t="s">
        <v>226</v>
      </c>
      <c r="M783" s="26" t="n">
        <f>20</f>
        <v>20.0</v>
      </c>
      <c r="N783" s="3" t="s">
        <v>156</v>
      </c>
      <c r="O783" s="27" t="str">
        <f>"－"</f>
        <v>－</v>
      </c>
      <c r="P783" s="29" t="s">
        <v>1613</v>
      </c>
      <c r="Q783" s="25"/>
      <c r="R783" s="29" t="s">
        <v>1614</v>
      </c>
      <c r="S783" s="25" t="n">
        <f>692627</f>
        <v>692627.0</v>
      </c>
      <c r="T783" s="25" t="n">
        <f>631148</f>
        <v>631148.0</v>
      </c>
      <c r="U783" s="3" t="s">
        <v>226</v>
      </c>
      <c r="V783" s="27" t="n">
        <f>77000000</f>
        <v>7.7E7</v>
      </c>
      <c r="W783" s="3" t="s">
        <v>156</v>
      </c>
      <c r="X783" s="27" t="str">
        <f>"－"</f>
        <v>－</v>
      </c>
      <c r="Y783" s="27"/>
      <c r="Z783" s="25" t="str">
        <f>"－"</f>
        <v>－</v>
      </c>
      <c r="AA783" s="25" t="str">
        <f>"－"</f>
        <v>－</v>
      </c>
      <c r="AB783" s="2" t="s">
        <v>226</v>
      </c>
      <c r="AC783" s="26" t="n">
        <f>20</f>
        <v>20.0</v>
      </c>
      <c r="AD783" s="3" t="s">
        <v>156</v>
      </c>
      <c r="AE783" s="27" t="str">
        <f>"－"</f>
        <v>－</v>
      </c>
    </row>
    <row r="784">
      <c r="A784" s="20" t="s">
        <v>1600</v>
      </c>
      <c r="B784" s="21" t="s">
        <v>1601</v>
      </c>
      <c r="C784" s="22"/>
      <c r="D784" s="23"/>
      <c r="E784" s="24" t="s">
        <v>157</v>
      </c>
      <c r="F784" s="28" t="n">
        <f>124</f>
        <v>124.0</v>
      </c>
      <c r="G784" s="25" t="str">
        <f>"－"</f>
        <v>－</v>
      </c>
      <c r="H784" s="25"/>
      <c r="I784" s="25" t="str">
        <f>"－"</f>
        <v>－</v>
      </c>
      <c r="J784" s="25" t="str">
        <f>"－"</f>
        <v>－</v>
      </c>
      <c r="K784" s="25" t="str">
        <f>"－"</f>
        <v>－</v>
      </c>
      <c r="L784" s="2" t="s">
        <v>633</v>
      </c>
      <c r="M784" s="26" t="str">
        <f>"－"</f>
        <v>－</v>
      </c>
      <c r="N784" s="3" t="s">
        <v>633</v>
      </c>
      <c r="O784" s="27" t="str">
        <f>"－"</f>
        <v>－</v>
      </c>
      <c r="P784" s="29" t="s">
        <v>262</v>
      </c>
      <c r="Q784" s="25"/>
      <c r="R784" s="29" t="s">
        <v>262</v>
      </c>
      <c r="S784" s="25" t="str">
        <f>"－"</f>
        <v>－</v>
      </c>
      <c r="T784" s="25" t="str">
        <f>"－"</f>
        <v>－</v>
      </c>
      <c r="U784" s="3" t="s">
        <v>633</v>
      </c>
      <c r="V784" s="27" t="str">
        <f>"－"</f>
        <v>－</v>
      </c>
      <c r="W784" s="3" t="s">
        <v>633</v>
      </c>
      <c r="X784" s="27" t="str">
        <f>"－"</f>
        <v>－</v>
      </c>
      <c r="Y784" s="27"/>
      <c r="Z784" s="25" t="str">
        <f>"－"</f>
        <v>－</v>
      </c>
      <c r="AA784" s="25" t="str">
        <f>"－"</f>
        <v>－</v>
      </c>
      <c r="AB784" s="2" t="s">
        <v>633</v>
      </c>
      <c r="AC784" s="26" t="str">
        <f>"－"</f>
        <v>－</v>
      </c>
      <c r="AD784" s="3" t="s">
        <v>633</v>
      </c>
      <c r="AE784" s="27" t="str">
        <f>"－"</f>
        <v>－</v>
      </c>
    </row>
    <row r="785">
      <c r="A785" s="20" t="s">
        <v>1600</v>
      </c>
      <c r="B785" s="21" t="s">
        <v>1601</v>
      </c>
      <c r="C785" s="22"/>
      <c r="D785" s="23"/>
      <c r="E785" s="24" t="s">
        <v>160</v>
      </c>
      <c r="F785" s="28" t="n">
        <f>58</f>
        <v>58.0</v>
      </c>
      <c r="G785" s="25" t="str">
        <f>"－"</f>
        <v>－</v>
      </c>
      <c r="H785" s="25"/>
      <c r="I785" s="25" t="str">
        <f>"－"</f>
        <v>－</v>
      </c>
      <c r="J785" s="25" t="str">
        <f>"－"</f>
        <v>－</v>
      </c>
      <c r="K785" s="25" t="str">
        <f>"－"</f>
        <v>－</v>
      </c>
      <c r="L785" s="2" t="s">
        <v>156</v>
      </c>
      <c r="M785" s="26" t="str">
        <f>"－"</f>
        <v>－</v>
      </c>
      <c r="N785" s="3" t="s">
        <v>156</v>
      </c>
      <c r="O785" s="27" t="str">
        <f>"－"</f>
        <v>－</v>
      </c>
      <c r="P785" s="29" t="s">
        <v>262</v>
      </c>
      <c r="Q785" s="25"/>
      <c r="R785" s="29" t="s">
        <v>262</v>
      </c>
      <c r="S785" s="25" t="str">
        <f>"－"</f>
        <v>－</v>
      </c>
      <c r="T785" s="25" t="str">
        <f>"－"</f>
        <v>－</v>
      </c>
      <c r="U785" s="3" t="s">
        <v>156</v>
      </c>
      <c r="V785" s="27" t="str">
        <f>"－"</f>
        <v>－</v>
      </c>
      <c r="W785" s="3" t="s">
        <v>156</v>
      </c>
      <c r="X785" s="27" t="str">
        <f>"－"</f>
        <v>－</v>
      </c>
      <c r="Y785" s="27"/>
      <c r="Z785" s="25" t="str">
        <f>"－"</f>
        <v>－</v>
      </c>
      <c r="AA785" s="25" t="str">
        <f>"－"</f>
        <v>－</v>
      </c>
      <c r="AB785" s="2" t="s">
        <v>156</v>
      </c>
      <c r="AC785" s="26" t="str">
        <f>"－"</f>
        <v>－</v>
      </c>
      <c r="AD785" s="3" t="s">
        <v>156</v>
      </c>
      <c r="AE785" s="27" t="str">
        <f>"－"</f>
        <v>－</v>
      </c>
    </row>
    <row r="786">
      <c r="A786" s="20" t="s">
        <v>1615</v>
      </c>
      <c r="B786" s="21" t="s">
        <v>1616</v>
      </c>
      <c r="C786" s="22"/>
      <c r="D786" s="23"/>
      <c r="E786" s="24" t="s">
        <v>124</v>
      </c>
      <c r="F786" s="28" t="n">
        <f>108</f>
        <v>108.0</v>
      </c>
      <c r="G786" s="25" t="str">
        <f>"－"</f>
        <v>－</v>
      </c>
      <c r="H786" s="25"/>
      <c r="I786" s="25" t="str">
        <f>"－"</f>
        <v>－</v>
      </c>
      <c r="J786" s="25" t="str">
        <f>"－"</f>
        <v>－</v>
      </c>
      <c r="K786" s="25" t="str">
        <f>"－"</f>
        <v>－</v>
      </c>
      <c r="L786" s="2" t="s">
        <v>198</v>
      </c>
      <c r="M786" s="26" t="str">
        <f>"－"</f>
        <v>－</v>
      </c>
      <c r="N786" s="3" t="s">
        <v>198</v>
      </c>
      <c r="O786" s="27" t="str">
        <f>"－"</f>
        <v>－</v>
      </c>
      <c r="P786" s="29" t="s">
        <v>262</v>
      </c>
      <c r="Q786" s="25"/>
      <c r="R786" s="29" t="s">
        <v>262</v>
      </c>
      <c r="S786" s="25" t="str">
        <f>"－"</f>
        <v>－</v>
      </c>
      <c r="T786" s="25" t="str">
        <f>"－"</f>
        <v>－</v>
      </c>
      <c r="U786" s="3" t="s">
        <v>198</v>
      </c>
      <c r="V786" s="27" t="str">
        <f>"－"</f>
        <v>－</v>
      </c>
      <c r="W786" s="3" t="s">
        <v>198</v>
      </c>
      <c r="X786" s="27" t="str">
        <f>"－"</f>
        <v>－</v>
      </c>
      <c r="Y786" s="27"/>
      <c r="Z786" s="25" t="str">
        <f>"－"</f>
        <v>－</v>
      </c>
      <c r="AA786" s="25" t="str">
        <f>"－"</f>
        <v>－</v>
      </c>
      <c r="AB786" s="2" t="s">
        <v>198</v>
      </c>
      <c r="AC786" s="26" t="str">
        <f>"－"</f>
        <v>－</v>
      </c>
      <c r="AD786" s="3" t="s">
        <v>198</v>
      </c>
      <c r="AE786" s="27" t="str">
        <f>"－"</f>
        <v>－</v>
      </c>
    </row>
    <row r="787">
      <c r="A787" s="20" t="s">
        <v>1615</v>
      </c>
      <c r="B787" s="21" t="s">
        <v>1616</v>
      </c>
      <c r="C787" s="22"/>
      <c r="D787" s="23"/>
      <c r="E787" s="24" t="s">
        <v>130</v>
      </c>
      <c r="F787" s="28" t="n">
        <f>121</f>
        <v>121.0</v>
      </c>
      <c r="G787" s="25" t="str">
        <f>"－"</f>
        <v>－</v>
      </c>
      <c r="H787" s="25"/>
      <c r="I787" s="25" t="str">
        <f>"－"</f>
        <v>－</v>
      </c>
      <c r="J787" s="25" t="str">
        <f>"－"</f>
        <v>－</v>
      </c>
      <c r="K787" s="25" t="str">
        <f>"－"</f>
        <v>－</v>
      </c>
      <c r="L787" s="2" t="s">
        <v>156</v>
      </c>
      <c r="M787" s="26" t="str">
        <f>"－"</f>
        <v>－</v>
      </c>
      <c r="N787" s="3" t="s">
        <v>156</v>
      </c>
      <c r="O787" s="27" t="str">
        <f>"－"</f>
        <v>－</v>
      </c>
      <c r="P787" s="29" t="s">
        <v>262</v>
      </c>
      <c r="Q787" s="25"/>
      <c r="R787" s="29" t="s">
        <v>262</v>
      </c>
      <c r="S787" s="25" t="str">
        <f>"－"</f>
        <v>－</v>
      </c>
      <c r="T787" s="25" t="str">
        <f>"－"</f>
        <v>－</v>
      </c>
      <c r="U787" s="3" t="s">
        <v>156</v>
      </c>
      <c r="V787" s="27" t="str">
        <f>"－"</f>
        <v>－</v>
      </c>
      <c r="W787" s="3" t="s">
        <v>156</v>
      </c>
      <c r="X787" s="27" t="str">
        <f>"－"</f>
        <v>－</v>
      </c>
      <c r="Y787" s="27"/>
      <c r="Z787" s="25" t="str">
        <f>"－"</f>
        <v>－</v>
      </c>
      <c r="AA787" s="25" t="str">
        <f>"－"</f>
        <v>－</v>
      </c>
      <c r="AB787" s="2" t="s">
        <v>156</v>
      </c>
      <c r="AC787" s="26" t="str">
        <f>"－"</f>
        <v>－</v>
      </c>
      <c r="AD787" s="3" t="s">
        <v>156</v>
      </c>
      <c r="AE787" s="27" t="str">
        <f>"－"</f>
        <v>－</v>
      </c>
    </row>
    <row r="788">
      <c r="A788" s="20" t="s">
        <v>1615</v>
      </c>
      <c r="B788" s="21" t="s">
        <v>1616</v>
      </c>
      <c r="C788" s="22"/>
      <c r="D788" s="23"/>
      <c r="E788" s="24" t="s">
        <v>136</v>
      </c>
      <c r="F788" s="28" t="n">
        <f>124</f>
        <v>124.0</v>
      </c>
      <c r="G788" s="25" t="str">
        <f>"－"</f>
        <v>－</v>
      </c>
      <c r="H788" s="25"/>
      <c r="I788" s="25" t="str">
        <f>"－"</f>
        <v>－</v>
      </c>
      <c r="J788" s="25" t="str">
        <f>"－"</f>
        <v>－</v>
      </c>
      <c r="K788" s="25" t="str">
        <f>"－"</f>
        <v>－</v>
      </c>
      <c r="L788" s="2" t="s">
        <v>68</v>
      </c>
      <c r="M788" s="26" t="str">
        <f>"－"</f>
        <v>－</v>
      </c>
      <c r="N788" s="3" t="s">
        <v>68</v>
      </c>
      <c r="O788" s="27" t="str">
        <f>"－"</f>
        <v>－</v>
      </c>
      <c r="P788" s="29" t="s">
        <v>262</v>
      </c>
      <c r="Q788" s="25"/>
      <c r="R788" s="29" t="s">
        <v>262</v>
      </c>
      <c r="S788" s="25" t="str">
        <f>"－"</f>
        <v>－</v>
      </c>
      <c r="T788" s="25" t="str">
        <f>"－"</f>
        <v>－</v>
      </c>
      <c r="U788" s="3" t="s">
        <v>68</v>
      </c>
      <c r="V788" s="27" t="str">
        <f>"－"</f>
        <v>－</v>
      </c>
      <c r="W788" s="3" t="s">
        <v>68</v>
      </c>
      <c r="X788" s="27" t="str">
        <f>"－"</f>
        <v>－</v>
      </c>
      <c r="Y788" s="27"/>
      <c r="Z788" s="25" t="str">
        <f>"－"</f>
        <v>－</v>
      </c>
      <c r="AA788" s="25" t="str">
        <f>"－"</f>
        <v>－</v>
      </c>
      <c r="AB788" s="2" t="s">
        <v>68</v>
      </c>
      <c r="AC788" s="26" t="str">
        <f>"－"</f>
        <v>－</v>
      </c>
      <c r="AD788" s="3" t="s">
        <v>68</v>
      </c>
      <c r="AE788" s="27" t="str">
        <f>"－"</f>
        <v>－</v>
      </c>
    </row>
    <row r="789">
      <c r="A789" s="20" t="s">
        <v>1615</v>
      </c>
      <c r="B789" s="21" t="s">
        <v>1616</v>
      </c>
      <c r="C789" s="22"/>
      <c r="D789" s="23"/>
      <c r="E789" s="24" t="s">
        <v>142</v>
      </c>
      <c r="F789" s="28" t="n">
        <f>120</f>
        <v>120.0</v>
      </c>
      <c r="G789" s="25" t="str">
        <f>"－"</f>
        <v>－</v>
      </c>
      <c r="H789" s="25"/>
      <c r="I789" s="25" t="str">
        <f>"－"</f>
        <v>－</v>
      </c>
      <c r="J789" s="25" t="str">
        <f>"－"</f>
        <v>－</v>
      </c>
      <c r="K789" s="25" t="str">
        <f>"－"</f>
        <v>－</v>
      </c>
      <c r="L789" s="2" t="s">
        <v>156</v>
      </c>
      <c r="M789" s="26" t="str">
        <f>"－"</f>
        <v>－</v>
      </c>
      <c r="N789" s="3" t="s">
        <v>156</v>
      </c>
      <c r="O789" s="27" t="str">
        <f>"－"</f>
        <v>－</v>
      </c>
      <c r="P789" s="29" t="s">
        <v>262</v>
      </c>
      <c r="Q789" s="25"/>
      <c r="R789" s="29" t="s">
        <v>262</v>
      </c>
      <c r="S789" s="25" t="str">
        <f>"－"</f>
        <v>－</v>
      </c>
      <c r="T789" s="25" t="str">
        <f>"－"</f>
        <v>－</v>
      </c>
      <c r="U789" s="3" t="s">
        <v>156</v>
      </c>
      <c r="V789" s="27" t="str">
        <f>"－"</f>
        <v>－</v>
      </c>
      <c r="W789" s="3" t="s">
        <v>156</v>
      </c>
      <c r="X789" s="27" t="str">
        <f>"－"</f>
        <v>－</v>
      </c>
      <c r="Y789" s="27"/>
      <c r="Z789" s="25" t="str">
        <f>"－"</f>
        <v>－</v>
      </c>
      <c r="AA789" s="25" t="str">
        <f>"－"</f>
        <v>－</v>
      </c>
      <c r="AB789" s="2" t="s">
        <v>156</v>
      </c>
      <c r="AC789" s="26" t="str">
        <f>"－"</f>
        <v>－</v>
      </c>
      <c r="AD789" s="3" t="s">
        <v>156</v>
      </c>
      <c r="AE789" s="27" t="str">
        <f>"－"</f>
        <v>－</v>
      </c>
    </row>
    <row r="790">
      <c r="A790" s="20" t="s">
        <v>1615</v>
      </c>
      <c r="B790" s="21" t="s">
        <v>1616</v>
      </c>
      <c r="C790" s="22"/>
      <c r="D790" s="23"/>
      <c r="E790" s="24" t="s">
        <v>148</v>
      </c>
      <c r="F790" s="28" t="n">
        <f>124</f>
        <v>124.0</v>
      </c>
      <c r="G790" s="25" t="str">
        <f>"－"</f>
        <v>－</v>
      </c>
      <c r="H790" s="25"/>
      <c r="I790" s="25" t="str">
        <f>"－"</f>
        <v>－</v>
      </c>
      <c r="J790" s="25" t="str">
        <f>"－"</f>
        <v>－</v>
      </c>
      <c r="K790" s="25" t="str">
        <f>"－"</f>
        <v>－</v>
      </c>
      <c r="L790" s="2" t="s">
        <v>68</v>
      </c>
      <c r="M790" s="26" t="str">
        <f>"－"</f>
        <v>－</v>
      </c>
      <c r="N790" s="3" t="s">
        <v>68</v>
      </c>
      <c r="O790" s="27" t="str">
        <f>"－"</f>
        <v>－</v>
      </c>
      <c r="P790" s="29" t="s">
        <v>262</v>
      </c>
      <c r="Q790" s="25"/>
      <c r="R790" s="29" t="s">
        <v>262</v>
      </c>
      <c r="S790" s="25" t="str">
        <f>"－"</f>
        <v>－</v>
      </c>
      <c r="T790" s="25" t="str">
        <f>"－"</f>
        <v>－</v>
      </c>
      <c r="U790" s="3" t="s">
        <v>68</v>
      </c>
      <c r="V790" s="27" t="str">
        <f>"－"</f>
        <v>－</v>
      </c>
      <c r="W790" s="3" t="s">
        <v>68</v>
      </c>
      <c r="X790" s="27" t="str">
        <f>"－"</f>
        <v>－</v>
      </c>
      <c r="Y790" s="27"/>
      <c r="Z790" s="25" t="str">
        <f>"－"</f>
        <v>－</v>
      </c>
      <c r="AA790" s="25" t="str">
        <f>"－"</f>
        <v>－</v>
      </c>
      <c r="AB790" s="2" t="s">
        <v>68</v>
      </c>
      <c r="AC790" s="26" t="str">
        <f>"－"</f>
        <v>－</v>
      </c>
      <c r="AD790" s="3" t="s">
        <v>68</v>
      </c>
      <c r="AE790" s="27" t="str">
        <f>"－"</f>
        <v>－</v>
      </c>
    </row>
    <row r="791">
      <c r="A791" s="20" t="s">
        <v>1615</v>
      </c>
      <c r="B791" s="21" t="s">
        <v>1616</v>
      </c>
      <c r="C791" s="22"/>
      <c r="D791" s="23"/>
      <c r="E791" s="24" t="s">
        <v>151</v>
      </c>
      <c r="F791" s="28" t="n">
        <f>122</f>
        <v>122.0</v>
      </c>
      <c r="G791" s="25" t="str">
        <f>"－"</f>
        <v>－</v>
      </c>
      <c r="H791" s="25"/>
      <c r="I791" s="25" t="str">
        <f>"－"</f>
        <v>－</v>
      </c>
      <c r="J791" s="25" t="str">
        <f>"－"</f>
        <v>－</v>
      </c>
      <c r="K791" s="25" t="str">
        <f>"－"</f>
        <v>－</v>
      </c>
      <c r="L791" s="2" t="s">
        <v>156</v>
      </c>
      <c r="M791" s="26" t="str">
        <f>"－"</f>
        <v>－</v>
      </c>
      <c r="N791" s="3" t="s">
        <v>156</v>
      </c>
      <c r="O791" s="27" t="str">
        <f>"－"</f>
        <v>－</v>
      </c>
      <c r="P791" s="29" t="s">
        <v>262</v>
      </c>
      <c r="Q791" s="25"/>
      <c r="R791" s="29" t="s">
        <v>262</v>
      </c>
      <c r="S791" s="25" t="str">
        <f>"－"</f>
        <v>－</v>
      </c>
      <c r="T791" s="25" t="str">
        <f>"－"</f>
        <v>－</v>
      </c>
      <c r="U791" s="3" t="s">
        <v>156</v>
      </c>
      <c r="V791" s="27" t="str">
        <f>"－"</f>
        <v>－</v>
      </c>
      <c r="W791" s="3" t="s">
        <v>156</v>
      </c>
      <c r="X791" s="27" t="str">
        <f>"－"</f>
        <v>－</v>
      </c>
      <c r="Y791" s="27"/>
      <c r="Z791" s="25" t="str">
        <f>"－"</f>
        <v>－</v>
      </c>
      <c r="AA791" s="25" t="str">
        <f>"－"</f>
        <v>－</v>
      </c>
      <c r="AB791" s="2" t="s">
        <v>156</v>
      </c>
      <c r="AC791" s="26" t="str">
        <f>"－"</f>
        <v>－</v>
      </c>
      <c r="AD791" s="3" t="s">
        <v>156</v>
      </c>
      <c r="AE791" s="27" t="str">
        <f>"－"</f>
        <v>－</v>
      </c>
    </row>
    <row r="792">
      <c r="A792" s="20" t="s">
        <v>1615</v>
      </c>
      <c r="B792" s="21" t="s">
        <v>1616</v>
      </c>
      <c r="C792" s="22"/>
      <c r="D792" s="23"/>
      <c r="E792" s="24" t="s">
        <v>157</v>
      </c>
      <c r="F792" s="28" t="n">
        <f>124</f>
        <v>124.0</v>
      </c>
      <c r="G792" s="25" t="str">
        <f>"－"</f>
        <v>－</v>
      </c>
      <c r="H792" s="25"/>
      <c r="I792" s="25" t="str">
        <f>"－"</f>
        <v>－</v>
      </c>
      <c r="J792" s="25" t="str">
        <f>"－"</f>
        <v>－</v>
      </c>
      <c r="K792" s="25" t="str">
        <f>"－"</f>
        <v>－</v>
      </c>
      <c r="L792" s="2" t="s">
        <v>633</v>
      </c>
      <c r="M792" s="26" t="str">
        <f>"－"</f>
        <v>－</v>
      </c>
      <c r="N792" s="3" t="s">
        <v>633</v>
      </c>
      <c r="O792" s="27" t="str">
        <f>"－"</f>
        <v>－</v>
      </c>
      <c r="P792" s="29" t="s">
        <v>262</v>
      </c>
      <c r="Q792" s="25"/>
      <c r="R792" s="29" t="s">
        <v>262</v>
      </c>
      <c r="S792" s="25" t="str">
        <f>"－"</f>
        <v>－</v>
      </c>
      <c r="T792" s="25" t="str">
        <f>"－"</f>
        <v>－</v>
      </c>
      <c r="U792" s="3" t="s">
        <v>633</v>
      </c>
      <c r="V792" s="27" t="str">
        <f>"－"</f>
        <v>－</v>
      </c>
      <c r="W792" s="3" t="s">
        <v>633</v>
      </c>
      <c r="X792" s="27" t="str">
        <f>"－"</f>
        <v>－</v>
      </c>
      <c r="Y792" s="27"/>
      <c r="Z792" s="25" t="str">
        <f>"－"</f>
        <v>－</v>
      </c>
      <c r="AA792" s="25" t="str">
        <f>"－"</f>
        <v>－</v>
      </c>
      <c r="AB792" s="2" t="s">
        <v>633</v>
      </c>
      <c r="AC792" s="26" t="str">
        <f>"－"</f>
        <v>－</v>
      </c>
      <c r="AD792" s="3" t="s">
        <v>633</v>
      </c>
      <c r="AE792" s="27" t="str">
        <f>"－"</f>
        <v>－</v>
      </c>
    </row>
    <row r="793">
      <c r="A793" s="20" t="s">
        <v>1615</v>
      </c>
      <c r="B793" s="21" t="s">
        <v>1616</v>
      </c>
      <c r="C793" s="22"/>
      <c r="D793" s="23"/>
      <c r="E793" s="24" t="s">
        <v>160</v>
      </c>
      <c r="F793" s="28" t="n">
        <f>58</f>
        <v>58.0</v>
      </c>
      <c r="G793" s="25" t="str">
        <f>"－"</f>
        <v>－</v>
      </c>
      <c r="H793" s="25"/>
      <c r="I793" s="25" t="str">
        <f>"－"</f>
        <v>－</v>
      </c>
      <c r="J793" s="25" t="str">
        <f>"－"</f>
        <v>－</v>
      </c>
      <c r="K793" s="25" t="str">
        <f>"－"</f>
        <v>－</v>
      </c>
      <c r="L793" s="2" t="s">
        <v>156</v>
      </c>
      <c r="M793" s="26" t="str">
        <f>"－"</f>
        <v>－</v>
      </c>
      <c r="N793" s="3" t="s">
        <v>156</v>
      </c>
      <c r="O793" s="27" t="str">
        <f>"－"</f>
        <v>－</v>
      </c>
      <c r="P793" s="29" t="s">
        <v>262</v>
      </c>
      <c r="Q793" s="25"/>
      <c r="R793" s="29" t="s">
        <v>262</v>
      </c>
      <c r="S793" s="25" t="str">
        <f>"－"</f>
        <v>－</v>
      </c>
      <c r="T793" s="25" t="str">
        <f>"－"</f>
        <v>－</v>
      </c>
      <c r="U793" s="3" t="s">
        <v>156</v>
      </c>
      <c r="V793" s="27" t="str">
        <f>"－"</f>
        <v>－</v>
      </c>
      <c r="W793" s="3" t="s">
        <v>156</v>
      </c>
      <c r="X793" s="27" t="str">
        <f>"－"</f>
        <v>－</v>
      </c>
      <c r="Y793" s="27"/>
      <c r="Z793" s="25" t="str">
        <f>"－"</f>
        <v>－</v>
      </c>
      <c r="AA793" s="25" t="str">
        <f>"－"</f>
        <v>－</v>
      </c>
      <c r="AB793" s="2" t="s">
        <v>156</v>
      </c>
      <c r="AC793" s="26" t="str">
        <f>"－"</f>
        <v>－</v>
      </c>
      <c r="AD793" s="3" t="s">
        <v>156</v>
      </c>
      <c r="AE793" s="27" t="str">
        <f>"－"</f>
        <v>－</v>
      </c>
    </row>
    <row r="794">
      <c r="A794" s="20" t="s">
        <v>1617</v>
      </c>
      <c r="B794" s="21" t="s">
        <v>1618</v>
      </c>
      <c r="C794" s="22"/>
      <c r="D794" s="23"/>
      <c r="E794" s="24" t="s">
        <v>124</v>
      </c>
      <c r="F794" s="28" t="n">
        <f>108</f>
        <v>108.0</v>
      </c>
      <c r="G794" s="25" t="n">
        <f>2256703</f>
        <v>2256703.0</v>
      </c>
      <c r="H794" s="25"/>
      <c r="I794" s="25" t="n">
        <f>28324</f>
        <v>28324.0</v>
      </c>
      <c r="J794" s="25" t="n">
        <f>20895</f>
        <v>20895.0</v>
      </c>
      <c r="K794" s="25" t="n">
        <f>262</f>
        <v>262.0</v>
      </c>
      <c r="L794" s="2" t="s">
        <v>761</v>
      </c>
      <c r="M794" s="26" t="n">
        <f>64757</f>
        <v>64757.0</v>
      </c>
      <c r="N794" s="3" t="s">
        <v>129</v>
      </c>
      <c r="O794" s="27" t="n">
        <f>3228</f>
        <v>3228.0</v>
      </c>
      <c r="P794" s="29" t="s">
        <v>1619</v>
      </c>
      <c r="Q794" s="25"/>
      <c r="R794" s="29" t="s">
        <v>1620</v>
      </c>
      <c r="S794" s="25" t="n">
        <f>30439126032</f>
        <v>3.0439126032E10</v>
      </c>
      <c r="T794" s="25" t="n">
        <f>375422398</f>
        <v>3.75422398E8</v>
      </c>
      <c r="U794" s="3" t="s">
        <v>761</v>
      </c>
      <c r="V794" s="27" t="n">
        <f>94169229500</f>
        <v>9.41692295E10</v>
      </c>
      <c r="W794" s="3" t="s">
        <v>129</v>
      </c>
      <c r="X794" s="27" t="n">
        <f>5280154500</f>
        <v>5.2801545E9</v>
      </c>
      <c r="Y794" s="27"/>
      <c r="Z794" s="25" t="n">
        <f>59394</f>
        <v>59394.0</v>
      </c>
      <c r="AA794" s="25" t="n">
        <f>131894</f>
        <v>131894.0</v>
      </c>
      <c r="AB794" s="2" t="s">
        <v>198</v>
      </c>
      <c r="AC794" s="26" t="n">
        <f>175294</f>
        <v>175294.0</v>
      </c>
      <c r="AD794" s="3" t="s">
        <v>562</v>
      </c>
      <c r="AE794" s="27" t="n">
        <f>130757</f>
        <v>130757.0</v>
      </c>
    </row>
    <row r="795">
      <c r="A795" s="20" t="s">
        <v>1617</v>
      </c>
      <c r="B795" s="21" t="s">
        <v>1618</v>
      </c>
      <c r="C795" s="22"/>
      <c r="D795" s="23"/>
      <c r="E795" s="24" t="s">
        <v>130</v>
      </c>
      <c r="F795" s="28" t="n">
        <f>121</f>
        <v>121.0</v>
      </c>
      <c r="G795" s="25" t="n">
        <f>2160209</f>
        <v>2160209.0</v>
      </c>
      <c r="H795" s="25"/>
      <c r="I795" s="25" t="n">
        <f>29840</f>
        <v>29840.0</v>
      </c>
      <c r="J795" s="25" t="n">
        <f>17853</f>
        <v>17853.0</v>
      </c>
      <c r="K795" s="25" t="n">
        <f>247</f>
        <v>247.0</v>
      </c>
      <c r="L795" s="2" t="s">
        <v>111</v>
      </c>
      <c r="M795" s="26" t="n">
        <f>55526</f>
        <v>55526.0</v>
      </c>
      <c r="N795" s="3" t="s">
        <v>754</v>
      </c>
      <c r="O795" s="27" t="n">
        <f>4035</f>
        <v>4035.0</v>
      </c>
      <c r="P795" s="29" t="s">
        <v>1621</v>
      </c>
      <c r="Q795" s="25"/>
      <c r="R795" s="29" t="s">
        <v>1622</v>
      </c>
      <c r="S795" s="25" t="n">
        <f>36717491814</f>
        <v>3.6717491814E10</v>
      </c>
      <c r="T795" s="25" t="n">
        <f>522824215</f>
        <v>5.22824215E8</v>
      </c>
      <c r="U795" s="3" t="s">
        <v>111</v>
      </c>
      <c r="V795" s="27" t="n">
        <f>118666304500</f>
        <v>1.186663045E11</v>
      </c>
      <c r="W795" s="3" t="s">
        <v>226</v>
      </c>
      <c r="X795" s="27" t="n">
        <f>7956865000</f>
        <v>7.956865E9</v>
      </c>
      <c r="Y795" s="27"/>
      <c r="Z795" s="25" t="n">
        <f>40248</f>
        <v>40248.0</v>
      </c>
      <c r="AA795" s="25" t="n">
        <f>101036</f>
        <v>101036.0</v>
      </c>
      <c r="AB795" s="2" t="s">
        <v>520</v>
      </c>
      <c r="AC795" s="26" t="n">
        <f>136139</f>
        <v>136139.0</v>
      </c>
      <c r="AD795" s="3" t="s">
        <v>312</v>
      </c>
      <c r="AE795" s="27" t="n">
        <f>97230</f>
        <v>97230.0</v>
      </c>
    </row>
    <row r="796">
      <c r="A796" s="20" t="s">
        <v>1617</v>
      </c>
      <c r="B796" s="21" t="s">
        <v>1618</v>
      </c>
      <c r="C796" s="22"/>
      <c r="D796" s="23"/>
      <c r="E796" s="24" t="s">
        <v>136</v>
      </c>
      <c r="F796" s="28" t="n">
        <f>124</f>
        <v>124.0</v>
      </c>
      <c r="G796" s="25" t="n">
        <f>1785293</f>
        <v>1785293.0</v>
      </c>
      <c r="H796" s="25"/>
      <c r="I796" s="25" t="n">
        <f>29079</f>
        <v>29079.0</v>
      </c>
      <c r="J796" s="25" t="n">
        <f>14398</f>
        <v>14398.0</v>
      </c>
      <c r="K796" s="25" t="n">
        <f>235</f>
        <v>235.0</v>
      </c>
      <c r="L796" s="2" t="s">
        <v>879</v>
      </c>
      <c r="M796" s="26" t="n">
        <f>40456</f>
        <v>40456.0</v>
      </c>
      <c r="N796" s="3" t="s">
        <v>240</v>
      </c>
      <c r="O796" s="27" t="n">
        <f>3078</f>
        <v>3078.0</v>
      </c>
      <c r="P796" s="29" t="s">
        <v>1623</v>
      </c>
      <c r="Q796" s="25"/>
      <c r="R796" s="29" t="s">
        <v>1624</v>
      </c>
      <c r="S796" s="25" t="n">
        <f>36048347891</f>
        <v>3.6048347891E10</v>
      </c>
      <c r="T796" s="25" t="n">
        <f>626415806</f>
        <v>6.26415806E8</v>
      </c>
      <c r="U796" s="3" t="s">
        <v>192</v>
      </c>
      <c r="V796" s="27" t="n">
        <f>105418108500</f>
        <v>1.054181085E11</v>
      </c>
      <c r="W796" s="3" t="s">
        <v>240</v>
      </c>
      <c r="X796" s="27" t="n">
        <f>7314294000</f>
        <v>7.314294E9</v>
      </c>
      <c r="Y796" s="27"/>
      <c r="Z796" s="25" t="n">
        <f>11687</f>
        <v>11687.0</v>
      </c>
      <c r="AA796" s="25" t="n">
        <f>90916</f>
        <v>90916.0</v>
      </c>
      <c r="AB796" s="2" t="s">
        <v>1185</v>
      </c>
      <c r="AC796" s="26" t="n">
        <f>108490</f>
        <v>108490.0</v>
      </c>
      <c r="AD796" s="3" t="s">
        <v>562</v>
      </c>
      <c r="AE796" s="27" t="n">
        <f>87397</f>
        <v>87397.0</v>
      </c>
    </row>
    <row r="797">
      <c r="A797" s="20" t="s">
        <v>1617</v>
      </c>
      <c r="B797" s="21" t="s">
        <v>1618</v>
      </c>
      <c r="C797" s="22"/>
      <c r="D797" s="23"/>
      <c r="E797" s="24" t="s">
        <v>142</v>
      </c>
      <c r="F797" s="28" t="n">
        <f>120</f>
        <v>120.0</v>
      </c>
      <c r="G797" s="25" t="n">
        <f>1454648</f>
        <v>1454648.0</v>
      </c>
      <c r="H797" s="25"/>
      <c r="I797" s="25" t="n">
        <f>32940</f>
        <v>32940.0</v>
      </c>
      <c r="J797" s="25" t="n">
        <f>12122</f>
        <v>12122.0</v>
      </c>
      <c r="K797" s="25" t="n">
        <f>275</f>
        <v>275.0</v>
      </c>
      <c r="L797" s="2" t="s">
        <v>74</v>
      </c>
      <c r="M797" s="26" t="n">
        <f>39863</f>
        <v>39863.0</v>
      </c>
      <c r="N797" s="3" t="s">
        <v>1130</v>
      </c>
      <c r="O797" s="27" t="n">
        <f>2817</f>
        <v>2817.0</v>
      </c>
      <c r="P797" s="29" t="s">
        <v>1625</v>
      </c>
      <c r="Q797" s="25"/>
      <c r="R797" s="29" t="s">
        <v>1626</v>
      </c>
      <c r="S797" s="25" t="n">
        <f>42876169896</f>
        <v>4.2876169896E10</v>
      </c>
      <c r="T797" s="25" t="n">
        <f>1013926625</f>
        <v>1.013926625E9</v>
      </c>
      <c r="U797" s="3" t="s">
        <v>74</v>
      </c>
      <c r="V797" s="27" t="n">
        <f>157789576000</f>
        <v>1.57789576E11</v>
      </c>
      <c r="W797" s="3" t="s">
        <v>1130</v>
      </c>
      <c r="X797" s="27" t="n">
        <f>8403972500</f>
        <v>8.4039725E9</v>
      </c>
      <c r="Y797" s="27"/>
      <c r="Z797" s="25" t="n">
        <f>4102</f>
        <v>4102.0</v>
      </c>
      <c r="AA797" s="25" t="n">
        <f>63775</f>
        <v>63775.0</v>
      </c>
      <c r="AB797" s="2" t="s">
        <v>123</v>
      </c>
      <c r="AC797" s="26" t="n">
        <f>92346</f>
        <v>92346.0</v>
      </c>
      <c r="AD797" s="3" t="s">
        <v>112</v>
      </c>
      <c r="AE797" s="27" t="n">
        <f>63027</f>
        <v>63027.0</v>
      </c>
    </row>
    <row r="798">
      <c r="A798" s="20" t="s">
        <v>1617</v>
      </c>
      <c r="B798" s="21" t="s">
        <v>1618</v>
      </c>
      <c r="C798" s="22"/>
      <c r="D798" s="23"/>
      <c r="E798" s="24" t="s">
        <v>148</v>
      </c>
      <c r="F798" s="28" t="n">
        <f>124</f>
        <v>124.0</v>
      </c>
      <c r="G798" s="25" t="n">
        <f>1005924</f>
        <v>1005924.0</v>
      </c>
      <c r="H798" s="25"/>
      <c r="I798" s="25" t="n">
        <f>23079</f>
        <v>23079.0</v>
      </c>
      <c r="J798" s="25" t="n">
        <f>8112</f>
        <v>8112.0</v>
      </c>
      <c r="K798" s="25" t="n">
        <f>186</f>
        <v>186.0</v>
      </c>
      <c r="L798" s="2" t="s">
        <v>128</v>
      </c>
      <c r="M798" s="26" t="n">
        <f>21382</f>
        <v>21382.0</v>
      </c>
      <c r="N798" s="3" t="s">
        <v>64</v>
      </c>
      <c r="O798" s="27" t="n">
        <f>2091</f>
        <v>2091.0</v>
      </c>
      <c r="P798" s="29" t="s">
        <v>1627</v>
      </c>
      <c r="Q798" s="25"/>
      <c r="R798" s="29" t="s">
        <v>1628</v>
      </c>
      <c r="S798" s="25" t="n">
        <f>29178113892</f>
        <v>2.9178113892E10</v>
      </c>
      <c r="T798" s="25" t="n">
        <f>713994267</f>
        <v>7.13994267E8</v>
      </c>
      <c r="U798" s="3" t="s">
        <v>197</v>
      </c>
      <c r="V798" s="27" t="n">
        <f>76616858500</f>
        <v>7.66168585E10</v>
      </c>
      <c r="W798" s="3" t="s">
        <v>64</v>
      </c>
      <c r="X798" s="27" t="n">
        <f>6791198500</f>
        <v>6.7911985E9</v>
      </c>
      <c r="Y798" s="27"/>
      <c r="Z798" s="25" t="str">
        <f>"－"</f>
        <v>－</v>
      </c>
      <c r="AA798" s="25" t="n">
        <f>44950</f>
        <v>44950.0</v>
      </c>
      <c r="AB798" s="2" t="s">
        <v>68</v>
      </c>
      <c r="AC798" s="26" t="n">
        <f>62170</f>
        <v>62170.0</v>
      </c>
      <c r="AD798" s="3" t="s">
        <v>128</v>
      </c>
      <c r="AE798" s="27" t="n">
        <f>43529</f>
        <v>43529.0</v>
      </c>
    </row>
    <row r="799">
      <c r="A799" s="20" t="s">
        <v>1617</v>
      </c>
      <c r="B799" s="21" t="s">
        <v>1618</v>
      </c>
      <c r="C799" s="22"/>
      <c r="D799" s="23"/>
      <c r="E799" s="24" t="s">
        <v>151</v>
      </c>
      <c r="F799" s="28" t="n">
        <f>122</f>
        <v>122.0</v>
      </c>
      <c r="G799" s="25" t="n">
        <f>975814</f>
        <v>975814.0</v>
      </c>
      <c r="H799" s="25"/>
      <c r="I799" s="25" t="n">
        <f>16960</f>
        <v>16960.0</v>
      </c>
      <c r="J799" s="25" t="n">
        <f>7998</f>
        <v>7998.0</v>
      </c>
      <c r="K799" s="25" t="n">
        <f>139</f>
        <v>139.0</v>
      </c>
      <c r="L799" s="2" t="s">
        <v>863</v>
      </c>
      <c r="M799" s="26" t="n">
        <f>21524</f>
        <v>21524.0</v>
      </c>
      <c r="N799" s="3" t="s">
        <v>1283</v>
      </c>
      <c r="O799" s="27" t="n">
        <f>1995</f>
        <v>1995.0</v>
      </c>
      <c r="P799" s="29" t="s">
        <v>1629</v>
      </c>
      <c r="Q799" s="25"/>
      <c r="R799" s="29" t="s">
        <v>1630</v>
      </c>
      <c r="S799" s="25" t="n">
        <f>25363404173</f>
        <v>2.5363404173E10</v>
      </c>
      <c r="T799" s="25" t="n">
        <f>449756173</f>
        <v>4.49756173E8</v>
      </c>
      <c r="U799" s="3" t="s">
        <v>1631</v>
      </c>
      <c r="V799" s="27" t="n">
        <f>69177183500</f>
        <v>6.91771835E10</v>
      </c>
      <c r="W799" s="3" t="s">
        <v>1283</v>
      </c>
      <c r="X799" s="27" t="n">
        <f>6402658500</f>
        <v>6.4026585E9</v>
      </c>
      <c r="Y799" s="27"/>
      <c r="Z799" s="25" t="str">
        <f>"－"</f>
        <v>－</v>
      </c>
      <c r="AA799" s="25" t="n">
        <f>42395</f>
        <v>42395.0</v>
      </c>
      <c r="AB799" s="2" t="s">
        <v>212</v>
      </c>
      <c r="AC799" s="26" t="n">
        <f>48061</f>
        <v>48061.0</v>
      </c>
      <c r="AD799" s="3" t="s">
        <v>146</v>
      </c>
      <c r="AE799" s="27" t="n">
        <f>40835</f>
        <v>40835.0</v>
      </c>
    </row>
    <row r="800">
      <c r="A800" s="20" t="s">
        <v>1617</v>
      </c>
      <c r="B800" s="21" t="s">
        <v>1618</v>
      </c>
      <c r="C800" s="22"/>
      <c r="D800" s="23"/>
      <c r="E800" s="24" t="s">
        <v>157</v>
      </c>
      <c r="F800" s="28" t="n">
        <f>124</f>
        <v>124.0</v>
      </c>
      <c r="G800" s="25" t="n">
        <f>871813</f>
        <v>871813.0</v>
      </c>
      <c r="H800" s="25"/>
      <c r="I800" s="25" t="n">
        <f>18663</f>
        <v>18663.0</v>
      </c>
      <c r="J800" s="25" t="n">
        <f>7031</f>
        <v>7031.0</v>
      </c>
      <c r="K800" s="25" t="n">
        <f>151</f>
        <v>151.0</v>
      </c>
      <c r="L800" s="2" t="s">
        <v>947</v>
      </c>
      <c r="M800" s="26" t="n">
        <f>19938</f>
        <v>19938.0</v>
      </c>
      <c r="N800" s="3" t="s">
        <v>1084</v>
      </c>
      <c r="O800" s="27" t="n">
        <f>1510</f>
        <v>1510.0</v>
      </c>
      <c r="P800" s="29" t="s">
        <v>1632</v>
      </c>
      <c r="Q800" s="25"/>
      <c r="R800" s="29" t="s">
        <v>1633</v>
      </c>
      <c r="S800" s="25" t="n">
        <f>25747235498</f>
        <v>2.5747235498E10</v>
      </c>
      <c r="T800" s="25" t="n">
        <f>556596510</f>
        <v>5.5659651E8</v>
      </c>
      <c r="U800" s="3" t="s">
        <v>947</v>
      </c>
      <c r="V800" s="27" t="n">
        <f>74851341000</f>
        <v>7.4851341E10</v>
      </c>
      <c r="W800" s="3" t="s">
        <v>1084</v>
      </c>
      <c r="X800" s="27" t="n">
        <f>5622689000</f>
        <v>5.622689E9</v>
      </c>
      <c r="Y800" s="27"/>
      <c r="Z800" s="25" t="str">
        <f>"－"</f>
        <v>－</v>
      </c>
      <c r="AA800" s="25" t="n">
        <f>45518</f>
        <v>45518.0</v>
      </c>
      <c r="AB800" s="2" t="s">
        <v>82</v>
      </c>
      <c r="AC800" s="26" t="n">
        <f>55887</f>
        <v>55887.0</v>
      </c>
      <c r="AD800" s="3" t="s">
        <v>254</v>
      </c>
      <c r="AE800" s="27" t="n">
        <f>40256</f>
        <v>40256.0</v>
      </c>
    </row>
    <row r="801">
      <c r="A801" s="20" t="s">
        <v>1617</v>
      </c>
      <c r="B801" s="21" t="s">
        <v>1618</v>
      </c>
      <c r="C801" s="22"/>
      <c r="D801" s="23"/>
      <c r="E801" s="24" t="s">
        <v>160</v>
      </c>
      <c r="F801" s="28" t="n">
        <f>58</f>
        <v>58.0</v>
      </c>
      <c r="G801" s="25" t="n">
        <f>377936</f>
        <v>377936.0</v>
      </c>
      <c r="H801" s="25"/>
      <c r="I801" s="25" t="n">
        <f>1728</f>
        <v>1728.0</v>
      </c>
      <c r="J801" s="25" t="n">
        <f>6516</f>
        <v>6516.0</v>
      </c>
      <c r="K801" s="25" t="n">
        <f>30</f>
        <v>30.0</v>
      </c>
      <c r="L801" s="2" t="s">
        <v>290</v>
      </c>
      <c r="M801" s="26" t="n">
        <f>18836</f>
        <v>18836.0</v>
      </c>
      <c r="N801" s="3" t="s">
        <v>314</v>
      </c>
      <c r="O801" s="27" t="n">
        <f>1957</f>
        <v>1957.0</v>
      </c>
      <c r="P801" s="29" t="s">
        <v>1634</v>
      </c>
      <c r="Q801" s="25"/>
      <c r="R801" s="29" t="s">
        <v>1635</v>
      </c>
      <c r="S801" s="25" t="n">
        <f>23338117940</f>
        <v>2.333811794E10</v>
      </c>
      <c r="T801" s="25" t="n">
        <f>112897155</f>
        <v>1.12897155E8</v>
      </c>
      <c r="U801" s="3" t="s">
        <v>290</v>
      </c>
      <c r="V801" s="27" t="n">
        <f>67903938500</f>
        <v>6.79039385E10</v>
      </c>
      <c r="W801" s="3" t="s">
        <v>314</v>
      </c>
      <c r="X801" s="27" t="n">
        <f>7196777500</f>
        <v>7.1967775E9</v>
      </c>
      <c r="Y801" s="27"/>
      <c r="Z801" s="25" t="str">
        <f>"－"</f>
        <v>－</v>
      </c>
      <c r="AA801" s="25" t="n">
        <f>46636</f>
        <v>46636.0</v>
      </c>
      <c r="AB801" s="2" t="s">
        <v>60</v>
      </c>
      <c r="AC801" s="26" t="n">
        <f>49710</f>
        <v>49710.0</v>
      </c>
      <c r="AD801" s="3" t="s">
        <v>171</v>
      </c>
      <c r="AE801" s="27" t="n">
        <f>41435</f>
        <v>41435.0</v>
      </c>
    </row>
    <row r="802">
      <c r="A802" s="20" t="s">
        <v>1636</v>
      </c>
      <c r="B802" s="21" t="s">
        <v>1637</v>
      </c>
      <c r="C802" s="22"/>
      <c r="D802" s="23"/>
      <c r="E802" s="24" t="s">
        <v>124</v>
      </c>
      <c r="F802" s="28" t="n">
        <f>108</f>
        <v>108.0</v>
      </c>
      <c r="G802" s="25" t="n">
        <f>3016</f>
        <v>3016.0</v>
      </c>
      <c r="H802" s="25"/>
      <c r="I802" s="25" t="n">
        <f>2430</f>
        <v>2430.0</v>
      </c>
      <c r="J802" s="25" t="n">
        <f>28</f>
        <v>28.0</v>
      </c>
      <c r="K802" s="25" t="n">
        <f>23</f>
        <v>23.0</v>
      </c>
      <c r="L802" s="2" t="s">
        <v>269</v>
      </c>
      <c r="M802" s="26" t="n">
        <f>409</f>
        <v>409.0</v>
      </c>
      <c r="N802" s="3" t="s">
        <v>198</v>
      </c>
      <c r="O802" s="27" t="str">
        <f>"－"</f>
        <v>－</v>
      </c>
      <c r="P802" s="29" t="s">
        <v>1638</v>
      </c>
      <c r="Q802" s="25"/>
      <c r="R802" s="29" t="s">
        <v>1639</v>
      </c>
      <c r="S802" s="25" t="n">
        <f>15012838</f>
        <v>1.5012838E7</v>
      </c>
      <c r="T802" s="25" t="n">
        <f>12227262</f>
        <v>1.2227262E7</v>
      </c>
      <c r="U802" s="3" t="s">
        <v>269</v>
      </c>
      <c r="V802" s="27" t="n">
        <f>320156040</f>
        <v>3.2015604E8</v>
      </c>
      <c r="W802" s="3" t="s">
        <v>198</v>
      </c>
      <c r="X802" s="27" t="str">
        <f>"－"</f>
        <v>－</v>
      </c>
      <c r="Y802" s="27"/>
      <c r="Z802" s="25" t="str">
        <f>"－"</f>
        <v>－</v>
      </c>
      <c r="AA802" s="25" t="n">
        <f>2677</f>
        <v>2677.0</v>
      </c>
      <c r="AB802" s="2" t="s">
        <v>1388</v>
      </c>
      <c r="AC802" s="26" t="n">
        <f>2730</f>
        <v>2730.0</v>
      </c>
      <c r="AD802" s="3" t="s">
        <v>562</v>
      </c>
      <c r="AE802" s="27" t="n">
        <f>1971</f>
        <v>1971.0</v>
      </c>
    </row>
    <row r="803">
      <c r="A803" s="20" t="s">
        <v>1636</v>
      </c>
      <c r="B803" s="21" t="s">
        <v>1637</v>
      </c>
      <c r="C803" s="22"/>
      <c r="D803" s="23"/>
      <c r="E803" s="24" t="s">
        <v>130</v>
      </c>
      <c r="F803" s="28" t="n">
        <f>121</f>
        <v>121.0</v>
      </c>
      <c r="G803" s="25" t="n">
        <f>3407</f>
        <v>3407.0</v>
      </c>
      <c r="H803" s="25"/>
      <c r="I803" s="25" t="n">
        <f>3007</f>
        <v>3007.0</v>
      </c>
      <c r="J803" s="25" t="n">
        <f>28</f>
        <v>28.0</v>
      </c>
      <c r="K803" s="25" t="n">
        <f>25</f>
        <v>25.0</v>
      </c>
      <c r="L803" s="2" t="s">
        <v>220</v>
      </c>
      <c r="M803" s="26" t="n">
        <f>750</f>
        <v>750.0</v>
      </c>
      <c r="N803" s="3" t="s">
        <v>369</v>
      </c>
      <c r="O803" s="27" t="str">
        <f>"－"</f>
        <v>－</v>
      </c>
      <c r="P803" s="29" t="s">
        <v>1640</v>
      </c>
      <c r="Q803" s="25"/>
      <c r="R803" s="29" t="s">
        <v>1641</v>
      </c>
      <c r="S803" s="25" t="n">
        <f>28969987</f>
        <v>2.8969987E7</v>
      </c>
      <c r="T803" s="25" t="n">
        <f>26341012</f>
        <v>2.6341012E7</v>
      </c>
      <c r="U803" s="3" t="s">
        <v>176</v>
      </c>
      <c r="V803" s="27" t="n">
        <f>689714784</f>
        <v>6.89714784E8</v>
      </c>
      <c r="W803" s="3" t="s">
        <v>369</v>
      </c>
      <c r="X803" s="27" t="str">
        <f>"－"</f>
        <v>－</v>
      </c>
      <c r="Y803" s="27"/>
      <c r="Z803" s="25" t="str">
        <f>"－"</f>
        <v>－</v>
      </c>
      <c r="AA803" s="25" t="n">
        <f>2713</f>
        <v>2713.0</v>
      </c>
      <c r="AB803" s="2" t="s">
        <v>131</v>
      </c>
      <c r="AC803" s="26" t="n">
        <f>2719</f>
        <v>2719.0</v>
      </c>
      <c r="AD803" s="3" t="s">
        <v>209</v>
      </c>
      <c r="AE803" s="27" t="n">
        <f>933</f>
        <v>933.0</v>
      </c>
    </row>
    <row r="804">
      <c r="A804" s="20" t="s">
        <v>1636</v>
      </c>
      <c r="B804" s="21" t="s">
        <v>1637</v>
      </c>
      <c r="C804" s="22"/>
      <c r="D804" s="23"/>
      <c r="E804" s="24" t="s">
        <v>136</v>
      </c>
      <c r="F804" s="28" t="n">
        <f>124</f>
        <v>124.0</v>
      </c>
      <c r="G804" s="25" t="n">
        <f>5589</f>
        <v>5589.0</v>
      </c>
      <c r="H804" s="25"/>
      <c r="I804" s="25" t="n">
        <f>5082</f>
        <v>5082.0</v>
      </c>
      <c r="J804" s="25" t="n">
        <f>45</f>
        <v>45.0</v>
      </c>
      <c r="K804" s="25" t="n">
        <f>41</f>
        <v>41.0</v>
      </c>
      <c r="L804" s="2" t="s">
        <v>972</v>
      </c>
      <c r="M804" s="26" t="n">
        <f>601</f>
        <v>601.0</v>
      </c>
      <c r="N804" s="3" t="s">
        <v>225</v>
      </c>
      <c r="O804" s="27" t="str">
        <f>"－"</f>
        <v>－</v>
      </c>
      <c r="P804" s="29" t="s">
        <v>1642</v>
      </c>
      <c r="Q804" s="25"/>
      <c r="R804" s="29" t="s">
        <v>1643</v>
      </c>
      <c r="S804" s="25" t="n">
        <f>52620123</f>
        <v>5.2620123E7</v>
      </c>
      <c r="T804" s="25" t="n">
        <f>47691617</f>
        <v>4.7691617E7</v>
      </c>
      <c r="U804" s="3" t="s">
        <v>1185</v>
      </c>
      <c r="V804" s="27" t="n">
        <f>644520960</f>
        <v>6.4452096E8</v>
      </c>
      <c r="W804" s="3" t="s">
        <v>225</v>
      </c>
      <c r="X804" s="27" t="str">
        <f>"－"</f>
        <v>－</v>
      </c>
      <c r="Y804" s="27"/>
      <c r="Z804" s="25" t="str">
        <f>"－"</f>
        <v>－</v>
      </c>
      <c r="AA804" s="25" t="n">
        <f>3392</f>
        <v>3392.0</v>
      </c>
      <c r="AB804" s="2" t="s">
        <v>562</v>
      </c>
      <c r="AC804" s="26" t="n">
        <f>3396</f>
        <v>3396.0</v>
      </c>
      <c r="AD804" s="3" t="s">
        <v>1102</v>
      </c>
      <c r="AE804" s="27" t="n">
        <f>2134</f>
        <v>2134.0</v>
      </c>
    </row>
    <row r="805">
      <c r="A805" s="20" t="s">
        <v>1636</v>
      </c>
      <c r="B805" s="21" t="s">
        <v>1637</v>
      </c>
      <c r="C805" s="22"/>
      <c r="D805" s="23"/>
      <c r="E805" s="24" t="s">
        <v>142</v>
      </c>
      <c r="F805" s="28" t="n">
        <f>120</f>
        <v>120.0</v>
      </c>
      <c r="G805" s="25" t="n">
        <f>5273</f>
        <v>5273.0</v>
      </c>
      <c r="H805" s="25"/>
      <c r="I805" s="25" t="n">
        <f>4731</f>
        <v>4731.0</v>
      </c>
      <c r="J805" s="25" t="n">
        <f>44</f>
        <v>44.0</v>
      </c>
      <c r="K805" s="25" t="n">
        <f>39</f>
        <v>39.0</v>
      </c>
      <c r="L805" s="2" t="s">
        <v>1064</v>
      </c>
      <c r="M805" s="26" t="n">
        <f>1572</f>
        <v>1572.0</v>
      </c>
      <c r="N805" s="3" t="s">
        <v>156</v>
      </c>
      <c r="O805" s="27" t="str">
        <f>"－"</f>
        <v>－</v>
      </c>
      <c r="P805" s="29" t="s">
        <v>1644</v>
      </c>
      <c r="Q805" s="25"/>
      <c r="R805" s="29" t="s">
        <v>1645</v>
      </c>
      <c r="S805" s="25" t="n">
        <f>94935388</f>
        <v>9.4935388E7</v>
      </c>
      <c r="T805" s="25" t="n">
        <f>86458818</f>
        <v>8.6458818E7</v>
      </c>
      <c r="U805" s="3" t="s">
        <v>1064</v>
      </c>
      <c r="V805" s="27" t="n">
        <f>3665904960</f>
        <v>3.66590496E9</v>
      </c>
      <c r="W805" s="3" t="s">
        <v>156</v>
      </c>
      <c r="X805" s="27" t="str">
        <f>"－"</f>
        <v>－</v>
      </c>
      <c r="Y805" s="27"/>
      <c r="Z805" s="25" t="n">
        <f>10</f>
        <v>10.0</v>
      </c>
      <c r="AA805" s="25" t="n">
        <f>3235</f>
        <v>3235.0</v>
      </c>
      <c r="AB805" s="2" t="s">
        <v>156</v>
      </c>
      <c r="AC805" s="26" t="n">
        <f>3392</f>
        <v>3392.0</v>
      </c>
      <c r="AD805" s="3" t="s">
        <v>533</v>
      </c>
      <c r="AE805" s="27" t="n">
        <f>1293</f>
        <v>1293.0</v>
      </c>
    </row>
    <row r="806">
      <c r="A806" s="20" t="s">
        <v>1636</v>
      </c>
      <c r="B806" s="21" t="s">
        <v>1637</v>
      </c>
      <c r="C806" s="22"/>
      <c r="D806" s="23"/>
      <c r="E806" s="24" t="s">
        <v>148</v>
      </c>
      <c r="F806" s="28" t="n">
        <f>124</f>
        <v>124.0</v>
      </c>
      <c r="G806" s="25" t="n">
        <f>6068</f>
        <v>6068.0</v>
      </c>
      <c r="H806" s="25"/>
      <c r="I806" s="25" t="n">
        <f>5382</f>
        <v>5382.0</v>
      </c>
      <c r="J806" s="25" t="n">
        <f>49</f>
        <v>49.0</v>
      </c>
      <c r="K806" s="25" t="n">
        <f>43</f>
        <v>43.0</v>
      </c>
      <c r="L806" s="2" t="s">
        <v>532</v>
      </c>
      <c r="M806" s="26" t="n">
        <f>905</f>
        <v>905.0</v>
      </c>
      <c r="N806" s="3" t="s">
        <v>321</v>
      </c>
      <c r="O806" s="27" t="str">
        <f>"－"</f>
        <v>－</v>
      </c>
      <c r="P806" s="29" t="s">
        <v>1646</v>
      </c>
      <c r="Q806" s="25"/>
      <c r="R806" s="29" t="s">
        <v>1647</v>
      </c>
      <c r="S806" s="25" t="n">
        <f>122872538</f>
        <v>1.22872538E8</v>
      </c>
      <c r="T806" s="25" t="n">
        <f>108580546</f>
        <v>1.08580546E8</v>
      </c>
      <c r="U806" s="3" t="s">
        <v>532</v>
      </c>
      <c r="V806" s="27" t="n">
        <f>1978406400</f>
        <v>1.9784064E9</v>
      </c>
      <c r="W806" s="3" t="s">
        <v>321</v>
      </c>
      <c r="X806" s="27" t="str">
        <f>"－"</f>
        <v>－</v>
      </c>
      <c r="Y806" s="27"/>
      <c r="Z806" s="25" t="str">
        <f>"－"</f>
        <v>－</v>
      </c>
      <c r="AA806" s="25" t="n">
        <f>3098</f>
        <v>3098.0</v>
      </c>
      <c r="AB806" s="2" t="s">
        <v>1259</v>
      </c>
      <c r="AC806" s="26" t="n">
        <f>3239</f>
        <v>3239.0</v>
      </c>
      <c r="AD806" s="3" t="s">
        <v>864</v>
      </c>
      <c r="AE806" s="27" t="n">
        <f>2518</f>
        <v>2518.0</v>
      </c>
    </row>
    <row r="807">
      <c r="A807" s="20" t="s">
        <v>1636</v>
      </c>
      <c r="B807" s="21" t="s">
        <v>1637</v>
      </c>
      <c r="C807" s="22"/>
      <c r="D807" s="23"/>
      <c r="E807" s="24" t="s">
        <v>151</v>
      </c>
      <c r="F807" s="28" t="n">
        <f>122</f>
        <v>122.0</v>
      </c>
      <c r="G807" s="25" t="n">
        <f>7687</f>
        <v>7687.0</v>
      </c>
      <c r="H807" s="25"/>
      <c r="I807" s="25" t="n">
        <f>6560</f>
        <v>6560.0</v>
      </c>
      <c r="J807" s="25" t="n">
        <f>63</f>
        <v>63.0</v>
      </c>
      <c r="K807" s="25" t="n">
        <f>54</f>
        <v>54.0</v>
      </c>
      <c r="L807" s="2" t="s">
        <v>559</v>
      </c>
      <c r="M807" s="26" t="n">
        <f>820</f>
        <v>820.0</v>
      </c>
      <c r="N807" s="3" t="s">
        <v>328</v>
      </c>
      <c r="O807" s="27" t="str">
        <f>"－"</f>
        <v>－</v>
      </c>
      <c r="P807" s="29" t="s">
        <v>1648</v>
      </c>
      <c r="Q807" s="25"/>
      <c r="R807" s="29" t="s">
        <v>1649</v>
      </c>
      <c r="S807" s="25" t="n">
        <f>88033580</f>
        <v>8.803358E7</v>
      </c>
      <c r="T807" s="25" t="n">
        <f>78261446</f>
        <v>7.8261446E7</v>
      </c>
      <c r="U807" s="3" t="s">
        <v>265</v>
      </c>
      <c r="V807" s="27" t="n">
        <f>1317361200</f>
        <v>1.3173612E9</v>
      </c>
      <c r="W807" s="3" t="s">
        <v>328</v>
      </c>
      <c r="X807" s="27" t="str">
        <f>"－"</f>
        <v>－</v>
      </c>
      <c r="Y807" s="27"/>
      <c r="Z807" s="25" t="str">
        <f>"－"</f>
        <v>－</v>
      </c>
      <c r="AA807" s="25" t="n">
        <f>3920</f>
        <v>3920.0</v>
      </c>
      <c r="AB807" s="2" t="s">
        <v>305</v>
      </c>
      <c r="AC807" s="26" t="n">
        <f>4228</f>
        <v>4228.0</v>
      </c>
      <c r="AD807" s="3" t="s">
        <v>366</v>
      </c>
      <c r="AE807" s="27" t="n">
        <f>2380</f>
        <v>2380.0</v>
      </c>
    </row>
    <row r="808">
      <c r="A808" s="20" t="s">
        <v>1636</v>
      </c>
      <c r="B808" s="21" t="s">
        <v>1637</v>
      </c>
      <c r="C808" s="22"/>
      <c r="D808" s="23"/>
      <c r="E808" s="24" t="s">
        <v>157</v>
      </c>
      <c r="F808" s="28" t="n">
        <f>124</f>
        <v>124.0</v>
      </c>
      <c r="G808" s="25" t="n">
        <f>2281</f>
        <v>2281.0</v>
      </c>
      <c r="H808" s="25"/>
      <c r="I808" s="25" t="n">
        <f>883</f>
        <v>883.0</v>
      </c>
      <c r="J808" s="25" t="n">
        <f>18</f>
        <v>18.0</v>
      </c>
      <c r="K808" s="25" t="n">
        <f>7</f>
        <v>7.0</v>
      </c>
      <c r="L808" s="2" t="s">
        <v>263</v>
      </c>
      <c r="M808" s="26" t="n">
        <f>280</f>
        <v>280.0</v>
      </c>
      <c r="N808" s="3" t="s">
        <v>891</v>
      </c>
      <c r="O808" s="27" t="str">
        <f>"－"</f>
        <v>－</v>
      </c>
      <c r="P808" s="29" t="s">
        <v>1650</v>
      </c>
      <c r="Q808" s="25"/>
      <c r="R808" s="29" t="s">
        <v>1651</v>
      </c>
      <c r="S808" s="25" t="n">
        <f>20750814</f>
        <v>2.0750814E7</v>
      </c>
      <c r="T808" s="25" t="n">
        <f>8357551</f>
        <v>8357551.0</v>
      </c>
      <c r="U808" s="3" t="s">
        <v>263</v>
      </c>
      <c r="V808" s="27" t="n">
        <f>342720000</f>
        <v>3.4272E8</v>
      </c>
      <c r="W808" s="3" t="s">
        <v>891</v>
      </c>
      <c r="X808" s="27" t="str">
        <f>"－"</f>
        <v>－</v>
      </c>
      <c r="Y808" s="27"/>
      <c r="Z808" s="25" t="str">
        <f>"－"</f>
        <v>－</v>
      </c>
      <c r="AA808" s="25" t="n">
        <f>2581</f>
        <v>2581.0</v>
      </c>
      <c r="AB808" s="2" t="s">
        <v>633</v>
      </c>
      <c r="AC808" s="26" t="n">
        <f>3945</f>
        <v>3945.0</v>
      </c>
      <c r="AD808" s="3" t="s">
        <v>67</v>
      </c>
      <c r="AE808" s="27" t="n">
        <f>2455</f>
        <v>2455.0</v>
      </c>
    </row>
    <row r="809">
      <c r="A809" s="20" t="s">
        <v>1636</v>
      </c>
      <c r="B809" s="21" t="s">
        <v>1637</v>
      </c>
      <c r="C809" s="22"/>
      <c r="D809" s="23"/>
      <c r="E809" s="24" t="s">
        <v>160</v>
      </c>
      <c r="F809" s="28" t="n">
        <f>58</f>
        <v>58.0</v>
      </c>
      <c r="G809" s="25" t="n">
        <f>327</f>
        <v>327.0</v>
      </c>
      <c r="H809" s="25"/>
      <c r="I809" s="25" t="n">
        <f>40</f>
        <v>40.0</v>
      </c>
      <c r="J809" s="25" t="n">
        <f>6</f>
        <v>6.0</v>
      </c>
      <c r="K809" s="25" t="n">
        <f>1</f>
        <v>1.0</v>
      </c>
      <c r="L809" s="2" t="s">
        <v>1027</v>
      </c>
      <c r="M809" s="26" t="n">
        <f>50</f>
        <v>50.0</v>
      </c>
      <c r="N809" s="3" t="s">
        <v>706</v>
      </c>
      <c r="O809" s="27" t="str">
        <f>"－"</f>
        <v>－</v>
      </c>
      <c r="P809" s="29" t="s">
        <v>1652</v>
      </c>
      <c r="Q809" s="25"/>
      <c r="R809" s="29" t="s">
        <v>1653</v>
      </c>
      <c r="S809" s="25" t="n">
        <f>4844191</f>
        <v>4844191.0</v>
      </c>
      <c r="T809" s="25" t="n">
        <f>682217</f>
        <v>682217.0</v>
      </c>
      <c r="U809" s="3" t="s">
        <v>1027</v>
      </c>
      <c r="V809" s="27" t="n">
        <f>49476000</f>
        <v>4.9476E7</v>
      </c>
      <c r="W809" s="3" t="s">
        <v>706</v>
      </c>
      <c r="X809" s="27" t="str">
        <f>"－"</f>
        <v>－</v>
      </c>
      <c r="Y809" s="27"/>
      <c r="Z809" s="25" t="str">
        <f>"－"</f>
        <v>－</v>
      </c>
      <c r="AA809" s="25" t="n">
        <f>936</f>
        <v>936.0</v>
      </c>
      <c r="AB809" s="2" t="s">
        <v>156</v>
      </c>
      <c r="AC809" s="26" t="n">
        <f>2581</f>
        <v>2581.0</v>
      </c>
      <c r="AD809" s="3" t="s">
        <v>751</v>
      </c>
      <c r="AE809" s="27" t="n">
        <f>866</f>
        <v>866.0</v>
      </c>
    </row>
    <row r="810">
      <c r="A810" s="20" t="s">
        <v>1654</v>
      </c>
      <c r="B810" s="21" t="s">
        <v>1655</v>
      </c>
      <c r="C810" s="22"/>
      <c r="D810" s="23"/>
      <c r="E810" s="24" t="s">
        <v>124</v>
      </c>
      <c r="F810" s="28" t="n">
        <f>108</f>
        <v>108.0</v>
      </c>
      <c r="G810" s="25" t="n">
        <f>456</f>
        <v>456.0</v>
      </c>
      <c r="H810" s="25"/>
      <c r="I810" s="25" t="n">
        <f>390</f>
        <v>390.0</v>
      </c>
      <c r="J810" s="25" t="n">
        <f>4</f>
        <v>4.0</v>
      </c>
      <c r="K810" s="25" t="n">
        <f>4</f>
        <v>4.0</v>
      </c>
      <c r="L810" s="2" t="s">
        <v>761</v>
      </c>
      <c r="M810" s="26" t="n">
        <f>150</f>
        <v>150.0</v>
      </c>
      <c r="N810" s="3" t="s">
        <v>198</v>
      </c>
      <c r="O810" s="27" t="str">
        <f>"－"</f>
        <v>－</v>
      </c>
      <c r="P810" s="29" t="s">
        <v>1656</v>
      </c>
      <c r="Q810" s="25"/>
      <c r="R810" s="29" t="s">
        <v>1657</v>
      </c>
      <c r="S810" s="25" t="n">
        <f>2154697</f>
        <v>2154697.0</v>
      </c>
      <c r="T810" s="25" t="n">
        <f>1738833</f>
        <v>1738833.0</v>
      </c>
      <c r="U810" s="3" t="s">
        <v>761</v>
      </c>
      <c r="V810" s="27" t="n">
        <f>73440000</f>
        <v>7.344E7</v>
      </c>
      <c r="W810" s="3" t="s">
        <v>198</v>
      </c>
      <c r="X810" s="27" t="str">
        <f>"－"</f>
        <v>－</v>
      </c>
      <c r="Y810" s="27"/>
      <c r="Z810" s="25" t="str">
        <f>"－"</f>
        <v>－</v>
      </c>
      <c r="AA810" s="25" t="n">
        <f>412</f>
        <v>412.0</v>
      </c>
      <c r="AB810" s="2" t="s">
        <v>1584</v>
      </c>
      <c r="AC810" s="26" t="n">
        <f>415</f>
        <v>415.0</v>
      </c>
      <c r="AD810" s="3" t="s">
        <v>278</v>
      </c>
      <c r="AE810" s="27" t="n">
        <f>60</f>
        <v>60.0</v>
      </c>
    </row>
    <row r="811">
      <c r="A811" s="20" t="s">
        <v>1654</v>
      </c>
      <c r="B811" s="21" t="s">
        <v>1655</v>
      </c>
      <c r="C811" s="22"/>
      <c r="D811" s="23"/>
      <c r="E811" s="24" t="s">
        <v>130</v>
      </c>
      <c r="F811" s="28" t="n">
        <f>121</f>
        <v>121.0</v>
      </c>
      <c r="G811" s="25" t="n">
        <f>1591</f>
        <v>1591.0</v>
      </c>
      <c r="H811" s="25"/>
      <c r="I811" s="25" t="n">
        <f>1125</f>
        <v>1125.0</v>
      </c>
      <c r="J811" s="25" t="n">
        <f>13</f>
        <v>13.0</v>
      </c>
      <c r="K811" s="25" t="n">
        <f>9</f>
        <v>9.0</v>
      </c>
      <c r="L811" s="2" t="s">
        <v>1089</v>
      </c>
      <c r="M811" s="26" t="n">
        <f>300</f>
        <v>300.0</v>
      </c>
      <c r="N811" s="3" t="s">
        <v>369</v>
      </c>
      <c r="O811" s="27" t="str">
        <f>"－"</f>
        <v>－</v>
      </c>
      <c r="P811" s="29" t="s">
        <v>1658</v>
      </c>
      <c r="Q811" s="25"/>
      <c r="R811" s="29" t="s">
        <v>1659</v>
      </c>
      <c r="S811" s="25" t="n">
        <f>10617351</f>
        <v>1.0617351E7</v>
      </c>
      <c r="T811" s="25" t="n">
        <f>7920883</f>
        <v>7920883.0</v>
      </c>
      <c r="U811" s="3" t="s">
        <v>1089</v>
      </c>
      <c r="V811" s="27" t="n">
        <f>256128000</f>
        <v>2.56128E8</v>
      </c>
      <c r="W811" s="3" t="s">
        <v>369</v>
      </c>
      <c r="X811" s="27" t="str">
        <f>"－"</f>
        <v>－</v>
      </c>
      <c r="Y811" s="27"/>
      <c r="Z811" s="25" t="str">
        <f>"－"</f>
        <v>－</v>
      </c>
      <c r="AA811" s="25" t="n">
        <f>1320</f>
        <v>1320.0</v>
      </c>
      <c r="AB811" s="2" t="s">
        <v>513</v>
      </c>
      <c r="AC811" s="26" t="n">
        <f>1320</f>
        <v>1320.0</v>
      </c>
      <c r="AD811" s="3" t="s">
        <v>209</v>
      </c>
      <c r="AE811" s="27" t="n">
        <f>135</f>
        <v>135.0</v>
      </c>
    </row>
    <row r="812">
      <c r="A812" s="20" t="s">
        <v>1654</v>
      </c>
      <c r="B812" s="21" t="s">
        <v>1655</v>
      </c>
      <c r="C812" s="22"/>
      <c r="D812" s="23"/>
      <c r="E812" s="24" t="s">
        <v>136</v>
      </c>
      <c r="F812" s="28" t="n">
        <f>124</f>
        <v>124.0</v>
      </c>
      <c r="G812" s="25" t="n">
        <f>1325</f>
        <v>1325.0</v>
      </c>
      <c r="H812" s="25"/>
      <c r="I812" s="25" t="n">
        <f>1165</f>
        <v>1165.0</v>
      </c>
      <c r="J812" s="25" t="n">
        <f>11</f>
        <v>11.0</v>
      </c>
      <c r="K812" s="25" t="n">
        <f>9</f>
        <v>9.0</v>
      </c>
      <c r="L812" s="2" t="s">
        <v>362</v>
      </c>
      <c r="M812" s="26" t="n">
        <f>300</f>
        <v>300.0</v>
      </c>
      <c r="N812" s="3" t="s">
        <v>215</v>
      </c>
      <c r="O812" s="27" t="str">
        <f>"－"</f>
        <v>－</v>
      </c>
      <c r="P812" s="29" t="s">
        <v>1660</v>
      </c>
      <c r="Q812" s="25"/>
      <c r="R812" s="29" t="s">
        <v>1661</v>
      </c>
      <c r="S812" s="25" t="n">
        <f>16323707</f>
        <v>1.6323707E7</v>
      </c>
      <c r="T812" s="25" t="n">
        <f>14490888</f>
        <v>1.4490888E7</v>
      </c>
      <c r="U812" s="3" t="s">
        <v>229</v>
      </c>
      <c r="V812" s="27" t="n">
        <f>413100000</f>
        <v>4.131E8</v>
      </c>
      <c r="W812" s="3" t="s">
        <v>215</v>
      </c>
      <c r="X812" s="27" t="str">
        <f>"－"</f>
        <v>－</v>
      </c>
      <c r="Y812" s="27"/>
      <c r="Z812" s="25" t="str">
        <f>"－"</f>
        <v>－</v>
      </c>
      <c r="AA812" s="25" t="n">
        <f>632</f>
        <v>632.0</v>
      </c>
      <c r="AB812" s="2" t="s">
        <v>362</v>
      </c>
      <c r="AC812" s="26" t="n">
        <f>1392</f>
        <v>1392.0</v>
      </c>
      <c r="AD812" s="3" t="s">
        <v>1662</v>
      </c>
      <c r="AE812" s="27" t="n">
        <f>401</f>
        <v>401.0</v>
      </c>
    </row>
    <row r="813">
      <c r="A813" s="20" t="s">
        <v>1654</v>
      </c>
      <c r="B813" s="21" t="s">
        <v>1655</v>
      </c>
      <c r="C813" s="22"/>
      <c r="D813" s="23"/>
      <c r="E813" s="24" t="s">
        <v>142</v>
      </c>
      <c r="F813" s="28" t="n">
        <f>120</f>
        <v>120.0</v>
      </c>
      <c r="G813" s="25" t="n">
        <f>2267</f>
        <v>2267.0</v>
      </c>
      <c r="H813" s="25"/>
      <c r="I813" s="25" t="n">
        <f>2138</f>
        <v>2138.0</v>
      </c>
      <c r="J813" s="25" t="n">
        <f>19</f>
        <v>19.0</v>
      </c>
      <c r="K813" s="25" t="n">
        <f>18</f>
        <v>18.0</v>
      </c>
      <c r="L813" s="2" t="s">
        <v>533</v>
      </c>
      <c r="M813" s="26" t="n">
        <f>550</f>
        <v>550.0</v>
      </c>
      <c r="N813" s="3" t="s">
        <v>156</v>
      </c>
      <c r="O813" s="27" t="str">
        <f>"－"</f>
        <v>－</v>
      </c>
      <c r="P813" s="29" t="s">
        <v>1663</v>
      </c>
      <c r="Q813" s="25"/>
      <c r="R813" s="29" t="s">
        <v>1664</v>
      </c>
      <c r="S813" s="25" t="n">
        <f>31541946</f>
        <v>3.1541946E7</v>
      </c>
      <c r="T813" s="25" t="n">
        <f>29939938</f>
        <v>2.9939938E7</v>
      </c>
      <c r="U813" s="3" t="s">
        <v>533</v>
      </c>
      <c r="V813" s="27" t="n">
        <f>1009800000</f>
        <v>1.0098E9</v>
      </c>
      <c r="W813" s="3" t="s">
        <v>156</v>
      </c>
      <c r="X813" s="27" t="str">
        <f>"－"</f>
        <v>－</v>
      </c>
      <c r="Y813" s="27"/>
      <c r="Z813" s="25" t="str">
        <f>"－"</f>
        <v>－</v>
      </c>
      <c r="AA813" s="25" t="n">
        <f>867</f>
        <v>867.0</v>
      </c>
      <c r="AB813" s="2" t="s">
        <v>251</v>
      </c>
      <c r="AC813" s="26" t="n">
        <f>867</f>
        <v>867.0</v>
      </c>
      <c r="AD813" s="3" t="s">
        <v>1027</v>
      </c>
      <c r="AE813" s="27" t="n">
        <f>372</f>
        <v>372.0</v>
      </c>
    </row>
    <row r="814">
      <c r="A814" s="20" t="s">
        <v>1654</v>
      </c>
      <c r="B814" s="21" t="s">
        <v>1655</v>
      </c>
      <c r="C814" s="22"/>
      <c r="D814" s="23"/>
      <c r="E814" s="24" t="s">
        <v>148</v>
      </c>
      <c r="F814" s="28" t="n">
        <f>124</f>
        <v>124.0</v>
      </c>
      <c r="G814" s="25" t="n">
        <f>3009</f>
        <v>3009.0</v>
      </c>
      <c r="H814" s="25"/>
      <c r="I814" s="25" t="n">
        <f>2813</f>
        <v>2813.0</v>
      </c>
      <c r="J814" s="25" t="n">
        <f>24</f>
        <v>24.0</v>
      </c>
      <c r="K814" s="25" t="n">
        <f>23</f>
        <v>23.0</v>
      </c>
      <c r="L814" s="2" t="s">
        <v>118</v>
      </c>
      <c r="M814" s="26" t="n">
        <f>600</f>
        <v>600.0</v>
      </c>
      <c r="N814" s="3" t="s">
        <v>254</v>
      </c>
      <c r="O814" s="27" t="str">
        <f>"－"</f>
        <v>－</v>
      </c>
      <c r="P814" s="29" t="s">
        <v>1665</v>
      </c>
      <c r="Q814" s="25"/>
      <c r="R814" s="29" t="s">
        <v>1666</v>
      </c>
      <c r="S814" s="25" t="n">
        <f>55567451</f>
        <v>5.5567451E7</v>
      </c>
      <c r="T814" s="25" t="n">
        <f>51953081</f>
        <v>5.1953081E7</v>
      </c>
      <c r="U814" s="3" t="s">
        <v>118</v>
      </c>
      <c r="V814" s="27" t="n">
        <f>1093608000</f>
        <v>1.093608E9</v>
      </c>
      <c r="W814" s="3" t="s">
        <v>254</v>
      </c>
      <c r="X814" s="27" t="str">
        <f>"－"</f>
        <v>－</v>
      </c>
      <c r="Y814" s="27"/>
      <c r="Z814" s="25" t="str">
        <f>"－"</f>
        <v>－</v>
      </c>
      <c r="AA814" s="25" t="n">
        <f>1853</f>
        <v>1853.0</v>
      </c>
      <c r="AB814" s="2" t="s">
        <v>138</v>
      </c>
      <c r="AC814" s="26" t="n">
        <f>1853</f>
        <v>1853.0</v>
      </c>
      <c r="AD814" s="3" t="s">
        <v>254</v>
      </c>
      <c r="AE814" s="27" t="n">
        <f>678</f>
        <v>678.0</v>
      </c>
    </row>
    <row r="815">
      <c r="A815" s="20" t="s">
        <v>1654</v>
      </c>
      <c r="B815" s="21" t="s">
        <v>1655</v>
      </c>
      <c r="C815" s="22"/>
      <c r="D815" s="23"/>
      <c r="E815" s="24" t="s">
        <v>151</v>
      </c>
      <c r="F815" s="28" t="n">
        <f>122</f>
        <v>122.0</v>
      </c>
      <c r="G815" s="25" t="n">
        <f>1678</f>
        <v>1678.0</v>
      </c>
      <c r="H815" s="25"/>
      <c r="I815" s="25" t="n">
        <f>1351</f>
        <v>1351.0</v>
      </c>
      <c r="J815" s="25" t="n">
        <f>14</f>
        <v>14.0</v>
      </c>
      <c r="K815" s="25" t="n">
        <f>11</f>
        <v>11.0</v>
      </c>
      <c r="L815" s="2" t="s">
        <v>468</v>
      </c>
      <c r="M815" s="26" t="n">
        <f>360</f>
        <v>360.0</v>
      </c>
      <c r="N815" s="3" t="s">
        <v>156</v>
      </c>
      <c r="O815" s="27" t="str">
        <f>"－"</f>
        <v>－</v>
      </c>
      <c r="P815" s="29" t="s">
        <v>1667</v>
      </c>
      <c r="Q815" s="25"/>
      <c r="R815" s="29" t="s">
        <v>1668</v>
      </c>
      <c r="S815" s="25" t="n">
        <f>13630331</f>
        <v>1.3630331E7</v>
      </c>
      <c r="T815" s="25" t="n">
        <f>11564130</f>
        <v>1.156413E7</v>
      </c>
      <c r="U815" s="3" t="s">
        <v>468</v>
      </c>
      <c r="V815" s="27" t="n">
        <f>326764800</f>
        <v>3.267648E8</v>
      </c>
      <c r="W815" s="3" t="s">
        <v>156</v>
      </c>
      <c r="X815" s="27" t="str">
        <f>"－"</f>
        <v>－</v>
      </c>
      <c r="Y815" s="27"/>
      <c r="Z815" s="25" t="str">
        <f>"－"</f>
        <v>－</v>
      </c>
      <c r="AA815" s="25" t="n">
        <f>1257</f>
        <v>1257.0</v>
      </c>
      <c r="AB815" s="2" t="s">
        <v>156</v>
      </c>
      <c r="AC815" s="26" t="n">
        <f>1853</f>
        <v>1853.0</v>
      </c>
      <c r="AD815" s="3" t="s">
        <v>209</v>
      </c>
      <c r="AE815" s="27" t="n">
        <f>864</f>
        <v>864.0</v>
      </c>
    </row>
    <row r="816">
      <c r="A816" s="20" t="s">
        <v>1654</v>
      </c>
      <c r="B816" s="21" t="s">
        <v>1655</v>
      </c>
      <c r="C816" s="22"/>
      <c r="D816" s="23"/>
      <c r="E816" s="24" t="s">
        <v>157</v>
      </c>
      <c r="F816" s="28" t="n">
        <f>124</f>
        <v>124.0</v>
      </c>
      <c r="G816" s="25" t="n">
        <f>704</f>
        <v>704.0</v>
      </c>
      <c r="H816" s="25"/>
      <c r="I816" s="25" t="n">
        <f>298</f>
        <v>298.0</v>
      </c>
      <c r="J816" s="25" t="n">
        <f>6</f>
        <v>6.0</v>
      </c>
      <c r="K816" s="25" t="n">
        <f>2</f>
        <v>2.0</v>
      </c>
      <c r="L816" s="2" t="s">
        <v>181</v>
      </c>
      <c r="M816" s="26" t="n">
        <f>110</f>
        <v>110.0</v>
      </c>
      <c r="N816" s="3" t="s">
        <v>633</v>
      </c>
      <c r="O816" s="27" t="str">
        <f>"－"</f>
        <v>－</v>
      </c>
      <c r="P816" s="29" t="s">
        <v>1669</v>
      </c>
      <c r="Q816" s="25"/>
      <c r="R816" s="29" t="s">
        <v>1670</v>
      </c>
      <c r="S816" s="25" t="n">
        <f>5095349</f>
        <v>5095349.0</v>
      </c>
      <c r="T816" s="25" t="n">
        <f>2328153</f>
        <v>2328153.0</v>
      </c>
      <c r="U816" s="3" t="s">
        <v>181</v>
      </c>
      <c r="V816" s="27" t="n">
        <f>106764000</f>
        <v>1.06764E8</v>
      </c>
      <c r="W816" s="3" t="s">
        <v>633</v>
      </c>
      <c r="X816" s="27" t="str">
        <f>"－"</f>
        <v>－</v>
      </c>
      <c r="Y816" s="27"/>
      <c r="Z816" s="25" t="str">
        <f>"－"</f>
        <v>－</v>
      </c>
      <c r="AA816" s="25" t="n">
        <f>623</f>
        <v>623.0</v>
      </c>
      <c r="AB816" s="2" t="s">
        <v>633</v>
      </c>
      <c r="AC816" s="26" t="n">
        <f>1257</f>
        <v>1257.0</v>
      </c>
      <c r="AD816" s="3" t="s">
        <v>1662</v>
      </c>
      <c r="AE816" s="27" t="n">
        <f>584</f>
        <v>584.0</v>
      </c>
    </row>
    <row r="817">
      <c r="A817" s="20" t="s">
        <v>1654</v>
      </c>
      <c r="B817" s="21" t="s">
        <v>1655</v>
      </c>
      <c r="C817" s="22"/>
      <c r="D817" s="23"/>
      <c r="E817" s="24" t="s">
        <v>160</v>
      </c>
      <c r="F817" s="28" t="n">
        <f>58</f>
        <v>58.0</v>
      </c>
      <c r="G817" s="25" t="n">
        <f>131</f>
        <v>131.0</v>
      </c>
      <c r="H817" s="25"/>
      <c r="I817" s="25" t="str">
        <f>"－"</f>
        <v>－</v>
      </c>
      <c r="J817" s="25" t="n">
        <f>2</f>
        <v>2.0</v>
      </c>
      <c r="K817" s="25" t="str">
        <f>"－"</f>
        <v>－</v>
      </c>
      <c r="L817" s="2" t="s">
        <v>981</v>
      </c>
      <c r="M817" s="26" t="n">
        <f>25</f>
        <v>25.0</v>
      </c>
      <c r="N817" s="3" t="s">
        <v>156</v>
      </c>
      <c r="O817" s="27" t="str">
        <f>"－"</f>
        <v>－</v>
      </c>
      <c r="P817" s="29" t="s">
        <v>1671</v>
      </c>
      <c r="Q817" s="25"/>
      <c r="R817" s="29" t="s">
        <v>262</v>
      </c>
      <c r="S817" s="25" t="n">
        <f>1501513</f>
        <v>1501513.0</v>
      </c>
      <c r="T817" s="25" t="str">
        <f>"－"</f>
        <v>－</v>
      </c>
      <c r="U817" s="3" t="s">
        <v>458</v>
      </c>
      <c r="V817" s="27" t="n">
        <f>17657520</f>
        <v>1.765752E7</v>
      </c>
      <c r="W817" s="3" t="s">
        <v>156</v>
      </c>
      <c r="X817" s="27" t="str">
        <f>"－"</f>
        <v>－</v>
      </c>
      <c r="Y817" s="27"/>
      <c r="Z817" s="25" t="str">
        <f>"－"</f>
        <v>－</v>
      </c>
      <c r="AA817" s="25" t="n">
        <f>136</f>
        <v>136.0</v>
      </c>
      <c r="AB817" s="2" t="s">
        <v>156</v>
      </c>
      <c r="AC817" s="26" t="n">
        <f>623</f>
        <v>623.0</v>
      </c>
      <c r="AD817" s="3" t="s">
        <v>751</v>
      </c>
      <c r="AE817" s="27" t="n">
        <f>82</f>
        <v>82.0</v>
      </c>
    </row>
    <row r="818">
      <c r="A818" s="20" t="s">
        <v>1672</v>
      </c>
      <c r="B818" s="21" t="s">
        <v>1673</v>
      </c>
      <c r="C818" s="22"/>
      <c r="D818" s="23"/>
      <c r="E818" s="24" t="s">
        <v>124</v>
      </c>
      <c r="F818" s="28" t="n">
        <f>108</f>
        <v>108.0</v>
      </c>
      <c r="G818" s="25" t="n">
        <f>813</f>
        <v>813.0</v>
      </c>
      <c r="H818" s="25"/>
      <c r="I818" s="25" t="n">
        <f>560</f>
        <v>560.0</v>
      </c>
      <c r="J818" s="25" t="n">
        <f>8</f>
        <v>8.0</v>
      </c>
      <c r="K818" s="25" t="n">
        <f>5</f>
        <v>5.0</v>
      </c>
      <c r="L818" s="2" t="s">
        <v>388</v>
      </c>
      <c r="M818" s="26" t="n">
        <f>200</f>
        <v>200.0</v>
      </c>
      <c r="N818" s="3" t="s">
        <v>198</v>
      </c>
      <c r="O818" s="27" t="str">
        <f>"－"</f>
        <v>－</v>
      </c>
      <c r="P818" s="29" t="s">
        <v>1674</v>
      </c>
      <c r="Q818" s="25"/>
      <c r="R818" s="29" t="s">
        <v>1675</v>
      </c>
      <c r="S818" s="25" t="n">
        <f>1546109</f>
        <v>1546109.0</v>
      </c>
      <c r="T818" s="25" t="n">
        <f>1062872</f>
        <v>1062872.0</v>
      </c>
      <c r="U818" s="3" t="s">
        <v>388</v>
      </c>
      <c r="V818" s="27" t="n">
        <f>49440000</f>
        <v>4.944E7</v>
      </c>
      <c r="W818" s="3" t="s">
        <v>198</v>
      </c>
      <c r="X818" s="27" t="str">
        <f>"－"</f>
        <v>－</v>
      </c>
      <c r="Y818" s="27"/>
      <c r="Z818" s="25" t="str">
        <f>"－"</f>
        <v>－</v>
      </c>
      <c r="AA818" s="25" t="n">
        <f>414</f>
        <v>414.0</v>
      </c>
      <c r="AB818" s="2" t="s">
        <v>373</v>
      </c>
      <c r="AC818" s="26" t="n">
        <f>841</f>
        <v>841.0</v>
      </c>
      <c r="AD818" s="3" t="s">
        <v>562</v>
      </c>
      <c r="AE818" s="27" t="n">
        <f>400</f>
        <v>400.0</v>
      </c>
    </row>
    <row r="819">
      <c r="A819" s="20" t="s">
        <v>1672</v>
      </c>
      <c r="B819" s="21" t="s">
        <v>1673</v>
      </c>
      <c r="C819" s="22"/>
      <c r="D819" s="23"/>
      <c r="E819" s="24" t="s">
        <v>130</v>
      </c>
      <c r="F819" s="28" t="n">
        <f>121</f>
        <v>121.0</v>
      </c>
      <c r="G819" s="25" t="n">
        <f>2555</f>
        <v>2555.0</v>
      </c>
      <c r="H819" s="25"/>
      <c r="I819" s="25" t="n">
        <f>2180</f>
        <v>2180.0</v>
      </c>
      <c r="J819" s="25" t="n">
        <f>21</f>
        <v>21.0</v>
      </c>
      <c r="K819" s="25" t="n">
        <f>18</f>
        <v>18.0</v>
      </c>
      <c r="L819" s="2" t="s">
        <v>552</v>
      </c>
      <c r="M819" s="26" t="n">
        <f>600</f>
        <v>600.0</v>
      </c>
      <c r="N819" s="3" t="s">
        <v>147</v>
      </c>
      <c r="O819" s="27" t="str">
        <f>"－"</f>
        <v>－</v>
      </c>
      <c r="P819" s="29" t="s">
        <v>1676</v>
      </c>
      <c r="Q819" s="25"/>
      <c r="R819" s="29" t="s">
        <v>1677</v>
      </c>
      <c r="S819" s="25" t="n">
        <f>6748455</f>
        <v>6748455.0</v>
      </c>
      <c r="T819" s="25" t="n">
        <f>5751749</f>
        <v>5751749.0</v>
      </c>
      <c r="U819" s="3" t="s">
        <v>343</v>
      </c>
      <c r="V819" s="27" t="n">
        <f>172200000</f>
        <v>1.722E8</v>
      </c>
      <c r="W819" s="3" t="s">
        <v>147</v>
      </c>
      <c r="X819" s="27" t="str">
        <f>"－"</f>
        <v>－</v>
      </c>
      <c r="Y819" s="27"/>
      <c r="Z819" s="25" t="str">
        <f>"－"</f>
        <v>－</v>
      </c>
      <c r="AA819" s="25" t="n">
        <f>1766</f>
        <v>1766.0</v>
      </c>
      <c r="AB819" s="2" t="s">
        <v>513</v>
      </c>
      <c r="AC819" s="26" t="n">
        <f>1766</f>
        <v>1766.0</v>
      </c>
      <c r="AD819" s="3" t="s">
        <v>1027</v>
      </c>
      <c r="AE819" s="27" t="n">
        <f>214</f>
        <v>214.0</v>
      </c>
    </row>
    <row r="820">
      <c r="A820" s="20" t="s">
        <v>1672</v>
      </c>
      <c r="B820" s="21" t="s">
        <v>1673</v>
      </c>
      <c r="C820" s="22"/>
      <c r="D820" s="23"/>
      <c r="E820" s="24" t="s">
        <v>136</v>
      </c>
      <c r="F820" s="28" t="n">
        <f>124</f>
        <v>124.0</v>
      </c>
      <c r="G820" s="25" t="n">
        <f>726</f>
        <v>726.0</v>
      </c>
      <c r="H820" s="25"/>
      <c r="I820" s="25" t="n">
        <f>526</f>
        <v>526.0</v>
      </c>
      <c r="J820" s="25" t="n">
        <f>6</f>
        <v>6.0</v>
      </c>
      <c r="K820" s="25" t="n">
        <f>4</f>
        <v>4.0</v>
      </c>
      <c r="L820" s="2" t="s">
        <v>719</v>
      </c>
      <c r="M820" s="26" t="n">
        <f>117</f>
        <v>117.0</v>
      </c>
      <c r="N820" s="3" t="s">
        <v>68</v>
      </c>
      <c r="O820" s="27" t="str">
        <f>"－"</f>
        <v>－</v>
      </c>
      <c r="P820" s="29" t="s">
        <v>1678</v>
      </c>
      <c r="Q820" s="25"/>
      <c r="R820" s="29" t="s">
        <v>1679</v>
      </c>
      <c r="S820" s="25" t="n">
        <f>3327364</f>
        <v>3327364.0</v>
      </c>
      <c r="T820" s="25" t="n">
        <f>2556449</f>
        <v>2556449.0</v>
      </c>
      <c r="U820" s="3" t="s">
        <v>719</v>
      </c>
      <c r="V820" s="27" t="n">
        <f>83650680</f>
        <v>8.365068E7</v>
      </c>
      <c r="W820" s="3" t="s">
        <v>68</v>
      </c>
      <c r="X820" s="27" t="str">
        <f>"－"</f>
        <v>－</v>
      </c>
      <c r="Y820" s="27"/>
      <c r="Z820" s="25" t="str">
        <f>"－"</f>
        <v>－</v>
      </c>
      <c r="AA820" s="25" t="n">
        <f>766</f>
        <v>766.0</v>
      </c>
      <c r="AB820" s="2" t="s">
        <v>68</v>
      </c>
      <c r="AC820" s="26" t="n">
        <f>1766</f>
        <v>1766.0</v>
      </c>
      <c r="AD820" s="3" t="s">
        <v>1662</v>
      </c>
      <c r="AE820" s="27" t="n">
        <f>734</f>
        <v>734.0</v>
      </c>
    </row>
    <row r="821">
      <c r="A821" s="20" t="s">
        <v>1672</v>
      </c>
      <c r="B821" s="21" t="s">
        <v>1673</v>
      </c>
      <c r="C821" s="22"/>
      <c r="D821" s="23"/>
      <c r="E821" s="24" t="s">
        <v>142</v>
      </c>
      <c r="F821" s="28" t="n">
        <f>120</f>
        <v>120.0</v>
      </c>
      <c r="G821" s="25" t="n">
        <f>2888</f>
        <v>2888.0</v>
      </c>
      <c r="H821" s="25"/>
      <c r="I821" s="25" t="n">
        <f>2807</f>
        <v>2807.0</v>
      </c>
      <c r="J821" s="25" t="n">
        <f>24</f>
        <v>24.0</v>
      </c>
      <c r="K821" s="25" t="n">
        <f>23</f>
        <v>23.0</v>
      </c>
      <c r="L821" s="2" t="s">
        <v>1064</v>
      </c>
      <c r="M821" s="26" t="n">
        <f>1247</f>
        <v>1247.0</v>
      </c>
      <c r="N821" s="3" t="s">
        <v>156</v>
      </c>
      <c r="O821" s="27" t="str">
        <f>"－"</f>
        <v>－</v>
      </c>
      <c r="P821" s="29" t="s">
        <v>1680</v>
      </c>
      <c r="Q821" s="25"/>
      <c r="R821" s="29" t="s">
        <v>1681</v>
      </c>
      <c r="S821" s="25" t="n">
        <f>21597148</f>
        <v>2.1597148E7</v>
      </c>
      <c r="T821" s="25" t="n">
        <f>21141986</f>
        <v>2.1141986E7</v>
      </c>
      <c r="U821" s="3" t="s">
        <v>1064</v>
      </c>
      <c r="V821" s="27" t="n">
        <f>1198613556</f>
        <v>1.198613556E9</v>
      </c>
      <c r="W821" s="3" t="s">
        <v>156</v>
      </c>
      <c r="X821" s="27" t="str">
        <f>"－"</f>
        <v>－</v>
      </c>
      <c r="Y821" s="27"/>
      <c r="Z821" s="25" t="str">
        <f>"－"</f>
        <v>－</v>
      </c>
      <c r="AA821" s="25" t="n">
        <f>1820</f>
        <v>1820.0</v>
      </c>
      <c r="AB821" s="2" t="s">
        <v>251</v>
      </c>
      <c r="AC821" s="26" t="n">
        <f>1820</f>
        <v>1820.0</v>
      </c>
      <c r="AD821" s="3" t="s">
        <v>533</v>
      </c>
      <c r="AE821" s="27" t="n">
        <f>22</f>
        <v>22.0</v>
      </c>
    </row>
    <row r="822">
      <c r="A822" s="20" t="s">
        <v>1672</v>
      </c>
      <c r="B822" s="21" t="s">
        <v>1673</v>
      </c>
      <c r="C822" s="22"/>
      <c r="D822" s="23"/>
      <c r="E822" s="24" t="s">
        <v>148</v>
      </c>
      <c r="F822" s="28" t="n">
        <f>124</f>
        <v>124.0</v>
      </c>
      <c r="G822" s="25" t="n">
        <f>1870</f>
        <v>1870.0</v>
      </c>
      <c r="H822" s="25"/>
      <c r="I822" s="25" t="n">
        <f>1794</f>
        <v>1794.0</v>
      </c>
      <c r="J822" s="25" t="n">
        <f>15</f>
        <v>15.0</v>
      </c>
      <c r="K822" s="25" t="n">
        <f>14</f>
        <v>14.0</v>
      </c>
      <c r="L822" s="2" t="s">
        <v>1015</v>
      </c>
      <c r="M822" s="26" t="n">
        <f>308</f>
        <v>308.0</v>
      </c>
      <c r="N822" s="3" t="s">
        <v>254</v>
      </c>
      <c r="O822" s="27" t="str">
        <f>"－"</f>
        <v>－</v>
      </c>
      <c r="P822" s="29" t="s">
        <v>1682</v>
      </c>
      <c r="Q822" s="25"/>
      <c r="R822" s="29" t="s">
        <v>1683</v>
      </c>
      <c r="S822" s="25" t="n">
        <f>17687567</f>
        <v>1.7687567E7</v>
      </c>
      <c r="T822" s="25" t="n">
        <f>16940335</f>
        <v>1.6940335E7</v>
      </c>
      <c r="U822" s="3" t="s">
        <v>1015</v>
      </c>
      <c r="V822" s="27" t="n">
        <f>408778752</f>
        <v>4.08778752E8</v>
      </c>
      <c r="W822" s="3" t="s">
        <v>254</v>
      </c>
      <c r="X822" s="27" t="str">
        <f>"－"</f>
        <v>－</v>
      </c>
      <c r="Y822" s="27"/>
      <c r="Z822" s="25" t="str">
        <f>"－"</f>
        <v>－</v>
      </c>
      <c r="AA822" s="25" t="n">
        <f>1444</f>
        <v>1444.0</v>
      </c>
      <c r="AB822" s="2" t="s">
        <v>68</v>
      </c>
      <c r="AC822" s="26" t="n">
        <f>1820</f>
        <v>1820.0</v>
      </c>
      <c r="AD822" s="3" t="s">
        <v>735</v>
      </c>
      <c r="AE822" s="27" t="n">
        <f>1169</f>
        <v>1169.0</v>
      </c>
    </row>
    <row r="823">
      <c r="A823" s="20" t="s">
        <v>1672</v>
      </c>
      <c r="B823" s="21" t="s">
        <v>1673</v>
      </c>
      <c r="C823" s="22"/>
      <c r="D823" s="23"/>
      <c r="E823" s="24" t="s">
        <v>151</v>
      </c>
      <c r="F823" s="28" t="n">
        <f>122</f>
        <v>122.0</v>
      </c>
      <c r="G823" s="25" t="n">
        <f>2065</f>
        <v>2065.0</v>
      </c>
      <c r="H823" s="25"/>
      <c r="I823" s="25" t="n">
        <f>1841</f>
        <v>1841.0</v>
      </c>
      <c r="J823" s="25" t="n">
        <f>17</f>
        <v>17.0</v>
      </c>
      <c r="K823" s="25" t="n">
        <f>15</f>
        <v>15.0</v>
      </c>
      <c r="L823" s="2" t="s">
        <v>434</v>
      </c>
      <c r="M823" s="26" t="n">
        <f>600</f>
        <v>600.0</v>
      </c>
      <c r="N823" s="3" t="s">
        <v>156</v>
      </c>
      <c r="O823" s="27" t="str">
        <f>"－"</f>
        <v>－</v>
      </c>
      <c r="P823" s="29" t="s">
        <v>1684</v>
      </c>
      <c r="Q823" s="25"/>
      <c r="R823" s="29" t="s">
        <v>1685</v>
      </c>
      <c r="S823" s="25" t="n">
        <f>6683690</f>
        <v>6683690.0</v>
      </c>
      <c r="T823" s="25" t="n">
        <f>6014596</f>
        <v>6014596.0</v>
      </c>
      <c r="U823" s="3" t="s">
        <v>434</v>
      </c>
      <c r="V823" s="27" t="n">
        <f>245520000</f>
        <v>2.4552E8</v>
      </c>
      <c r="W823" s="3" t="s">
        <v>156</v>
      </c>
      <c r="X823" s="27" t="str">
        <f>"－"</f>
        <v>－</v>
      </c>
      <c r="Y823" s="27"/>
      <c r="Z823" s="25" t="str">
        <f>"－"</f>
        <v>－</v>
      </c>
      <c r="AA823" s="25" t="n">
        <f>1152</f>
        <v>1152.0</v>
      </c>
      <c r="AB823" s="2" t="s">
        <v>156</v>
      </c>
      <c r="AC823" s="26" t="n">
        <f>1444</f>
        <v>1444.0</v>
      </c>
      <c r="AD823" s="3" t="s">
        <v>209</v>
      </c>
      <c r="AE823" s="27" t="n">
        <f>172</f>
        <v>172.0</v>
      </c>
    </row>
    <row r="824">
      <c r="A824" s="20" t="s">
        <v>1672</v>
      </c>
      <c r="B824" s="21" t="s">
        <v>1673</v>
      </c>
      <c r="C824" s="22"/>
      <c r="D824" s="23"/>
      <c r="E824" s="24" t="s">
        <v>157</v>
      </c>
      <c r="F824" s="28" t="n">
        <f>124</f>
        <v>124.0</v>
      </c>
      <c r="G824" s="25" t="n">
        <f>396</f>
        <v>396.0</v>
      </c>
      <c r="H824" s="25"/>
      <c r="I824" s="25" t="n">
        <f>60</f>
        <v>60.0</v>
      </c>
      <c r="J824" s="25" t="n">
        <f>3</f>
        <v>3.0</v>
      </c>
      <c r="K824" s="25" t="n">
        <f>0</f>
        <v>0.0</v>
      </c>
      <c r="L824" s="2" t="s">
        <v>976</v>
      </c>
      <c r="M824" s="26" t="n">
        <f>60</f>
        <v>60.0</v>
      </c>
      <c r="N824" s="3" t="s">
        <v>633</v>
      </c>
      <c r="O824" s="27" t="str">
        <f>"－"</f>
        <v>－</v>
      </c>
      <c r="P824" s="29" t="s">
        <v>1686</v>
      </c>
      <c r="Q824" s="25"/>
      <c r="R824" s="29" t="s">
        <v>1687</v>
      </c>
      <c r="S824" s="25" t="n">
        <f>1265875</f>
        <v>1265875.0</v>
      </c>
      <c r="T824" s="25" t="n">
        <f>205200</f>
        <v>205200.0</v>
      </c>
      <c r="U824" s="3" t="s">
        <v>976</v>
      </c>
      <c r="V824" s="27" t="n">
        <f>25444800</f>
        <v>2.54448E7</v>
      </c>
      <c r="W824" s="3" t="s">
        <v>633</v>
      </c>
      <c r="X824" s="27" t="str">
        <f>"－"</f>
        <v>－</v>
      </c>
      <c r="Y824" s="27"/>
      <c r="Z824" s="25" t="str">
        <f>"－"</f>
        <v>－</v>
      </c>
      <c r="AA824" s="25" t="n">
        <f>163</f>
        <v>163.0</v>
      </c>
      <c r="AB824" s="2" t="s">
        <v>633</v>
      </c>
      <c r="AC824" s="26" t="n">
        <f>1152</f>
        <v>1152.0</v>
      </c>
      <c r="AD824" s="3" t="s">
        <v>94</v>
      </c>
      <c r="AE824" s="27" t="n">
        <f>98</f>
        <v>98.0</v>
      </c>
    </row>
    <row r="825">
      <c r="A825" s="20" t="s">
        <v>1672</v>
      </c>
      <c r="B825" s="21" t="s">
        <v>1673</v>
      </c>
      <c r="C825" s="22"/>
      <c r="D825" s="23"/>
      <c r="E825" s="24" t="s">
        <v>160</v>
      </c>
      <c r="F825" s="28" t="n">
        <f>58</f>
        <v>58.0</v>
      </c>
      <c r="G825" s="25" t="n">
        <f>492</f>
        <v>492.0</v>
      </c>
      <c r="H825" s="25"/>
      <c r="I825" s="25" t="n">
        <f>280</f>
        <v>280.0</v>
      </c>
      <c r="J825" s="25" t="n">
        <f>8</f>
        <v>8.0</v>
      </c>
      <c r="K825" s="25" t="n">
        <f>5</f>
        <v>5.0</v>
      </c>
      <c r="L825" s="2" t="s">
        <v>552</v>
      </c>
      <c r="M825" s="26" t="n">
        <f>200</f>
        <v>200.0</v>
      </c>
      <c r="N825" s="3" t="s">
        <v>156</v>
      </c>
      <c r="O825" s="27" t="str">
        <f>"－"</f>
        <v>－</v>
      </c>
      <c r="P825" s="29" t="s">
        <v>1688</v>
      </c>
      <c r="Q825" s="25"/>
      <c r="R825" s="29" t="s">
        <v>1689</v>
      </c>
      <c r="S825" s="25" t="n">
        <f>2905819</f>
        <v>2905819.0</v>
      </c>
      <c r="T825" s="25" t="n">
        <f>1740844</f>
        <v>1740844.0</v>
      </c>
      <c r="U825" s="3" t="s">
        <v>552</v>
      </c>
      <c r="V825" s="27" t="n">
        <f>68400000</f>
        <v>6.84E7</v>
      </c>
      <c r="W825" s="3" t="s">
        <v>156</v>
      </c>
      <c r="X825" s="27" t="str">
        <f>"－"</f>
        <v>－</v>
      </c>
      <c r="Y825" s="27"/>
      <c r="Z825" s="25" t="str">
        <f>"－"</f>
        <v>－</v>
      </c>
      <c r="AA825" s="25" t="n">
        <f>455</f>
        <v>455.0</v>
      </c>
      <c r="AB825" s="2" t="s">
        <v>765</v>
      </c>
      <c r="AC825" s="26" t="n">
        <f>455</f>
        <v>455.0</v>
      </c>
      <c r="AD825" s="3" t="s">
        <v>156</v>
      </c>
      <c r="AE825" s="27" t="n">
        <f>163</f>
        <v>163.0</v>
      </c>
    </row>
    <row r="826">
      <c r="A826" s="20" t="s">
        <v>1690</v>
      </c>
      <c r="B826" s="21" t="s">
        <v>1691</v>
      </c>
      <c r="C826" s="22"/>
      <c r="D826" s="23"/>
      <c r="E826" s="24" t="s">
        <v>124</v>
      </c>
      <c r="F826" s="28" t="n">
        <f>108</f>
        <v>108.0</v>
      </c>
      <c r="G826" s="25" t="n">
        <f>566</f>
        <v>566.0</v>
      </c>
      <c r="H826" s="25"/>
      <c r="I826" s="25" t="n">
        <f>475</f>
        <v>475.0</v>
      </c>
      <c r="J826" s="25" t="n">
        <f>5</f>
        <v>5.0</v>
      </c>
      <c r="K826" s="25" t="n">
        <f>4</f>
        <v>4.0</v>
      </c>
      <c r="L826" s="2" t="s">
        <v>388</v>
      </c>
      <c r="M826" s="26" t="n">
        <f>200</f>
        <v>200.0</v>
      </c>
      <c r="N826" s="3" t="s">
        <v>198</v>
      </c>
      <c r="O826" s="27" t="str">
        <f>"－"</f>
        <v>－</v>
      </c>
      <c r="P826" s="29" t="s">
        <v>1692</v>
      </c>
      <c r="Q826" s="25"/>
      <c r="R826" s="29" t="s">
        <v>1693</v>
      </c>
      <c r="S826" s="25" t="n">
        <f>1203448</f>
        <v>1203448.0</v>
      </c>
      <c r="T826" s="25" t="n">
        <f>1027111</f>
        <v>1027111.0</v>
      </c>
      <c r="U826" s="3" t="s">
        <v>388</v>
      </c>
      <c r="V826" s="27" t="n">
        <f>54000000</f>
        <v>5.4E7</v>
      </c>
      <c r="W826" s="3" t="s">
        <v>198</v>
      </c>
      <c r="X826" s="27" t="str">
        <f>"－"</f>
        <v>－</v>
      </c>
      <c r="Y826" s="27"/>
      <c r="Z826" s="25" t="str">
        <f>"－"</f>
        <v>－</v>
      </c>
      <c r="AA826" s="25" t="n">
        <f>188</f>
        <v>188.0</v>
      </c>
      <c r="AB826" s="2" t="s">
        <v>373</v>
      </c>
      <c r="AC826" s="26" t="n">
        <f>303</f>
        <v>303.0</v>
      </c>
      <c r="AD826" s="3" t="s">
        <v>296</v>
      </c>
      <c r="AE826" s="27" t="str">
        <f>"－"</f>
        <v>－</v>
      </c>
    </row>
    <row r="827">
      <c r="A827" s="20" t="s">
        <v>1690</v>
      </c>
      <c r="B827" s="21" t="s">
        <v>1691</v>
      </c>
      <c r="C827" s="22"/>
      <c r="D827" s="23"/>
      <c r="E827" s="24" t="s">
        <v>130</v>
      </c>
      <c r="F827" s="28" t="n">
        <f>121</f>
        <v>121.0</v>
      </c>
      <c r="G827" s="25" t="n">
        <f>1659</f>
        <v>1659.0</v>
      </c>
      <c r="H827" s="25"/>
      <c r="I827" s="25" t="n">
        <f>1044</f>
        <v>1044.0</v>
      </c>
      <c r="J827" s="25" t="n">
        <f>14</f>
        <v>14.0</v>
      </c>
      <c r="K827" s="25" t="n">
        <f>9</f>
        <v>9.0</v>
      </c>
      <c r="L827" s="2" t="s">
        <v>754</v>
      </c>
      <c r="M827" s="26" t="n">
        <f>300</f>
        <v>300.0</v>
      </c>
      <c r="N827" s="3" t="s">
        <v>156</v>
      </c>
      <c r="O827" s="27" t="str">
        <f>"－"</f>
        <v>－</v>
      </c>
      <c r="P827" s="29" t="s">
        <v>1694</v>
      </c>
      <c r="Q827" s="25"/>
      <c r="R827" s="29" t="s">
        <v>1695</v>
      </c>
      <c r="S827" s="25" t="n">
        <f>4221851</f>
        <v>4221851.0</v>
      </c>
      <c r="T827" s="25" t="n">
        <f>2920663</f>
        <v>2920663.0</v>
      </c>
      <c r="U827" s="3" t="s">
        <v>754</v>
      </c>
      <c r="V827" s="27" t="n">
        <f>115320000</f>
        <v>1.1532E8</v>
      </c>
      <c r="W827" s="3" t="s">
        <v>156</v>
      </c>
      <c r="X827" s="27" t="str">
        <f>"－"</f>
        <v>－</v>
      </c>
      <c r="Y827" s="27"/>
      <c r="Z827" s="25" t="str">
        <f>"－"</f>
        <v>－</v>
      </c>
      <c r="AA827" s="25" t="n">
        <f>1450</f>
        <v>1450.0</v>
      </c>
      <c r="AB827" s="2" t="s">
        <v>248</v>
      </c>
      <c r="AC827" s="26" t="n">
        <f>1450</f>
        <v>1450.0</v>
      </c>
      <c r="AD827" s="3" t="s">
        <v>314</v>
      </c>
      <c r="AE827" s="27" t="n">
        <f>10</f>
        <v>10.0</v>
      </c>
    </row>
    <row r="828">
      <c r="A828" s="20" t="s">
        <v>1690</v>
      </c>
      <c r="B828" s="21" t="s">
        <v>1691</v>
      </c>
      <c r="C828" s="22"/>
      <c r="D828" s="23"/>
      <c r="E828" s="24" t="s">
        <v>136</v>
      </c>
      <c r="F828" s="28" t="n">
        <f>124</f>
        <v>124.0</v>
      </c>
      <c r="G828" s="25" t="n">
        <f>159</f>
        <v>159.0</v>
      </c>
      <c r="H828" s="25"/>
      <c r="I828" s="25" t="n">
        <f>122</f>
        <v>122.0</v>
      </c>
      <c r="J828" s="25" t="n">
        <f>1</f>
        <v>1.0</v>
      </c>
      <c r="K828" s="25" t="n">
        <f>1</f>
        <v>1.0</v>
      </c>
      <c r="L828" s="2" t="s">
        <v>1030</v>
      </c>
      <c r="M828" s="26" t="n">
        <f>100</f>
        <v>100.0</v>
      </c>
      <c r="N828" s="3" t="s">
        <v>68</v>
      </c>
      <c r="O828" s="27" t="str">
        <f>"－"</f>
        <v>－</v>
      </c>
      <c r="P828" s="29" t="s">
        <v>1696</v>
      </c>
      <c r="Q828" s="25"/>
      <c r="R828" s="29" t="s">
        <v>1697</v>
      </c>
      <c r="S828" s="25" t="n">
        <f>465266</f>
        <v>465266.0</v>
      </c>
      <c r="T828" s="25" t="n">
        <f>295234</f>
        <v>295234.0</v>
      </c>
      <c r="U828" s="3" t="s">
        <v>1030</v>
      </c>
      <c r="V828" s="27" t="n">
        <f>22320000</f>
        <v>2.232E7</v>
      </c>
      <c r="W828" s="3" t="s">
        <v>68</v>
      </c>
      <c r="X828" s="27" t="str">
        <f>"－"</f>
        <v>－</v>
      </c>
      <c r="Y828" s="27"/>
      <c r="Z828" s="25" t="str">
        <f>"－"</f>
        <v>－</v>
      </c>
      <c r="AA828" s="25" t="n">
        <f>248</f>
        <v>248.0</v>
      </c>
      <c r="AB828" s="2" t="s">
        <v>68</v>
      </c>
      <c r="AC828" s="26" t="n">
        <f>1450</f>
        <v>1450.0</v>
      </c>
      <c r="AD828" s="3" t="s">
        <v>562</v>
      </c>
      <c r="AE828" s="27" t="n">
        <f>235</f>
        <v>235.0</v>
      </c>
    </row>
    <row r="829">
      <c r="A829" s="20" t="s">
        <v>1690</v>
      </c>
      <c r="B829" s="21" t="s">
        <v>1691</v>
      </c>
      <c r="C829" s="22"/>
      <c r="D829" s="23"/>
      <c r="E829" s="24" t="s">
        <v>142</v>
      </c>
      <c r="F829" s="28" t="n">
        <f>120</f>
        <v>120.0</v>
      </c>
      <c r="G829" s="25" t="n">
        <f>2300</f>
        <v>2300.0</v>
      </c>
      <c r="H829" s="25"/>
      <c r="I829" s="25" t="n">
        <f>2300</f>
        <v>2300.0</v>
      </c>
      <c r="J829" s="25" t="n">
        <f>19</f>
        <v>19.0</v>
      </c>
      <c r="K829" s="25" t="n">
        <f>19</f>
        <v>19.0</v>
      </c>
      <c r="L829" s="2" t="s">
        <v>108</v>
      </c>
      <c r="M829" s="26" t="n">
        <f>820</f>
        <v>820.0</v>
      </c>
      <c r="N829" s="3" t="s">
        <v>156</v>
      </c>
      <c r="O829" s="27" t="str">
        <f>"－"</f>
        <v>－</v>
      </c>
      <c r="P829" s="29" t="s">
        <v>1698</v>
      </c>
      <c r="Q829" s="25"/>
      <c r="R829" s="29" t="s">
        <v>1698</v>
      </c>
      <c r="S829" s="25" t="n">
        <f>15532475</f>
        <v>1.5532475E7</v>
      </c>
      <c r="T829" s="25" t="n">
        <f>15532475</f>
        <v>1.5532475E7</v>
      </c>
      <c r="U829" s="3" t="s">
        <v>108</v>
      </c>
      <c r="V829" s="27" t="n">
        <f>736032000</f>
        <v>7.36032E8</v>
      </c>
      <c r="W829" s="3" t="s">
        <v>156</v>
      </c>
      <c r="X829" s="27" t="str">
        <f>"－"</f>
        <v>－</v>
      </c>
      <c r="Y829" s="27"/>
      <c r="Z829" s="25" t="str">
        <f>"－"</f>
        <v>－</v>
      </c>
      <c r="AA829" s="25" t="n">
        <f>2270</f>
        <v>2270.0</v>
      </c>
      <c r="AB829" s="2" t="s">
        <v>88</v>
      </c>
      <c r="AC829" s="26" t="n">
        <f>2270</f>
        <v>2270.0</v>
      </c>
      <c r="AD829" s="3" t="s">
        <v>209</v>
      </c>
      <c r="AE829" s="27" t="n">
        <f>10</f>
        <v>10.0</v>
      </c>
    </row>
    <row r="830">
      <c r="A830" s="20" t="s">
        <v>1690</v>
      </c>
      <c r="B830" s="21" t="s">
        <v>1691</v>
      </c>
      <c r="C830" s="22"/>
      <c r="D830" s="23"/>
      <c r="E830" s="24" t="s">
        <v>148</v>
      </c>
      <c r="F830" s="28" t="n">
        <f>124</f>
        <v>124.0</v>
      </c>
      <c r="G830" s="25" t="n">
        <f>1071</f>
        <v>1071.0</v>
      </c>
      <c r="H830" s="25"/>
      <c r="I830" s="25" t="n">
        <f>1050</f>
        <v>1050.0</v>
      </c>
      <c r="J830" s="25" t="n">
        <f>9</f>
        <v>9.0</v>
      </c>
      <c r="K830" s="25" t="n">
        <f>8</f>
        <v>8.0</v>
      </c>
      <c r="L830" s="2" t="s">
        <v>947</v>
      </c>
      <c r="M830" s="26" t="n">
        <f>200</f>
        <v>200.0</v>
      </c>
      <c r="N830" s="3" t="s">
        <v>68</v>
      </c>
      <c r="O830" s="27" t="str">
        <f>"－"</f>
        <v>－</v>
      </c>
      <c r="P830" s="29" t="s">
        <v>1699</v>
      </c>
      <c r="Q830" s="25"/>
      <c r="R830" s="29" t="s">
        <v>1700</v>
      </c>
      <c r="S830" s="25" t="n">
        <f>8114874</f>
        <v>8114874.0</v>
      </c>
      <c r="T830" s="25" t="n">
        <f>7999035</f>
        <v>7999035.0</v>
      </c>
      <c r="U830" s="3" t="s">
        <v>947</v>
      </c>
      <c r="V830" s="27" t="n">
        <f>187416000</f>
        <v>1.87416E8</v>
      </c>
      <c r="W830" s="3" t="s">
        <v>68</v>
      </c>
      <c r="X830" s="27" t="str">
        <f>"－"</f>
        <v>－</v>
      </c>
      <c r="Y830" s="27"/>
      <c r="Z830" s="25" t="str">
        <f>"－"</f>
        <v>－</v>
      </c>
      <c r="AA830" s="25" t="n">
        <f>420</f>
        <v>420.0</v>
      </c>
      <c r="AB830" s="2" t="s">
        <v>68</v>
      </c>
      <c r="AC830" s="26" t="n">
        <f>2270</f>
        <v>2270.0</v>
      </c>
      <c r="AD830" s="3" t="s">
        <v>562</v>
      </c>
      <c r="AE830" s="27" t="n">
        <f>400</f>
        <v>400.0</v>
      </c>
    </row>
    <row r="831">
      <c r="A831" s="20" t="s">
        <v>1690</v>
      </c>
      <c r="B831" s="21" t="s">
        <v>1691</v>
      </c>
      <c r="C831" s="22"/>
      <c r="D831" s="23"/>
      <c r="E831" s="24" t="s">
        <v>151</v>
      </c>
      <c r="F831" s="28" t="n">
        <f>122</f>
        <v>122.0</v>
      </c>
      <c r="G831" s="25" t="n">
        <f>308</f>
        <v>308.0</v>
      </c>
      <c r="H831" s="25"/>
      <c r="I831" s="25" t="n">
        <f>146</f>
        <v>146.0</v>
      </c>
      <c r="J831" s="25" t="n">
        <f>3</f>
        <v>3.0</v>
      </c>
      <c r="K831" s="25" t="n">
        <f>1</f>
        <v>1.0</v>
      </c>
      <c r="L831" s="2" t="s">
        <v>971</v>
      </c>
      <c r="M831" s="26" t="n">
        <f>110</f>
        <v>110.0</v>
      </c>
      <c r="N831" s="3" t="s">
        <v>156</v>
      </c>
      <c r="O831" s="27" t="str">
        <f>"－"</f>
        <v>－</v>
      </c>
      <c r="P831" s="29" t="s">
        <v>1701</v>
      </c>
      <c r="Q831" s="25"/>
      <c r="R831" s="29" t="s">
        <v>1702</v>
      </c>
      <c r="S831" s="25" t="n">
        <f>930084</f>
        <v>930084.0</v>
      </c>
      <c r="T831" s="25" t="n">
        <f>499254</f>
        <v>499254.0</v>
      </c>
      <c r="U831" s="3" t="s">
        <v>971</v>
      </c>
      <c r="V831" s="27" t="n">
        <f>42624000</f>
        <v>4.2624E7</v>
      </c>
      <c r="W831" s="3" t="s">
        <v>156</v>
      </c>
      <c r="X831" s="27" t="str">
        <f>"－"</f>
        <v>－</v>
      </c>
      <c r="Y831" s="27"/>
      <c r="Z831" s="25" t="str">
        <f>"－"</f>
        <v>－</v>
      </c>
      <c r="AA831" s="25" t="n">
        <f>152</f>
        <v>152.0</v>
      </c>
      <c r="AB831" s="2" t="s">
        <v>156</v>
      </c>
      <c r="AC831" s="26" t="n">
        <f>420</f>
        <v>420.0</v>
      </c>
      <c r="AD831" s="3" t="s">
        <v>209</v>
      </c>
      <c r="AE831" s="27" t="n">
        <f>30</f>
        <v>30.0</v>
      </c>
    </row>
    <row r="832">
      <c r="A832" s="20" t="s">
        <v>1690</v>
      </c>
      <c r="B832" s="21" t="s">
        <v>1691</v>
      </c>
      <c r="C832" s="22"/>
      <c r="D832" s="23"/>
      <c r="E832" s="24" t="s">
        <v>157</v>
      </c>
      <c r="F832" s="28" t="n">
        <f>124</f>
        <v>124.0</v>
      </c>
      <c r="G832" s="25" t="n">
        <f>255</f>
        <v>255.0</v>
      </c>
      <c r="H832" s="25"/>
      <c r="I832" s="25" t="n">
        <f>22</f>
        <v>22.0</v>
      </c>
      <c r="J832" s="25" t="n">
        <f>2</f>
        <v>2.0</v>
      </c>
      <c r="K832" s="25" t="n">
        <f>0</f>
        <v>0.0</v>
      </c>
      <c r="L832" s="2" t="s">
        <v>103</v>
      </c>
      <c r="M832" s="26" t="n">
        <f>30</f>
        <v>30.0</v>
      </c>
      <c r="N832" s="3" t="s">
        <v>633</v>
      </c>
      <c r="O832" s="27" t="str">
        <f>"－"</f>
        <v>－</v>
      </c>
      <c r="P832" s="29" t="s">
        <v>1703</v>
      </c>
      <c r="Q832" s="25"/>
      <c r="R832" s="29" t="s">
        <v>1704</v>
      </c>
      <c r="S832" s="25" t="n">
        <f>592710</f>
        <v>592710.0</v>
      </c>
      <c r="T832" s="25" t="n">
        <f>48542</f>
        <v>48542.0</v>
      </c>
      <c r="U832" s="3" t="s">
        <v>216</v>
      </c>
      <c r="V832" s="27" t="n">
        <f>8344800</f>
        <v>8344800.0</v>
      </c>
      <c r="W832" s="3" t="s">
        <v>633</v>
      </c>
      <c r="X832" s="27" t="str">
        <f>"－"</f>
        <v>－</v>
      </c>
      <c r="Y832" s="27"/>
      <c r="Z832" s="25" t="str">
        <f>"－"</f>
        <v>－</v>
      </c>
      <c r="AA832" s="25" t="n">
        <f>138</f>
        <v>138.0</v>
      </c>
      <c r="AB832" s="2" t="s">
        <v>633</v>
      </c>
      <c r="AC832" s="26" t="n">
        <f>152</f>
        <v>152.0</v>
      </c>
      <c r="AD832" s="3" t="s">
        <v>94</v>
      </c>
      <c r="AE832" s="27" t="n">
        <f>59</f>
        <v>59.0</v>
      </c>
    </row>
    <row r="833">
      <c r="A833" s="20" t="s">
        <v>1690</v>
      </c>
      <c r="B833" s="21" t="s">
        <v>1691</v>
      </c>
      <c r="C833" s="22"/>
      <c r="D833" s="23"/>
      <c r="E833" s="24" t="s">
        <v>160</v>
      </c>
      <c r="F833" s="28" t="n">
        <f>58</f>
        <v>58.0</v>
      </c>
      <c r="G833" s="25" t="n">
        <f>134</f>
        <v>134.0</v>
      </c>
      <c r="H833" s="25"/>
      <c r="I833" s="25" t="n">
        <f>30</f>
        <v>30.0</v>
      </c>
      <c r="J833" s="25" t="n">
        <f>2</f>
        <v>2.0</v>
      </c>
      <c r="K833" s="25" t="n">
        <f>1</f>
        <v>1.0</v>
      </c>
      <c r="L833" s="2" t="s">
        <v>1096</v>
      </c>
      <c r="M833" s="26" t="n">
        <f>30</f>
        <v>30.0</v>
      </c>
      <c r="N833" s="3" t="s">
        <v>156</v>
      </c>
      <c r="O833" s="27" t="str">
        <f>"－"</f>
        <v>－</v>
      </c>
      <c r="P833" s="29" t="s">
        <v>1705</v>
      </c>
      <c r="Q833" s="25"/>
      <c r="R833" s="29" t="s">
        <v>1706</v>
      </c>
      <c r="S833" s="25" t="n">
        <f>580111</f>
        <v>580111.0</v>
      </c>
      <c r="T833" s="25" t="n">
        <f>163924</f>
        <v>163924.0</v>
      </c>
      <c r="U833" s="3" t="s">
        <v>1096</v>
      </c>
      <c r="V833" s="27" t="n">
        <f>9507600</f>
        <v>9507600.0</v>
      </c>
      <c r="W833" s="3" t="s">
        <v>156</v>
      </c>
      <c r="X833" s="27" t="str">
        <f>"－"</f>
        <v>－</v>
      </c>
      <c r="Y833" s="27"/>
      <c r="Z833" s="25" t="str">
        <f>"－"</f>
        <v>－</v>
      </c>
      <c r="AA833" s="25" t="n">
        <f>84</f>
        <v>84.0</v>
      </c>
      <c r="AB833" s="2" t="s">
        <v>520</v>
      </c>
      <c r="AC833" s="26" t="n">
        <f>139</f>
        <v>139.0</v>
      </c>
      <c r="AD833" s="3" t="s">
        <v>1027</v>
      </c>
      <c r="AE833" s="27" t="n">
        <f>47</f>
        <v>47.0</v>
      </c>
    </row>
    <row r="834">
      <c r="A834" s="20" t="s">
        <v>1707</v>
      </c>
      <c r="B834" s="21" t="s">
        <v>1708</v>
      </c>
      <c r="C834" s="22"/>
      <c r="D834" s="23"/>
      <c r="E834" s="24" t="s">
        <v>160</v>
      </c>
      <c r="F834" s="28" t="n">
        <f>9</f>
        <v>9.0</v>
      </c>
      <c r="G834" s="25" t="n">
        <f>8</f>
        <v>8.0</v>
      </c>
      <c r="H834" s="25"/>
      <c r="I834" s="25" t="str">
        <f>"－"</f>
        <v>－</v>
      </c>
      <c r="J834" s="25" t="n">
        <f>1</f>
        <v>1.0</v>
      </c>
      <c r="K834" s="25" t="str">
        <f>"－"</f>
        <v>－</v>
      </c>
      <c r="L834" s="2" t="s">
        <v>458</v>
      </c>
      <c r="M834" s="26" t="n">
        <f>4</f>
        <v>4.0</v>
      </c>
      <c r="N834" s="3" t="s">
        <v>378</v>
      </c>
      <c r="O834" s="27" t="str">
        <f>"－"</f>
        <v>－</v>
      </c>
      <c r="P834" s="29" t="s">
        <v>1709</v>
      </c>
      <c r="Q834" s="25"/>
      <c r="R834" s="29" t="s">
        <v>262</v>
      </c>
      <c r="S834" s="25" t="n">
        <f>168373</f>
        <v>168373.0</v>
      </c>
      <c r="T834" s="25" t="str">
        <f>"－"</f>
        <v>－</v>
      </c>
      <c r="U834" s="3" t="s">
        <v>243</v>
      </c>
      <c r="V834" s="27" t="n">
        <f>772800</f>
        <v>772800.0</v>
      </c>
      <c r="W834" s="3" t="s">
        <v>378</v>
      </c>
      <c r="X834" s="27" t="str">
        <f>"－"</f>
        <v>－</v>
      </c>
      <c r="Y834" s="27"/>
      <c r="Z834" s="25" t="str">
        <f>"－"</f>
        <v>－</v>
      </c>
      <c r="AA834" s="25" t="n">
        <f>4</f>
        <v>4.0</v>
      </c>
      <c r="AB834" s="2" t="s">
        <v>243</v>
      </c>
      <c r="AC834" s="26" t="n">
        <f>8</f>
        <v>8.0</v>
      </c>
      <c r="AD834" s="3" t="s">
        <v>458</v>
      </c>
      <c r="AE834" s="27" t="n">
        <f>4</f>
        <v>4.0</v>
      </c>
    </row>
    <row r="835">
      <c r="A835" s="20" t="s">
        <v>1710</v>
      </c>
      <c r="B835" s="21" t="s">
        <v>1711</v>
      </c>
      <c r="C835" s="22"/>
      <c r="D835" s="23"/>
      <c r="E835" s="24" t="s">
        <v>160</v>
      </c>
      <c r="F835" s="28" t="n">
        <f>9</f>
        <v>9.0</v>
      </c>
      <c r="G835" s="25" t="n">
        <f>6</f>
        <v>6.0</v>
      </c>
      <c r="H835" s="25"/>
      <c r="I835" s="25" t="str">
        <f>"－"</f>
        <v>－</v>
      </c>
      <c r="J835" s="25" t="n">
        <f>1</f>
        <v>1.0</v>
      </c>
      <c r="K835" s="25" t="str">
        <f>"－"</f>
        <v>－</v>
      </c>
      <c r="L835" s="2" t="s">
        <v>242</v>
      </c>
      <c r="M835" s="26" t="n">
        <f>4</f>
        <v>4.0</v>
      </c>
      <c r="N835" s="3" t="s">
        <v>378</v>
      </c>
      <c r="O835" s="27" t="str">
        <f>"－"</f>
        <v>－</v>
      </c>
      <c r="P835" s="29" t="s">
        <v>1712</v>
      </c>
      <c r="Q835" s="25"/>
      <c r="R835" s="29" t="s">
        <v>262</v>
      </c>
      <c r="S835" s="25" t="n">
        <f>110171</f>
        <v>110171.0</v>
      </c>
      <c r="T835" s="25" t="str">
        <f>"－"</f>
        <v>－</v>
      </c>
      <c r="U835" s="3" t="s">
        <v>242</v>
      </c>
      <c r="V835" s="27" t="n">
        <f>689136</f>
        <v>689136.0</v>
      </c>
      <c r="W835" s="3" t="s">
        <v>378</v>
      </c>
      <c r="X835" s="27" t="str">
        <f>"－"</f>
        <v>－</v>
      </c>
      <c r="Y835" s="27"/>
      <c r="Z835" s="25" t="str">
        <f>"－"</f>
        <v>－</v>
      </c>
      <c r="AA835" s="25" t="str">
        <f>"－"</f>
        <v>－</v>
      </c>
      <c r="AB835" s="2" t="s">
        <v>242</v>
      </c>
      <c r="AC835" s="26" t="n">
        <f>4</f>
        <v>4.0</v>
      </c>
      <c r="AD835" s="3" t="s">
        <v>458</v>
      </c>
      <c r="AE835" s="27" t="n">
        <f>2</f>
        <v>2.0</v>
      </c>
    </row>
    <row r="836">
      <c r="A836" s="20" t="s">
        <v>1713</v>
      </c>
      <c r="B836" s="21" t="s">
        <v>1714</v>
      </c>
      <c r="C836" s="22"/>
      <c r="D836" s="23"/>
      <c r="E836" s="24" t="s">
        <v>160</v>
      </c>
      <c r="F836" s="28" t="n">
        <f>9</f>
        <v>9.0</v>
      </c>
      <c r="G836" s="25" t="str">
        <f>"－"</f>
        <v>－</v>
      </c>
      <c r="H836" s="25"/>
      <c r="I836" s="25" t="str">
        <f>"－"</f>
        <v>－</v>
      </c>
      <c r="J836" s="25" t="str">
        <f>"－"</f>
        <v>－</v>
      </c>
      <c r="K836" s="25" t="str">
        <f>"－"</f>
        <v>－</v>
      </c>
      <c r="L836" s="2" t="s">
        <v>458</v>
      </c>
      <c r="M836" s="26" t="str">
        <f>"－"</f>
        <v>－</v>
      </c>
      <c r="N836" s="3" t="s">
        <v>458</v>
      </c>
      <c r="O836" s="27" t="str">
        <f>"－"</f>
        <v>－</v>
      </c>
      <c r="P836" s="29" t="s">
        <v>262</v>
      </c>
      <c r="Q836" s="25"/>
      <c r="R836" s="29" t="s">
        <v>262</v>
      </c>
      <c r="S836" s="25" t="str">
        <f>"－"</f>
        <v>－</v>
      </c>
      <c r="T836" s="25" t="str">
        <f>"－"</f>
        <v>－</v>
      </c>
      <c r="U836" s="3" t="s">
        <v>458</v>
      </c>
      <c r="V836" s="27" t="str">
        <f>"－"</f>
        <v>－</v>
      </c>
      <c r="W836" s="3" t="s">
        <v>458</v>
      </c>
      <c r="X836" s="27" t="str">
        <f>"－"</f>
        <v>－</v>
      </c>
      <c r="Y836" s="27"/>
      <c r="Z836" s="25" t="str">
        <f>"－"</f>
        <v>－</v>
      </c>
      <c r="AA836" s="25" t="str">
        <f>"－"</f>
        <v>－</v>
      </c>
      <c r="AB836" s="2" t="s">
        <v>458</v>
      </c>
      <c r="AC836" s="26" t="str">
        <f>"－"</f>
        <v>－</v>
      </c>
      <c r="AD836" s="3" t="s">
        <v>458</v>
      </c>
      <c r="AE836" s="27" t="str">
        <f>"－"</f>
        <v>－</v>
      </c>
    </row>
    <row r="837">
      <c r="A837" s="20" t="s">
        <v>1715</v>
      </c>
      <c r="B837" s="21" t="s">
        <v>1716</v>
      </c>
      <c r="C837" s="22"/>
      <c r="D837" s="23"/>
      <c r="E837" s="24" t="s">
        <v>160</v>
      </c>
      <c r="F837" s="28" t="n">
        <f>9</f>
        <v>9.0</v>
      </c>
      <c r="G837" s="25" t="n">
        <f>6</f>
        <v>6.0</v>
      </c>
      <c r="H837" s="25"/>
      <c r="I837" s="25" t="str">
        <f>"－"</f>
        <v>－</v>
      </c>
      <c r="J837" s="25" t="n">
        <f>1</f>
        <v>1.0</v>
      </c>
      <c r="K837" s="25" t="str">
        <f>"－"</f>
        <v>－</v>
      </c>
      <c r="L837" s="2" t="s">
        <v>242</v>
      </c>
      <c r="M837" s="26" t="n">
        <f>6</f>
        <v>6.0</v>
      </c>
      <c r="N837" s="3" t="s">
        <v>458</v>
      </c>
      <c r="O837" s="27" t="str">
        <f>"－"</f>
        <v>－</v>
      </c>
      <c r="P837" s="29" t="s">
        <v>1717</v>
      </c>
      <c r="Q837" s="25"/>
      <c r="R837" s="29" t="s">
        <v>262</v>
      </c>
      <c r="S837" s="25" t="n">
        <f>38667</f>
        <v>38667.0</v>
      </c>
      <c r="T837" s="25" t="str">
        <f>"－"</f>
        <v>－</v>
      </c>
      <c r="U837" s="3" t="s">
        <v>242</v>
      </c>
      <c r="V837" s="27" t="n">
        <f>348000</f>
        <v>348000.0</v>
      </c>
      <c r="W837" s="3" t="s">
        <v>458</v>
      </c>
      <c r="X837" s="27" t="str">
        <f>"－"</f>
        <v>－</v>
      </c>
      <c r="Y837" s="27"/>
      <c r="Z837" s="25" t="str">
        <f>"－"</f>
        <v>－</v>
      </c>
      <c r="AA837" s="25" t="str">
        <f>"－"</f>
        <v>－</v>
      </c>
      <c r="AB837" s="2" t="s">
        <v>242</v>
      </c>
      <c r="AC837" s="26" t="n">
        <f>2</f>
        <v>2.0</v>
      </c>
      <c r="AD837" s="3" t="s">
        <v>458</v>
      </c>
      <c r="AE837" s="27" t="str">
        <f>"－"</f>
        <v>－</v>
      </c>
    </row>
    <row r="838">
      <c r="A838" s="20" t="s">
        <v>1718</v>
      </c>
      <c r="B838" s="21" t="s">
        <v>1719</v>
      </c>
      <c r="C838" s="22"/>
      <c r="D838" s="23"/>
      <c r="E838" s="24" t="s">
        <v>142</v>
      </c>
      <c r="F838" s="28" t="n">
        <f>60</f>
        <v>60.0</v>
      </c>
      <c r="G838" s="25" t="n">
        <f>3</f>
        <v>3.0</v>
      </c>
      <c r="H838" s="25"/>
      <c r="I838" s="25" t="n">
        <f>1</f>
        <v>1.0</v>
      </c>
      <c r="J838" s="25" t="n">
        <f>0</f>
        <v>0.0</v>
      </c>
      <c r="K838" s="25" t="n">
        <f>0</f>
        <v>0.0</v>
      </c>
      <c r="L838" s="2" t="s">
        <v>533</v>
      </c>
      <c r="M838" s="26" t="n">
        <f>1</f>
        <v>1.0</v>
      </c>
      <c r="N838" s="3" t="s">
        <v>493</v>
      </c>
      <c r="O838" s="27" t="str">
        <f>"－"</f>
        <v>－</v>
      </c>
      <c r="P838" s="29" t="s">
        <v>1720</v>
      </c>
      <c r="Q838" s="25"/>
      <c r="R838" s="29" t="s">
        <v>1721</v>
      </c>
      <c r="S838" s="25" t="n">
        <f>198333</f>
        <v>198333.0</v>
      </c>
      <c r="T838" s="25" t="n">
        <f>59167</f>
        <v>59167.0</v>
      </c>
      <c r="U838" s="3" t="s">
        <v>533</v>
      </c>
      <c r="V838" s="27" t="n">
        <f>4200000</f>
        <v>4200000.0</v>
      </c>
      <c r="W838" s="3" t="s">
        <v>493</v>
      </c>
      <c r="X838" s="27" t="str">
        <f>"－"</f>
        <v>－</v>
      </c>
      <c r="Y838" s="27"/>
      <c r="Z838" s="25" t="str">
        <f>"－"</f>
        <v>－</v>
      </c>
      <c r="AA838" s="25" t="str">
        <f>"－"</f>
        <v>－</v>
      </c>
      <c r="AB838" s="2" t="s">
        <v>533</v>
      </c>
      <c r="AC838" s="26" t="n">
        <f>1</f>
        <v>1.0</v>
      </c>
      <c r="AD838" s="3" t="s">
        <v>566</v>
      </c>
      <c r="AE838" s="27" t="str">
        <f>"－"</f>
        <v>－</v>
      </c>
    </row>
    <row r="839">
      <c r="A839" s="20" t="s">
        <v>1718</v>
      </c>
      <c r="B839" s="21" t="s">
        <v>1719</v>
      </c>
      <c r="C839" s="22"/>
      <c r="D839" s="23"/>
      <c r="E839" s="24" t="s">
        <v>148</v>
      </c>
      <c r="F839" s="28" t="n">
        <f>124</f>
        <v>124.0</v>
      </c>
      <c r="G839" s="25" t="n">
        <f>1</f>
        <v>1.0</v>
      </c>
      <c r="H839" s="25"/>
      <c r="I839" s="25" t="str">
        <f>"－"</f>
        <v>－</v>
      </c>
      <c r="J839" s="25" t="n">
        <f>0</f>
        <v>0.0</v>
      </c>
      <c r="K839" s="25" t="str">
        <f>"－"</f>
        <v>－</v>
      </c>
      <c r="L839" s="2" t="s">
        <v>858</v>
      </c>
      <c r="M839" s="26" t="n">
        <f>1</f>
        <v>1.0</v>
      </c>
      <c r="N839" s="3" t="s">
        <v>68</v>
      </c>
      <c r="O839" s="27" t="str">
        <f>"－"</f>
        <v>－</v>
      </c>
      <c r="P839" s="29" t="s">
        <v>1722</v>
      </c>
      <c r="Q839" s="25"/>
      <c r="R839" s="29" t="s">
        <v>262</v>
      </c>
      <c r="S839" s="25" t="n">
        <f>50806</f>
        <v>50806.0</v>
      </c>
      <c r="T839" s="25" t="str">
        <f>"－"</f>
        <v>－</v>
      </c>
      <c r="U839" s="3" t="s">
        <v>858</v>
      </c>
      <c r="V839" s="27" t="n">
        <f>6300000</f>
        <v>6300000.0</v>
      </c>
      <c r="W839" s="3" t="s">
        <v>68</v>
      </c>
      <c r="X839" s="27" t="str">
        <f>"－"</f>
        <v>－</v>
      </c>
      <c r="Y839" s="27"/>
      <c r="Z839" s="25" t="str">
        <f>"－"</f>
        <v>－</v>
      </c>
      <c r="AA839" s="25" t="str">
        <f>"－"</f>
        <v>－</v>
      </c>
      <c r="AB839" s="2" t="s">
        <v>858</v>
      </c>
      <c r="AC839" s="26" t="n">
        <f>1</f>
        <v>1.0</v>
      </c>
      <c r="AD839" s="3" t="s">
        <v>68</v>
      </c>
      <c r="AE839" s="27" t="str">
        <f>"－"</f>
        <v>－</v>
      </c>
    </row>
    <row r="840">
      <c r="A840" s="20" t="s">
        <v>1718</v>
      </c>
      <c r="B840" s="21" t="s">
        <v>1719</v>
      </c>
      <c r="C840" s="22"/>
      <c r="D840" s="23"/>
      <c r="E840" s="24" t="s">
        <v>151</v>
      </c>
      <c r="F840" s="28" t="n">
        <f>122</f>
        <v>122.0</v>
      </c>
      <c r="G840" s="25" t="str">
        <f>"－"</f>
        <v>－</v>
      </c>
      <c r="H840" s="25"/>
      <c r="I840" s="25" t="str">
        <f>"－"</f>
        <v>－</v>
      </c>
      <c r="J840" s="25" t="str">
        <f>"－"</f>
        <v>－</v>
      </c>
      <c r="K840" s="25" t="str">
        <f>"－"</f>
        <v>－</v>
      </c>
      <c r="L840" s="2" t="s">
        <v>156</v>
      </c>
      <c r="M840" s="26" t="str">
        <f>"－"</f>
        <v>－</v>
      </c>
      <c r="N840" s="3" t="s">
        <v>156</v>
      </c>
      <c r="O840" s="27" t="str">
        <f>"－"</f>
        <v>－</v>
      </c>
      <c r="P840" s="29" t="s">
        <v>262</v>
      </c>
      <c r="Q840" s="25"/>
      <c r="R840" s="29" t="s">
        <v>262</v>
      </c>
      <c r="S840" s="25" t="str">
        <f>"－"</f>
        <v>－</v>
      </c>
      <c r="T840" s="25" t="str">
        <f>"－"</f>
        <v>－</v>
      </c>
      <c r="U840" s="3" t="s">
        <v>156</v>
      </c>
      <c r="V840" s="27" t="str">
        <f>"－"</f>
        <v>－</v>
      </c>
      <c r="W840" s="3" t="s">
        <v>156</v>
      </c>
      <c r="X840" s="27" t="str">
        <f>"－"</f>
        <v>－</v>
      </c>
      <c r="Y840" s="27"/>
      <c r="Z840" s="25" t="str">
        <f>"－"</f>
        <v>－</v>
      </c>
      <c r="AA840" s="25" t="str">
        <f>"－"</f>
        <v>－</v>
      </c>
      <c r="AB840" s="2" t="s">
        <v>156</v>
      </c>
      <c r="AC840" s="26" t="str">
        <f>"－"</f>
        <v>－</v>
      </c>
      <c r="AD840" s="3" t="s">
        <v>156</v>
      </c>
      <c r="AE840" s="27" t="str">
        <f>"－"</f>
        <v>－</v>
      </c>
    </row>
    <row r="841">
      <c r="A841" s="20" t="s">
        <v>1718</v>
      </c>
      <c r="B841" s="21" t="s">
        <v>1719</v>
      </c>
      <c r="C841" s="22"/>
      <c r="D841" s="23"/>
      <c r="E841" s="24" t="s">
        <v>157</v>
      </c>
      <c r="F841" s="28" t="n">
        <f>124</f>
        <v>124.0</v>
      </c>
      <c r="G841" s="25" t="str">
        <f>"－"</f>
        <v>－</v>
      </c>
      <c r="H841" s="25"/>
      <c r="I841" s="25" t="str">
        <f>"－"</f>
        <v>－</v>
      </c>
      <c r="J841" s="25" t="str">
        <f>"－"</f>
        <v>－</v>
      </c>
      <c r="K841" s="25" t="str">
        <f>"－"</f>
        <v>－</v>
      </c>
      <c r="L841" s="2" t="s">
        <v>633</v>
      </c>
      <c r="M841" s="26" t="str">
        <f>"－"</f>
        <v>－</v>
      </c>
      <c r="N841" s="3" t="s">
        <v>633</v>
      </c>
      <c r="O841" s="27" t="str">
        <f>"－"</f>
        <v>－</v>
      </c>
      <c r="P841" s="29" t="s">
        <v>262</v>
      </c>
      <c r="Q841" s="25"/>
      <c r="R841" s="29" t="s">
        <v>262</v>
      </c>
      <c r="S841" s="25" t="str">
        <f>"－"</f>
        <v>－</v>
      </c>
      <c r="T841" s="25" t="str">
        <f>"－"</f>
        <v>－</v>
      </c>
      <c r="U841" s="3" t="s">
        <v>633</v>
      </c>
      <c r="V841" s="27" t="str">
        <f>"－"</f>
        <v>－</v>
      </c>
      <c r="W841" s="3" t="s">
        <v>633</v>
      </c>
      <c r="X841" s="27" t="str">
        <f>"－"</f>
        <v>－</v>
      </c>
      <c r="Y841" s="27"/>
      <c r="Z841" s="25" t="str">
        <f>"－"</f>
        <v>－</v>
      </c>
      <c r="AA841" s="25" t="str">
        <f>"－"</f>
        <v>－</v>
      </c>
      <c r="AB841" s="2" t="s">
        <v>633</v>
      </c>
      <c r="AC841" s="26" t="str">
        <f>"－"</f>
        <v>－</v>
      </c>
      <c r="AD841" s="3" t="s">
        <v>633</v>
      </c>
      <c r="AE841" s="27" t="str">
        <f>"－"</f>
        <v>－</v>
      </c>
    </row>
    <row r="842">
      <c r="A842" s="20" t="s">
        <v>1718</v>
      </c>
      <c r="B842" s="21" t="s">
        <v>1719</v>
      </c>
      <c r="C842" s="22"/>
      <c r="D842" s="23"/>
      <c r="E842" s="24" t="s">
        <v>160</v>
      </c>
      <c r="F842" s="28" t="n">
        <f>58</f>
        <v>58.0</v>
      </c>
      <c r="G842" s="25" t="str">
        <f>"－"</f>
        <v>－</v>
      </c>
      <c r="H842" s="25"/>
      <c r="I842" s="25" t="str">
        <f>"－"</f>
        <v>－</v>
      </c>
      <c r="J842" s="25" t="str">
        <f>"－"</f>
        <v>－</v>
      </c>
      <c r="K842" s="25" t="str">
        <f>"－"</f>
        <v>－</v>
      </c>
      <c r="L842" s="2" t="s">
        <v>156</v>
      </c>
      <c r="M842" s="26" t="str">
        <f>"－"</f>
        <v>－</v>
      </c>
      <c r="N842" s="3" t="s">
        <v>156</v>
      </c>
      <c r="O842" s="27" t="str">
        <f>"－"</f>
        <v>－</v>
      </c>
      <c r="P842" s="29" t="s">
        <v>262</v>
      </c>
      <c r="Q842" s="25"/>
      <c r="R842" s="29" t="s">
        <v>262</v>
      </c>
      <c r="S842" s="25" t="str">
        <f>"－"</f>
        <v>－</v>
      </c>
      <c r="T842" s="25" t="str">
        <f>"－"</f>
        <v>－</v>
      </c>
      <c r="U842" s="3" t="s">
        <v>156</v>
      </c>
      <c r="V842" s="27" t="str">
        <f>"－"</f>
        <v>－</v>
      </c>
      <c r="W842" s="3" t="s">
        <v>156</v>
      </c>
      <c r="X842" s="27" t="str">
        <f>"－"</f>
        <v>－</v>
      </c>
      <c r="Y842" s="27"/>
      <c r="Z842" s="25" t="str">
        <f>"－"</f>
        <v>－</v>
      </c>
      <c r="AA842" s="25" t="str">
        <f>"－"</f>
        <v>－</v>
      </c>
      <c r="AB842" s="2" t="s">
        <v>156</v>
      </c>
      <c r="AC842" s="26" t="str">
        <f>"－"</f>
        <v>－</v>
      </c>
      <c r="AD842" s="3" t="s">
        <v>156</v>
      </c>
      <c r="AE842" s="27" t="str">
        <f>"－"</f>
        <v>－</v>
      </c>
    </row>
    <row r="843">
      <c r="A843" s="20" t="s">
        <v>1723</v>
      </c>
      <c r="B843" s="21" t="s">
        <v>1724</v>
      </c>
      <c r="C843" s="22"/>
      <c r="D843" s="23"/>
      <c r="E843" s="24" t="s">
        <v>124</v>
      </c>
      <c r="F843" s="28" t="n">
        <f>108</f>
        <v>108.0</v>
      </c>
      <c r="G843" s="25" t="n">
        <f>4362</f>
        <v>4362.0</v>
      </c>
      <c r="H843" s="25"/>
      <c r="I843" s="25" t="n">
        <f>768</f>
        <v>768.0</v>
      </c>
      <c r="J843" s="25" t="n">
        <f>40</f>
        <v>40.0</v>
      </c>
      <c r="K843" s="25" t="n">
        <f>7</f>
        <v>7.0</v>
      </c>
      <c r="L843" s="2" t="s">
        <v>663</v>
      </c>
      <c r="M843" s="26" t="n">
        <f>761</f>
        <v>761.0</v>
      </c>
      <c r="N843" s="3" t="s">
        <v>198</v>
      </c>
      <c r="O843" s="27" t="str">
        <f>"－"</f>
        <v>－</v>
      </c>
      <c r="P843" s="29" t="s">
        <v>1725</v>
      </c>
      <c r="Q843" s="25"/>
      <c r="R843" s="29" t="s">
        <v>1726</v>
      </c>
      <c r="S843" s="25" t="n">
        <f>17168946</f>
        <v>1.7168946E7</v>
      </c>
      <c r="T843" s="25" t="n">
        <f>3020509</f>
        <v>3020509.0</v>
      </c>
      <c r="U843" s="3" t="s">
        <v>663</v>
      </c>
      <c r="V843" s="27" t="n">
        <f>323400000</f>
        <v>3.234E8</v>
      </c>
      <c r="W843" s="3" t="s">
        <v>198</v>
      </c>
      <c r="X843" s="27" t="str">
        <f>"－"</f>
        <v>－</v>
      </c>
      <c r="Y843" s="27"/>
      <c r="Z843" s="25" t="str">
        <f>"－"</f>
        <v>－</v>
      </c>
      <c r="AA843" s="25" t="n">
        <f>307</f>
        <v>307.0</v>
      </c>
      <c r="AB843" s="2" t="s">
        <v>63</v>
      </c>
      <c r="AC843" s="26" t="n">
        <f>1594</f>
        <v>1594.0</v>
      </c>
      <c r="AD843" s="3" t="s">
        <v>64</v>
      </c>
      <c r="AE843" s="27" t="n">
        <f>307</f>
        <v>307.0</v>
      </c>
    </row>
    <row r="844">
      <c r="A844" s="20" t="s">
        <v>1723</v>
      </c>
      <c r="B844" s="21" t="s">
        <v>1724</v>
      </c>
      <c r="C844" s="22"/>
      <c r="D844" s="23"/>
      <c r="E844" s="24" t="s">
        <v>130</v>
      </c>
      <c r="F844" s="28" t="n">
        <f>121</f>
        <v>121.0</v>
      </c>
      <c r="G844" s="25" t="n">
        <f>3543</f>
        <v>3543.0</v>
      </c>
      <c r="H844" s="25"/>
      <c r="I844" s="25" t="n">
        <f>1034</f>
        <v>1034.0</v>
      </c>
      <c r="J844" s="25" t="n">
        <f>29</f>
        <v>29.0</v>
      </c>
      <c r="K844" s="25" t="n">
        <f>9</f>
        <v>9.0</v>
      </c>
      <c r="L844" s="2" t="s">
        <v>226</v>
      </c>
      <c r="M844" s="26" t="n">
        <f>207</f>
        <v>207.0</v>
      </c>
      <c r="N844" s="3" t="s">
        <v>147</v>
      </c>
      <c r="O844" s="27" t="str">
        <f>"－"</f>
        <v>－</v>
      </c>
      <c r="P844" s="29" t="s">
        <v>1727</v>
      </c>
      <c r="Q844" s="25"/>
      <c r="R844" s="29" t="s">
        <v>1728</v>
      </c>
      <c r="S844" s="25" t="n">
        <f>17043919</f>
        <v>1.7043919E7</v>
      </c>
      <c r="T844" s="25" t="n">
        <f>4954737</f>
        <v>4954737.0</v>
      </c>
      <c r="U844" s="3" t="s">
        <v>559</v>
      </c>
      <c r="V844" s="27" t="n">
        <f>116265500</f>
        <v>1.162655E8</v>
      </c>
      <c r="W844" s="3" t="s">
        <v>147</v>
      </c>
      <c r="X844" s="27" t="str">
        <f>"－"</f>
        <v>－</v>
      </c>
      <c r="Y844" s="27"/>
      <c r="Z844" s="25" t="str">
        <f>"－"</f>
        <v>－</v>
      </c>
      <c r="AA844" s="25" t="n">
        <f>10</f>
        <v>10.0</v>
      </c>
      <c r="AB844" s="2" t="s">
        <v>559</v>
      </c>
      <c r="AC844" s="26" t="n">
        <f>559</f>
        <v>559.0</v>
      </c>
      <c r="AD844" s="3" t="s">
        <v>131</v>
      </c>
      <c r="AE844" s="27" t="n">
        <f>10</f>
        <v>10.0</v>
      </c>
    </row>
    <row r="845">
      <c r="A845" s="20" t="s">
        <v>1723</v>
      </c>
      <c r="B845" s="21" t="s">
        <v>1724</v>
      </c>
      <c r="C845" s="22"/>
      <c r="D845" s="23"/>
      <c r="E845" s="24" t="s">
        <v>136</v>
      </c>
      <c r="F845" s="28" t="n">
        <f>124</f>
        <v>124.0</v>
      </c>
      <c r="G845" s="25" t="n">
        <f>2906</f>
        <v>2906.0</v>
      </c>
      <c r="H845" s="25"/>
      <c r="I845" s="25" t="n">
        <f>1113</f>
        <v>1113.0</v>
      </c>
      <c r="J845" s="25" t="n">
        <f>23</f>
        <v>23.0</v>
      </c>
      <c r="K845" s="25" t="n">
        <f>9</f>
        <v>9.0</v>
      </c>
      <c r="L845" s="2" t="s">
        <v>987</v>
      </c>
      <c r="M845" s="26" t="n">
        <f>284</f>
        <v>284.0</v>
      </c>
      <c r="N845" s="3" t="s">
        <v>68</v>
      </c>
      <c r="O845" s="27" t="str">
        <f>"－"</f>
        <v>－</v>
      </c>
      <c r="P845" s="29" t="s">
        <v>1729</v>
      </c>
      <c r="Q845" s="25"/>
      <c r="R845" s="29" t="s">
        <v>1730</v>
      </c>
      <c r="S845" s="25" t="n">
        <f>16056869</f>
        <v>1.6056869E7</v>
      </c>
      <c r="T845" s="25" t="n">
        <f>6280927</f>
        <v>6280927.0</v>
      </c>
      <c r="U845" s="3" t="s">
        <v>987</v>
      </c>
      <c r="V845" s="27" t="n">
        <f>181909200</f>
        <v>1.819092E8</v>
      </c>
      <c r="W845" s="3" t="s">
        <v>68</v>
      </c>
      <c r="X845" s="27" t="str">
        <f>"－"</f>
        <v>－</v>
      </c>
      <c r="Y845" s="27"/>
      <c r="Z845" s="25" t="str">
        <f>"－"</f>
        <v>－</v>
      </c>
      <c r="AA845" s="25" t="n">
        <f>130</f>
        <v>130.0</v>
      </c>
      <c r="AB845" s="2" t="s">
        <v>987</v>
      </c>
      <c r="AC845" s="26" t="n">
        <f>480</f>
        <v>480.0</v>
      </c>
      <c r="AD845" s="3" t="s">
        <v>68</v>
      </c>
      <c r="AE845" s="27" t="n">
        <f>10</f>
        <v>10.0</v>
      </c>
    </row>
    <row r="846">
      <c r="A846" s="20" t="s">
        <v>1723</v>
      </c>
      <c r="B846" s="21" t="s">
        <v>1724</v>
      </c>
      <c r="C846" s="22"/>
      <c r="D846" s="23"/>
      <c r="E846" s="24" t="s">
        <v>142</v>
      </c>
      <c r="F846" s="28" t="n">
        <f>120</f>
        <v>120.0</v>
      </c>
      <c r="G846" s="25" t="n">
        <f>1130</f>
        <v>1130.0</v>
      </c>
      <c r="H846" s="25"/>
      <c r="I846" s="25" t="n">
        <f>296</f>
        <v>296.0</v>
      </c>
      <c r="J846" s="25" t="n">
        <f>9</f>
        <v>9.0</v>
      </c>
      <c r="K846" s="25" t="n">
        <f>2</f>
        <v>2.0</v>
      </c>
      <c r="L846" s="2" t="s">
        <v>765</v>
      </c>
      <c r="M846" s="26" t="n">
        <f>139</f>
        <v>139.0</v>
      </c>
      <c r="N846" s="3" t="s">
        <v>156</v>
      </c>
      <c r="O846" s="27" t="str">
        <f>"－"</f>
        <v>－</v>
      </c>
      <c r="P846" s="29" t="s">
        <v>1731</v>
      </c>
      <c r="Q846" s="25"/>
      <c r="R846" s="29" t="s">
        <v>1732</v>
      </c>
      <c r="S846" s="25" t="n">
        <f>7412041</f>
        <v>7412041.0</v>
      </c>
      <c r="T846" s="25" t="n">
        <f>1963842</f>
        <v>1963842.0</v>
      </c>
      <c r="U846" s="3" t="s">
        <v>765</v>
      </c>
      <c r="V846" s="27" t="n">
        <f>113211400</f>
        <v>1.132114E8</v>
      </c>
      <c r="W846" s="3" t="s">
        <v>156</v>
      </c>
      <c r="X846" s="27" t="str">
        <f>"－"</f>
        <v>－</v>
      </c>
      <c r="Y846" s="27"/>
      <c r="Z846" s="25" t="str">
        <f>"－"</f>
        <v>－</v>
      </c>
      <c r="AA846" s="25" t="n">
        <f>5</f>
        <v>5.0</v>
      </c>
      <c r="AB846" s="2" t="s">
        <v>226</v>
      </c>
      <c r="AC846" s="26" t="n">
        <f>328</f>
        <v>328.0</v>
      </c>
      <c r="AD846" s="3" t="s">
        <v>177</v>
      </c>
      <c r="AE846" s="27" t="n">
        <f>4</f>
        <v>4.0</v>
      </c>
    </row>
    <row r="847">
      <c r="A847" s="20" t="s">
        <v>1723</v>
      </c>
      <c r="B847" s="21" t="s">
        <v>1724</v>
      </c>
      <c r="C847" s="22"/>
      <c r="D847" s="23"/>
      <c r="E847" s="24" t="s">
        <v>148</v>
      </c>
      <c r="F847" s="28" t="n">
        <f>124</f>
        <v>124.0</v>
      </c>
      <c r="G847" s="25" t="n">
        <f>720</f>
        <v>720.0</v>
      </c>
      <c r="H847" s="25"/>
      <c r="I847" s="25" t="n">
        <f>258</f>
        <v>258.0</v>
      </c>
      <c r="J847" s="25" t="n">
        <f>6</f>
        <v>6.0</v>
      </c>
      <c r="K847" s="25" t="n">
        <f>2</f>
        <v>2.0</v>
      </c>
      <c r="L847" s="2" t="s">
        <v>63</v>
      </c>
      <c r="M847" s="26" t="n">
        <f>90</f>
        <v>90.0</v>
      </c>
      <c r="N847" s="3" t="s">
        <v>68</v>
      </c>
      <c r="O847" s="27" t="str">
        <f>"－"</f>
        <v>－</v>
      </c>
      <c r="P847" s="29" t="s">
        <v>1733</v>
      </c>
      <c r="Q847" s="25"/>
      <c r="R847" s="29" t="s">
        <v>1734</v>
      </c>
      <c r="S847" s="25" t="n">
        <f>4320518</f>
        <v>4320518.0</v>
      </c>
      <c r="T847" s="25" t="n">
        <f>1547631</f>
        <v>1547631.0</v>
      </c>
      <c r="U847" s="3" t="s">
        <v>63</v>
      </c>
      <c r="V847" s="27" t="n">
        <f>70351000</f>
        <v>7.0351E7</v>
      </c>
      <c r="W847" s="3" t="s">
        <v>68</v>
      </c>
      <c r="X847" s="27" t="str">
        <f>"－"</f>
        <v>－</v>
      </c>
      <c r="Y847" s="27"/>
      <c r="Z847" s="25" t="str">
        <f>"－"</f>
        <v>－</v>
      </c>
      <c r="AA847" s="25" t="str">
        <f>"－"</f>
        <v>－</v>
      </c>
      <c r="AB847" s="2" t="s">
        <v>1015</v>
      </c>
      <c r="AC847" s="26" t="n">
        <f>215</f>
        <v>215.0</v>
      </c>
      <c r="AD847" s="3" t="s">
        <v>1067</v>
      </c>
      <c r="AE847" s="27" t="str">
        <f>"－"</f>
        <v>－</v>
      </c>
    </row>
    <row r="848">
      <c r="A848" s="20" t="s">
        <v>1723</v>
      </c>
      <c r="B848" s="21" t="s">
        <v>1724</v>
      </c>
      <c r="C848" s="22"/>
      <c r="D848" s="23"/>
      <c r="E848" s="24" t="s">
        <v>151</v>
      </c>
      <c r="F848" s="28" t="n">
        <f>122</f>
        <v>122.0</v>
      </c>
      <c r="G848" s="25" t="n">
        <f>830</f>
        <v>830.0</v>
      </c>
      <c r="H848" s="25"/>
      <c r="I848" s="25" t="n">
        <f>391</f>
        <v>391.0</v>
      </c>
      <c r="J848" s="25" t="n">
        <f>7</f>
        <v>7.0</v>
      </c>
      <c r="K848" s="25" t="n">
        <f>3</f>
        <v>3.0</v>
      </c>
      <c r="L848" s="2" t="s">
        <v>248</v>
      </c>
      <c r="M848" s="26" t="n">
        <f>174</f>
        <v>174.0</v>
      </c>
      <c r="N848" s="3" t="s">
        <v>156</v>
      </c>
      <c r="O848" s="27" t="str">
        <f>"－"</f>
        <v>－</v>
      </c>
      <c r="P848" s="29" t="s">
        <v>1735</v>
      </c>
      <c r="Q848" s="25"/>
      <c r="R848" s="29" t="s">
        <v>1736</v>
      </c>
      <c r="S848" s="25" t="n">
        <f>5061861</f>
        <v>5061861.0</v>
      </c>
      <c r="T848" s="25" t="n">
        <f>2337499</f>
        <v>2337499.0</v>
      </c>
      <c r="U848" s="3" t="s">
        <v>248</v>
      </c>
      <c r="V848" s="27" t="n">
        <f>136105500</f>
        <v>1.361055E8</v>
      </c>
      <c r="W848" s="3" t="s">
        <v>156</v>
      </c>
      <c r="X848" s="27" t="str">
        <f>"－"</f>
        <v>－</v>
      </c>
      <c r="Y848" s="27"/>
      <c r="Z848" s="25" t="str">
        <f>"－"</f>
        <v>－</v>
      </c>
      <c r="AA848" s="25" t="str">
        <f>"－"</f>
        <v>－</v>
      </c>
      <c r="AB848" s="2" t="s">
        <v>248</v>
      </c>
      <c r="AC848" s="26" t="n">
        <f>238</f>
        <v>238.0</v>
      </c>
      <c r="AD848" s="3" t="s">
        <v>156</v>
      </c>
      <c r="AE848" s="27" t="str">
        <f>"－"</f>
        <v>－</v>
      </c>
    </row>
    <row r="849">
      <c r="A849" s="20" t="s">
        <v>1723</v>
      </c>
      <c r="B849" s="21" t="s">
        <v>1724</v>
      </c>
      <c r="C849" s="22"/>
      <c r="D849" s="23"/>
      <c r="E849" s="24" t="s">
        <v>157</v>
      </c>
      <c r="F849" s="28" t="n">
        <f>124</f>
        <v>124.0</v>
      </c>
      <c r="G849" s="25" t="n">
        <f>785</f>
        <v>785.0</v>
      </c>
      <c r="H849" s="25"/>
      <c r="I849" s="25" t="n">
        <f>450</f>
        <v>450.0</v>
      </c>
      <c r="J849" s="25" t="n">
        <f>6</f>
        <v>6.0</v>
      </c>
      <c r="K849" s="25" t="n">
        <f>4</f>
        <v>4.0</v>
      </c>
      <c r="L849" s="2" t="s">
        <v>532</v>
      </c>
      <c r="M849" s="26" t="n">
        <f>122</f>
        <v>122.0</v>
      </c>
      <c r="N849" s="3" t="s">
        <v>633</v>
      </c>
      <c r="O849" s="27" t="str">
        <f>"－"</f>
        <v>－</v>
      </c>
      <c r="P849" s="29" t="s">
        <v>1737</v>
      </c>
      <c r="Q849" s="25"/>
      <c r="R849" s="29" t="s">
        <v>1738</v>
      </c>
      <c r="S849" s="25" t="n">
        <f>5184526</f>
        <v>5184526.0</v>
      </c>
      <c r="T849" s="25" t="n">
        <f>2917247</f>
        <v>2917247.0</v>
      </c>
      <c r="U849" s="3" t="s">
        <v>532</v>
      </c>
      <c r="V849" s="27" t="n">
        <f>94728100</f>
        <v>9.47281E7</v>
      </c>
      <c r="W849" s="3" t="s">
        <v>633</v>
      </c>
      <c r="X849" s="27" t="str">
        <f>"－"</f>
        <v>－</v>
      </c>
      <c r="Y849" s="27"/>
      <c r="Z849" s="25" t="str">
        <f>"－"</f>
        <v>－</v>
      </c>
      <c r="AA849" s="25" t="str">
        <f>"－"</f>
        <v>－</v>
      </c>
      <c r="AB849" s="2" t="s">
        <v>63</v>
      </c>
      <c r="AC849" s="26" t="n">
        <f>159</f>
        <v>159.0</v>
      </c>
      <c r="AD849" s="3" t="s">
        <v>633</v>
      </c>
      <c r="AE849" s="27" t="str">
        <f>"－"</f>
        <v>－</v>
      </c>
    </row>
    <row r="850">
      <c r="A850" s="20" t="s">
        <v>1723</v>
      </c>
      <c r="B850" s="21" t="s">
        <v>1724</v>
      </c>
      <c r="C850" s="22"/>
      <c r="D850" s="23"/>
      <c r="E850" s="24" t="s">
        <v>160</v>
      </c>
      <c r="F850" s="28" t="n">
        <f>58</f>
        <v>58.0</v>
      </c>
      <c r="G850" s="25" t="n">
        <f>316</f>
        <v>316.0</v>
      </c>
      <c r="H850" s="25"/>
      <c r="I850" s="25" t="n">
        <f>201</f>
        <v>201.0</v>
      </c>
      <c r="J850" s="25" t="n">
        <f>5</f>
        <v>5.0</v>
      </c>
      <c r="K850" s="25" t="n">
        <f>3</f>
        <v>3.0</v>
      </c>
      <c r="L850" s="2" t="s">
        <v>765</v>
      </c>
      <c r="M850" s="26" t="n">
        <f>113</f>
        <v>113.0</v>
      </c>
      <c r="N850" s="3" t="s">
        <v>156</v>
      </c>
      <c r="O850" s="27" t="str">
        <f>"－"</f>
        <v>－</v>
      </c>
      <c r="P850" s="29" t="s">
        <v>1739</v>
      </c>
      <c r="Q850" s="25"/>
      <c r="R850" s="29" t="s">
        <v>1740</v>
      </c>
      <c r="S850" s="25" t="n">
        <f>4272081</f>
        <v>4272081.0</v>
      </c>
      <c r="T850" s="25" t="n">
        <f>2708784</f>
        <v>2708784.0</v>
      </c>
      <c r="U850" s="3" t="s">
        <v>765</v>
      </c>
      <c r="V850" s="27" t="n">
        <f>90609000</f>
        <v>9.0609E7</v>
      </c>
      <c r="W850" s="3" t="s">
        <v>156</v>
      </c>
      <c r="X850" s="27" t="str">
        <f>"－"</f>
        <v>－</v>
      </c>
      <c r="Y850" s="27"/>
      <c r="Z850" s="25" t="str">
        <f>"－"</f>
        <v>－</v>
      </c>
      <c r="AA850" s="25" t="str">
        <f>"－"</f>
        <v>－</v>
      </c>
      <c r="AB850" s="2" t="s">
        <v>765</v>
      </c>
      <c r="AC850" s="26" t="n">
        <f>102</f>
        <v>102.0</v>
      </c>
      <c r="AD850" s="3" t="s">
        <v>156</v>
      </c>
      <c r="AE850" s="27" t="str">
        <f>"－"</f>
        <v>－</v>
      </c>
    </row>
    <row r="851">
      <c r="A851" s="20" t="s">
        <v>1741</v>
      </c>
      <c r="B851" s="21" t="s">
        <v>1742</v>
      </c>
      <c r="C851" s="22"/>
      <c r="D851" s="23"/>
      <c r="E851" s="24" t="s">
        <v>124</v>
      </c>
      <c r="F851" s="28" t="n">
        <f>108</f>
        <v>108.0</v>
      </c>
      <c r="G851" s="25" t="n">
        <f>6345</f>
        <v>6345.0</v>
      </c>
      <c r="H851" s="25"/>
      <c r="I851" s="25" t="n">
        <f>1459</f>
        <v>1459.0</v>
      </c>
      <c r="J851" s="25" t="n">
        <f>59</f>
        <v>59.0</v>
      </c>
      <c r="K851" s="25" t="n">
        <f>14</f>
        <v>14.0</v>
      </c>
      <c r="L851" s="2" t="s">
        <v>1072</v>
      </c>
      <c r="M851" s="26" t="n">
        <f>898</f>
        <v>898.0</v>
      </c>
      <c r="N851" s="3" t="s">
        <v>198</v>
      </c>
      <c r="O851" s="27" t="str">
        <f>"－"</f>
        <v>－</v>
      </c>
      <c r="P851" s="29" t="s">
        <v>1743</v>
      </c>
      <c r="Q851" s="25"/>
      <c r="R851" s="29" t="s">
        <v>1744</v>
      </c>
      <c r="S851" s="25" t="n">
        <f>26420091</f>
        <v>2.6420091E7</v>
      </c>
      <c r="T851" s="25" t="n">
        <f>6147733</f>
        <v>6147733.0</v>
      </c>
      <c r="U851" s="3" t="s">
        <v>1072</v>
      </c>
      <c r="V851" s="27" t="n">
        <f>385764000</f>
        <v>3.85764E8</v>
      </c>
      <c r="W851" s="3" t="s">
        <v>198</v>
      </c>
      <c r="X851" s="27" t="str">
        <f>"－"</f>
        <v>－</v>
      </c>
      <c r="Y851" s="27"/>
      <c r="Z851" s="25" t="str">
        <f>"－"</f>
        <v>－</v>
      </c>
      <c r="AA851" s="25" t="n">
        <f>836</f>
        <v>836.0</v>
      </c>
      <c r="AB851" s="2" t="s">
        <v>1087</v>
      </c>
      <c r="AC851" s="26" t="n">
        <f>2730</f>
        <v>2730.0</v>
      </c>
      <c r="AD851" s="3" t="s">
        <v>198</v>
      </c>
      <c r="AE851" s="27" t="n">
        <f>700</f>
        <v>700.0</v>
      </c>
    </row>
    <row r="852">
      <c r="A852" s="20" t="s">
        <v>1741</v>
      </c>
      <c r="B852" s="21" t="s">
        <v>1742</v>
      </c>
      <c r="C852" s="22"/>
      <c r="D852" s="23"/>
      <c r="E852" s="24" t="s">
        <v>130</v>
      </c>
      <c r="F852" s="28" t="n">
        <f>121</f>
        <v>121.0</v>
      </c>
      <c r="G852" s="25" t="n">
        <f>2673</f>
        <v>2673.0</v>
      </c>
      <c r="H852" s="25"/>
      <c r="I852" s="25" t="n">
        <f>813</f>
        <v>813.0</v>
      </c>
      <c r="J852" s="25" t="n">
        <f>22</f>
        <v>22.0</v>
      </c>
      <c r="K852" s="25" t="n">
        <f>7</f>
        <v>7.0</v>
      </c>
      <c r="L852" s="2" t="s">
        <v>226</v>
      </c>
      <c r="M852" s="26" t="n">
        <f>429</f>
        <v>429.0</v>
      </c>
      <c r="N852" s="3" t="s">
        <v>520</v>
      </c>
      <c r="O852" s="27" t="str">
        <f>"－"</f>
        <v>－</v>
      </c>
      <c r="P852" s="29" t="s">
        <v>1745</v>
      </c>
      <c r="Q852" s="25"/>
      <c r="R852" s="29" t="s">
        <v>1746</v>
      </c>
      <c r="S852" s="25" t="n">
        <f>12565735</f>
        <v>1.2565735E7</v>
      </c>
      <c r="T852" s="25" t="n">
        <f>3757267</f>
        <v>3757267.0</v>
      </c>
      <c r="U852" s="3" t="s">
        <v>226</v>
      </c>
      <c r="V852" s="27" t="n">
        <f>220632400</f>
        <v>2.206324E8</v>
      </c>
      <c r="W852" s="3" t="s">
        <v>520</v>
      </c>
      <c r="X852" s="27" t="str">
        <f>"－"</f>
        <v>－</v>
      </c>
      <c r="Y852" s="27"/>
      <c r="Z852" s="25" t="str">
        <f>"－"</f>
        <v>－</v>
      </c>
      <c r="AA852" s="25" t="n">
        <f>32</f>
        <v>32.0</v>
      </c>
      <c r="AB852" s="2" t="s">
        <v>226</v>
      </c>
      <c r="AC852" s="26" t="n">
        <f>1261</f>
        <v>1261.0</v>
      </c>
      <c r="AD852" s="3" t="s">
        <v>552</v>
      </c>
      <c r="AE852" s="27" t="n">
        <f>12</f>
        <v>12.0</v>
      </c>
    </row>
    <row r="853">
      <c r="A853" s="20" t="s">
        <v>1741</v>
      </c>
      <c r="B853" s="21" t="s">
        <v>1742</v>
      </c>
      <c r="C853" s="22"/>
      <c r="D853" s="23"/>
      <c r="E853" s="24" t="s">
        <v>136</v>
      </c>
      <c r="F853" s="28" t="n">
        <f>124</f>
        <v>124.0</v>
      </c>
      <c r="G853" s="25" t="n">
        <f>3868</f>
        <v>3868.0</v>
      </c>
      <c r="H853" s="25"/>
      <c r="I853" s="25" t="n">
        <f>1194</f>
        <v>1194.0</v>
      </c>
      <c r="J853" s="25" t="n">
        <f>31</f>
        <v>31.0</v>
      </c>
      <c r="K853" s="25" t="n">
        <f>10</f>
        <v>10.0</v>
      </c>
      <c r="L853" s="2" t="s">
        <v>1136</v>
      </c>
      <c r="M853" s="26" t="n">
        <f>528</f>
        <v>528.0</v>
      </c>
      <c r="N853" s="3" t="s">
        <v>225</v>
      </c>
      <c r="O853" s="27" t="str">
        <f>"－"</f>
        <v>－</v>
      </c>
      <c r="P853" s="29" t="s">
        <v>1747</v>
      </c>
      <c r="Q853" s="25"/>
      <c r="R853" s="29" t="s">
        <v>1748</v>
      </c>
      <c r="S853" s="25" t="n">
        <f>22222148</f>
        <v>2.2222148E7</v>
      </c>
      <c r="T853" s="25" t="n">
        <f>6960142</f>
        <v>6960142.0</v>
      </c>
      <c r="U853" s="3" t="s">
        <v>1136</v>
      </c>
      <c r="V853" s="27" t="n">
        <f>412883000</f>
        <v>4.12883E8</v>
      </c>
      <c r="W853" s="3" t="s">
        <v>225</v>
      </c>
      <c r="X853" s="27" t="str">
        <f>"－"</f>
        <v>－</v>
      </c>
      <c r="Y853" s="27"/>
      <c r="Z853" s="25" t="str">
        <f>"－"</f>
        <v>－</v>
      </c>
      <c r="AA853" s="25" t="n">
        <f>143</f>
        <v>143.0</v>
      </c>
      <c r="AB853" s="2" t="s">
        <v>1136</v>
      </c>
      <c r="AC853" s="26" t="n">
        <f>866</f>
        <v>866.0</v>
      </c>
      <c r="AD853" s="3" t="s">
        <v>68</v>
      </c>
      <c r="AE853" s="27" t="n">
        <f>37</f>
        <v>37.0</v>
      </c>
    </row>
    <row r="854">
      <c r="A854" s="20" t="s">
        <v>1741</v>
      </c>
      <c r="B854" s="21" t="s">
        <v>1742</v>
      </c>
      <c r="C854" s="22"/>
      <c r="D854" s="23"/>
      <c r="E854" s="24" t="s">
        <v>142</v>
      </c>
      <c r="F854" s="28" t="n">
        <f>120</f>
        <v>120.0</v>
      </c>
      <c r="G854" s="25" t="n">
        <f>1065</f>
        <v>1065.0</v>
      </c>
      <c r="H854" s="25"/>
      <c r="I854" s="25" t="n">
        <f>358</f>
        <v>358.0</v>
      </c>
      <c r="J854" s="25" t="n">
        <f>9</f>
        <v>9.0</v>
      </c>
      <c r="K854" s="25" t="n">
        <f>3</f>
        <v>3.0</v>
      </c>
      <c r="L854" s="2" t="s">
        <v>226</v>
      </c>
      <c r="M854" s="26" t="n">
        <f>211</f>
        <v>211.0</v>
      </c>
      <c r="N854" s="3" t="s">
        <v>156</v>
      </c>
      <c r="O854" s="27" t="str">
        <f>"－"</f>
        <v>－</v>
      </c>
      <c r="P854" s="29" t="s">
        <v>1749</v>
      </c>
      <c r="Q854" s="25"/>
      <c r="R854" s="29" t="s">
        <v>1750</v>
      </c>
      <c r="S854" s="25" t="n">
        <f>7011888</f>
        <v>7011888.0</v>
      </c>
      <c r="T854" s="25" t="n">
        <f>2343908</f>
        <v>2343908.0</v>
      </c>
      <c r="U854" s="3" t="s">
        <v>226</v>
      </c>
      <c r="V854" s="27" t="n">
        <f>163496600</f>
        <v>1.634966E8</v>
      </c>
      <c r="W854" s="3" t="s">
        <v>156</v>
      </c>
      <c r="X854" s="27" t="str">
        <f>"－"</f>
        <v>－</v>
      </c>
      <c r="Y854" s="27"/>
      <c r="Z854" s="25" t="str">
        <f>"－"</f>
        <v>－</v>
      </c>
      <c r="AA854" s="25" t="n">
        <f>4</f>
        <v>4.0</v>
      </c>
      <c r="AB854" s="2" t="s">
        <v>226</v>
      </c>
      <c r="AC854" s="26" t="n">
        <f>525</f>
        <v>525.0</v>
      </c>
      <c r="AD854" s="3" t="s">
        <v>462</v>
      </c>
      <c r="AE854" s="27" t="n">
        <f>3</f>
        <v>3.0</v>
      </c>
    </row>
    <row r="855">
      <c r="A855" s="20" t="s">
        <v>1741</v>
      </c>
      <c r="B855" s="21" t="s">
        <v>1742</v>
      </c>
      <c r="C855" s="22"/>
      <c r="D855" s="23"/>
      <c r="E855" s="24" t="s">
        <v>148</v>
      </c>
      <c r="F855" s="28" t="n">
        <f>124</f>
        <v>124.0</v>
      </c>
      <c r="G855" s="25" t="n">
        <f>377</f>
        <v>377.0</v>
      </c>
      <c r="H855" s="25"/>
      <c r="I855" s="25" t="n">
        <f>123</f>
        <v>123.0</v>
      </c>
      <c r="J855" s="25" t="n">
        <f>3</f>
        <v>3.0</v>
      </c>
      <c r="K855" s="25" t="n">
        <f>1</f>
        <v>1.0</v>
      </c>
      <c r="L855" s="2" t="s">
        <v>614</v>
      </c>
      <c r="M855" s="26" t="n">
        <f>61</f>
        <v>61.0</v>
      </c>
      <c r="N855" s="3" t="s">
        <v>68</v>
      </c>
      <c r="O855" s="27" t="str">
        <f>"－"</f>
        <v>－</v>
      </c>
      <c r="P855" s="29" t="s">
        <v>1751</v>
      </c>
      <c r="Q855" s="25"/>
      <c r="R855" s="29" t="s">
        <v>1752</v>
      </c>
      <c r="S855" s="25" t="n">
        <f>2395161</f>
        <v>2395161.0</v>
      </c>
      <c r="T855" s="25" t="n">
        <f>790629</f>
        <v>790629.0</v>
      </c>
      <c r="U855" s="3" t="s">
        <v>614</v>
      </c>
      <c r="V855" s="27" t="n">
        <f>48640000</f>
        <v>4.864E7</v>
      </c>
      <c r="W855" s="3" t="s">
        <v>68</v>
      </c>
      <c r="X855" s="27" t="str">
        <f>"－"</f>
        <v>－</v>
      </c>
      <c r="Y855" s="27"/>
      <c r="Z855" s="25" t="str">
        <f>"－"</f>
        <v>－</v>
      </c>
      <c r="AA855" s="25" t="str">
        <f>"－"</f>
        <v>－</v>
      </c>
      <c r="AB855" s="2" t="s">
        <v>1015</v>
      </c>
      <c r="AC855" s="26" t="n">
        <f>97</f>
        <v>97.0</v>
      </c>
      <c r="AD855" s="3" t="s">
        <v>1067</v>
      </c>
      <c r="AE855" s="27" t="str">
        <f>"－"</f>
        <v>－</v>
      </c>
    </row>
    <row r="856">
      <c r="A856" s="20" t="s">
        <v>1741</v>
      </c>
      <c r="B856" s="21" t="s">
        <v>1742</v>
      </c>
      <c r="C856" s="22"/>
      <c r="D856" s="23"/>
      <c r="E856" s="24" t="s">
        <v>151</v>
      </c>
      <c r="F856" s="28" t="n">
        <f>122</f>
        <v>122.0</v>
      </c>
      <c r="G856" s="25" t="n">
        <f>172</f>
        <v>172.0</v>
      </c>
      <c r="H856" s="25"/>
      <c r="I856" s="25" t="n">
        <f>28</f>
        <v>28.0</v>
      </c>
      <c r="J856" s="25" t="n">
        <f>1</f>
        <v>1.0</v>
      </c>
      <c r="K856" s="25" t="n">
        <f>0</f>
        <v>0.0</v>
      </c>
      <c r="L856" s="2" t="s">
        <v>226</v>
      </c>
      <c r="M856" s="26" t="n">
        <f>28</f>
        <v>28.0</v>
      </c>
      <c r="N856" s="3" t="s">
        <v>156</v>
      </c>
      <c r="O856" s="27" t="str">
        <f>"－"</f>
        <v>－</v>
      </c>
      <c r="P856" s="29" t="s">
        <v>1753</v>
      </c>
      <c r="Q856" s="25"/>
      <c r="R856" s="29" t="s">
        <v>1754</v>
      </c>
      <c r="S856" s="25" t="n">
        <f>1105908</f>
        <v>1105908.0</v>
      </c>
      <c r="T856" s="25" t="n">
        <f>180228</f>
        <v>180228.0</v>
      </c>
      <c r="U856" s="3" t="s">
        <v>226</v>
      </c>
      <c r="V856" s="27" t="n">
        <f>21740600</f>
        <v>2.17406E7</v>
      </c>
      <c r="W856" s="3" t="s">
        <v>156</v>
      </c>
      <c r="X856" s="27" t="str">
        <f>"－"</f>
        <v>－</v>
      </c>
      <c r="Y856" s="27"/>
      <c r="Z856" s="25" t="str">
        <f>"－"</f>
        <v>－</v>
      </c>
      <c r="AA856" s="25" t="str">
        <f>"－"</f>
        <v>－</v>
      </c>
      <c r="AB856" s="2" t="s">
        <v>226</v>
      </c>
      <c r="AC856" s="26" t="n">
        <f>54</f>
        <v>54.0</v>
      </c>
      <c r="AD856" s="3" t="s">
        <v>156</v>
      </c>
      <c r="AE856" s="27" t="str">
        <f>"－"</f>
        <v>－</v>
      </c>
    </row>
    <row r="857">
      <c r="A857" s="20" t="s">
        <v>1741</v>
      </c>
      <c r="B857" s="21" t="s">
        <v>1742</v>
      </c>
      <c r="C857" s="22"/>
      <c r="D857" s="23"/>
      <c r="E857" s="24" t="s">
        <v>157</v>
      </c>
      <c r="F857" s="28" t="n">
        <f>124</f>
        <v>124.0</v>
      </c>
      <c r="G857" s="25" t="n">
        <f>258</f>
        <v>258.0</v>
      </c>
      <c r="H857" s="25"/>
      <c r="I857" s="25" t="n">
        <f>64</f>
        <v>64.0</v>
      </c>
      <c r="J857" s="25" t="n">
        <f>2</f>
        <v>2.0</v>
      </c>
      <c r="K857" s="25" t="n">
        <f>1</f>
        <v>1.0</v>
      </c>
      <c r="L857" s="2" t="s">
        <v>63</v>
      </c>
      <c r="M857" s="26" t="n">
        <f>36</f>
        <v>36.0</v>
      </c>
      <c r="N857" s="3" t="s">
        <v>633</v>
      </c>
      <c r="O857" s="27" t="str">
        <f>"－"</f>
        <v>－</v>
      </c>
      <c r="P857" s="29" t="s">
        <v>1755</v>
      </c>
      <c r="Q857" s="25"/>
      <c r="R857" s="29" t="s">
        <v>1756</v>
      </c>
      <c r="S857" s="25" t="n">
        <f>1775931</f>
        <v>1775931.0</v>
      </c>
      <c r="T857" s="25" t="n">
        <f>441444</f>
        <v>441444.0</v>
      </c>
      <c r="U857" s="3" t="s">
        <v>63</v>
      </c>
      <c r="V857" s="27" t="n">
        <f>32760000</f>
        <v>3.276E7</v>
      </c>
      <c r="W857" s="3" t="s">
        <v>633</v>
      </c>
      <c r="X857" s="27" t="str">
        <f>"－"</f>
        <v>－</v>
      </c>
      <c r="Y857" s="27"/>
      <c r="Z857" s="25" t="str">
        <f>"－"</f>
        <v>－</v>
      </c>
      <c r="AA857" s="25" t="str">
        <f>"－"</f>
        <v>－</v>
      </c>
      <c r="AB857" s="2" t="s">
        <v>63</v>
      </c>
      <c r="AC857" s="26" t="n">
        <f>56</f>
        <v>56.0</v>
      </c>
      <c r="AD857" s="3" t="s">
        <v>633</v>
      </c>
      <c r="AE857" s="27" t="str">
        <f>"－"</f>
        <v>－</v>
      </c>
    </row>
    <row r="858">
      <c r="A858" s="20" t="s">
        <v>1741</v>
      </c>
      <c r="B858" s="21" t="s">
        <v>1742</v>
      </c>
      <c r="C858" s="22"/>
      <c r="D858" s="23"/>
      <c r="E858" s="24" t="s">
        <v>160</v>
      </c>
      <c r="F858" s="28" t="n">
        <f>58</f>
        <v>58.0</v>
      </c>
      <c r="G858" s="25" t="n">
        <f>67</f>
        <v>67.0</v>
      </c>
      <c r="H858" s="25"/>
      <c r="I858" s="25" t="str">
        <f>"－"</f>
        <v>－</v>
      </c>
      <c r="J858" s="25" t="n">
        <f>1</f>
        <v>1.0</v>
      </c>
      <c r="K858" s="25" t="str">
        <f>"－"</f>
        <v>－</v>
      </c>
      <c r="L858" s="2" t="s">
        <v>1079</v>
      </c>
      <c r="M858" s="26" t="n">
        <f>14</f>
        <v>14.0</v>
      </c>
      <c r="N858" s="3" t="s">
        <v>156</v>
      </c>
      <c r="O858" s="27" t="str">
        <f>"－"</f>
        <v>－</v>
      </c>
      <c r="P858" s="29" t="s">
        <v>1757</v>
      </c>
      <c r="Q858" s="25"/>
      <c r="R858" s="29" t="s">
        <v>262</v>
      </c>
      <c r="S858" s="25" t="n">
        <f>946724</f>
        <v>946724.0</v>
      </c>
      <c r="T858" s="25" t="str">
        <f>"－"</f>
        <v>－</v>
      </c>
      <c r="U858" s="3" t="s">
        <v>1079</v>
      </c>
      <c r="V858" s="27" t="n">
        <f>11340000</f>
        <v>1.134E7</v>
      </c>
      <c r="W858" s="3" t="s">
        <v>156</v>
      </c>
      <c r="X858" s="27" t="str">
        <f>"－"</f>
        <v>－</v>
      </c>
      <c r="Y858" s="27"/>
      <c r="Z858" s="25" t="str">
        <f>"－"</f>
        <v>－</v>
      </c>
      <c r="AA858" s="25" t="str">
        <f>"－"</f>
        <v>－</v>
      </c>
      <c r="AB858" s="2" t="s">
        <v>226</v>
      </c>
      <c r="AC858" s="26" t="n">
        <f>40</f>
        <v>40.0</v>
      </c>
      <c r="AD858" s="3" t="s">
        <v>156</v>
      </c>
      <c r="AE858" s="27" t="str">
        <f>"－"</f>
        <v>－</v>
      </c>
    </row>
    <row r="859">
      <c r="A859" s="20" t="s">
        <v>1758</v>
      </c>
      <c r="B859" s="21" t="s">
        <v>1759</v>
      </c>
      <c r="C859" s="22" t="s">
        <v>1760</v>
      </c>
      <c r="D859" s="23" t="s">
        <v>1761</v>
      </c>
      <c r="E859" s="24" t="s">
        <v>48</v>
      </c>
      <c r="F859" s="28" t="n">
        <f>21</f>
        <v>21.0</v>
      </c>
      <c r="G859" s="25" t="n">
        <f>1971594</f>
        <v>1971594.0</v>
      </c>
      <c r="H859" s="25"/>
      <c r="I859" s="25" t="n">
        <f>695500</f>
        <v>695500.0</v>
      </c>
      <c r="J859" s="25" t="n">
        <f>93885</f>
        <v>93885.0</v>
      </c>
      <c r="K859" s="25" t="n">
        <f>33119</f>
        <v>33119.0</v>
      </c>
      <c r="L859" s="2" t="s">
        <v>49</v>
      </c>
      <c r="M859" s="26" t="n">
        <f>245400</f>
        <v>245400.0</v>
      </c>
      <c r="N859" s="3" t="s">
        <v>50</v>
      </c>
      <c r="O859" s="27" t="n">
        <f>30295</f>
        <v>30295.0</v>
      </c>
      <c r="P859" s="29" t="s">
        <v>1762</v>
      </c>
      <c r="Q859" s="25"/>
      <c r="R859" s="29" t="s">
        <v>1763</v>
      </c>
      <c r="S859" s="25" t="n">
        <f>12668367762</f>
        <v>1.2668367762E10</v>
      </c>
      <c r="T859" s="25" t="n">
        <f>8310069952</f>
        <v>8.310069952E9</v>
      </c>
      <c r="U859" s="3" t="s">
        <v>49</v>
      </c>
      <c r="V859" s="27" t="n">
        <f>30957431000</f>
        <v>3.0957431E10</v>
      </c>
      <c r="W859" s="3" t="s">
        <v>50</v>
      </c>
      <c r="X859" s="27" t="n">
        <f>2870383000</f>
        <v>2.870383E9</v>
      </c>
      <c r="Y859" s="27" t="n">
        <f>38377</f>
        <v>38377.0</v>
      </c>
      <c r="Z859" s="25" t="n">
        <f>146909</f>
        <v>146909.0</v>
      </c>
      <c r="AA859" s="25" t="n">
        <f>1271671</f>
        <v>1271671.0</v>
      </c>
      <c r="AB859" s="2" t="s">
        <v>67</v>
      </c>
      <c r="AC859" s="26" t="n">
        <f>1983765</f>
        <v>1983765.0</v>
      </c>
      <c r="AD859" s="3" t="s">
        <v>54</v>
      </c>
      <c r="AE859" s="27" t="n">
        <f>1143436</f>
        <v>1143436.0</v>
      </c>
    </row>
    <row r="860">
      <c r="A860" s="20" t="s">
        <v>1758</v>
      </c>
      <c r="B860" s="21" t="s">
        <v>1759</v>
      </c>
      <c r="C860" s="22" t="s">
        <v>1764</v>
      </c>
      <c r="D860" s="23" t="s">
        <v>1765</v>
      </c>
      <c r="E860" s="24" t="s">
        <v>48</v>
      </c>
      <c r="F860" s="28" t="n">
        <f>21</f>
        <v>21.0</v>
      </c>
      <c r="G860" s="25" t="n">
        <f>1774231</f>
        <v>1774231.0</v>
      </c>
      <c r="H860" s="25"/>
      <c r="I860" s="25" t="n">
        <f>746620</f>
        <v>746620.0</v>
      </c>
      <c r="J860" s="25" t="n">
        <f>84487</f>
        <v>84487.0</v>
      </c>
      <c r="K860" s="25" t="n">
        <f>35553</f>
        <v>35553.0</v>
      </c>
      <c r="L860" s="2" t="s">
        <v>67</v>
      </c>
      <c r="M860" s="26" t="n">
        <f>144603</f>
        <v>144603.0</v>
      </c>
      <c r="N860" s="3" t="s">
        <v>50</v>
      </c>
      <c r="O860" s="27" t="n">
        <f>23816</f>
        <v>23816.0</v>
      </c>
      <c r="P860" s="29" t="s">
        <v>1766</v>
      </c>
      <c r="Q860" s="25"/>
      <c r="R860" s="29" t="s">
        <v>1767</v>
      </c>
      <c r="S860" s="25" t="n">
        <f>20874131333</f>
        <v>2.0874131333E10</v>
      </c>
      <c r="T860" s="25" t="n">
        <f>16270943190</f>
        <v>1.627094319E10</v>
      </c>
      <c r="U860" s="3" t="s">
        <v>49</v>
      </c>
      <c r="V860" s="27" t="n">
        <f>54520748000</f>
        <v>5.4520748E10</v>
      </c>
      <c r="W860" s="3" t="s">
        <v>50</v>
      </c>
      <c r="X860" s="27" t="n">
        <f>2549557000</f>
        <v>2.549557E9</v>
      </c>
      <c r="Y860" s="27" t="n">
        <f>530270</f>
        <v>530270.0</v>
      </c>
      <c r="Z860" s="25" t="n">
        <f>210443</f>
        <v>210443.0</v>
      </c>
      <c r="AA860" s="25" t="n">
        <f>1158897</f>
        <v>1158897.0</v>
      </c>
      <c r="AB860" s="2" t="s">
        <v>67</v>
      </c>
      <c r="AC860" s="26" t="n">
        <f>1827599</f>
        <v>1827599.0</v>
      </c>
      <c r="AD860" s="3" t="s">
        <v>54</v>
      </c>
      <c r="AE860" s="27" t="n">
        <f>1080529</f>
        <v>1080529.0</v>
      </c>
    </row>
    <row r="861">
      <c r="A861" s="20" t="s">
        <v>1758</v>
      </c>
      <c r="B861" s="21" t="s">
        <v>1759</v>
      </c>
      <c r="C861" s="22" t="s">
        <v>1768</v>
      </c>
      <c r="D861" s="23" t="s">
        <v>1769</v>
      </c>
      <c r="E861" s="24" t="s">
        <v>48</v>
      </c>
      <c r="F861" s="28" t="n">
        <f>21</f>
        <v>21.0</v>
      </c>
      <c r="G861" s="25" t="n">
        <f>3745825</f>
        <v>3745825.0</v>
      </c>
      <c r="H861" s="25"/>
      <c r="I861" s="25" t="n">
        <f>1442120</f>
        <v>1442120.0</v>
      </c>
      <c r="J861" s="25" t="n">
        <f>178373</f>
        <v>178373.0</v>
      </c>
      <c r="K861" s="25" t="n">
        <f>68672</f>
        <v>68672.0</v>
      </c>
      <c r="L861" s="2" t="s">
        <v>49</v>
      </c>
      <c r="M861" s="26" t="n">
        <f>373700</f>
        <v>373700.0</v>
      </c>
      <c r="N861" s="3" t="s">
        <v>50</v>
      </c>
      <c r="O861" s="27" t="n">
        <f>54111</f>
        <v>54111.0</v>
      </c>
      <c r="P861" s="29" t="s">
        <v>1770</v>
      </c>
      <c r="Q861" s="25"/>
      <c r="R861" s="29" t="s">
        <v>1771</v>
      </c>
      <c r="S861" s="25" t="n">
        <f>33542499095</f>
        <v>3.3542499095E10</v>
      </c>
      <c r="T861" s="25" t="n">
        <f>24581013143</f>
        <v>2.4581013143E10</v>
      </c>
      <c r="U861" s="3" t="s">
        <v>49</v>
      </c>
      <c r="V861" s="27" t="n">
        <f>85478179000</f>
        <v>8.5478179E10</v>
      </c>
      <c r="W861" s="3" t="s">
        <v>50</v>
      </c>
      <c r="X861" s="27" t="n">
        <f>5419940000</f>
        <v>5.41994E9</v>
      </c>
      <c r="Y861" s="27" t="n">
        <f>568647</f>
        <v>568647.0</v>
      </c>
      <c r="Z861" s="25" t="n">
        <f>357352</f>
        <v>357352.0</v>
      </c>
      <c r="AA861" s="25" t="n">
        <f>2430568</f>
        <v>2430568.0</v>
      </c>
      <c r="AB861" s="2" t="s">
        <v>67</v>
      </c>
      <c r="AC861" s="26" t="n">
        <f>3811364</f>
        <v>3811364.0</v>
      </c>
      <c r="AD861" s="3" t="s">
        <v>54</v>
      </c>
      <c r="AE861" s="27" t="n">
        <f>2223965</f>
        <v>2223965.0</v>
      </c>
    </row>
    <row r="862">
      <c r="A862" s="20" t="s">
        <v>1758</v>
      </c>
      <c r="B862" s="21" t="s">
        <v>1759</v>
      </c>
      <c r="C862" s="22" t="s">
        <v>1760</v>
      </c>
      <c r="D862" s="23" t="s">
        <v>1761</v>
      </c>
      <c r="E862" s="24" t="s">
        <v>55</v>
      </c>
      <c r="F862" s="28" t="n">
        <f>121</f>
        <v>121.0</v>
      </c>
      <c r="G862" s="25" t="n">
        <f>9909804</f>
        <v>9909804.0</v>
      </c>
      <c r="H862" s="25"/>
      <c r="I862" s="25" t="n">
        <f>3348545</f>
        <v>3348545.0</v>
      </c>
      <c r="J862" s="25" t="n">
        <f>81899</f>
        <v>81899.0</v>
      </c>
      <c r="K862" s="25" t="n">
        <f>27674</f>
        <v>27674.0</v>
      </c>
      <c r="L862" s="2" t="s">
        <v>739</v>
      </c>
      <c r="M862" s="26" t="n">
        <f>182137</f>
        <v>182137.0</v>
      </c>
      <c r="N862" s="3" t="s">
        <v>679</v>
      </c>
      <c r="O862" s="27" t="n">
        <f>47091</f>
        <v>47091.0</v>
      </c>
      <c r="P862" s="29" t="s">
        <v>1772</v>
      </c>
      <c r="Q862" s="25"/>
      <c r="R862" s="29" t="s">
        <v>1773</v>
      </c>
      <c r="S862" s="25" t="n">
        <f>12434062727</f>
        <v>1.2434062727E10</v>
      </c>
      <c r="T862" s="25" t="n">
        <f>8725869306</f>
        <v>8.725869306E9</v>
      </c>
      <c r="U862" s="3" t="s">
        <v>97</v>
      </c>
      <c r="V862" s="27" t="n">
        <f>31569265000</f>
        <v>3.1569265E10</v>
      </c>
      <c r="W862" s="3" t="s">
        <v>1168</v>
      </c>
      <c r="X862" s="27" t="n">
        <f>4676615000</f>
        <v>4.676615E9</v>
      </c>
      <c r="Y862" s="27" t="n">
        <f>74293</f>
        <v>74293.0</v>
      </c>
      <c r="Z862" s="25" t="n">
        <f>701502</f>
        <v>701502.0</v>
      </c>
      <c r="AA862" s="25" t="n">
        <f>1318724</f>
        <v>1318724.0</v>
      </c>
      <c r="AB862" s="2" t="s">
        <v>101</v>
      </c>
      <c r="AC862" s="26" t="n">
        <f>1564804</f>
        <v>1564804.0</v>
      </c>
      <c r="AD862" s="3" t="s">
        <v>188</v>
      </c>
      <c r="AE862" s="27" t="n">
        <f>1067913</f>
        <v>1067913.0</v>
      </c>
    </row>
    <row r="863">
      <c r="A863" s="20" t="s">
        <v>1758</v>
      </c>
      <c r="B863" s="21" t="s">
        <v>1759</v>
      </c>
      <c r="C863" s="22" t="s">
        <v>1764</v>
      </c>
      <c r="D863" s="23" t="s">
        <v>1765</v>
      </c>
      <c r="E863" s="24" t="s">
        <v>55</v>
      </c>
      <c r="F863" s="28" t="n">
        <f>121</f>
        <v>121.0</v>
      </c>
      <c r="G863" s="25" t="n">
        <f>8078052</f>
        <v>8078052.0</v>
      </c>
      <c r="H863" s="25"/>
      <c r="I863" s="25" t="n">
        <f>2869871</f>
        <v>2869871.0</v>
      </c>
      <c r="J863" s="25" t="n">
        <f>66761</f>
        <v>66761.0</v>
      </c>
      <c r="K863" s="25" t="n">
        <f>23718</f>
        <v>23718.0</v>
      </c>
      <c r="L863" s="2" t="s">
        <v>733</v>
      </c>
      <c r="M863" s="26" t="n">
        <f>132924</f>
        <v>132924.0</v>
      </c>
      <c r="N863" s="3" t="s">
        <v>462</v>
      </c>
      <c r="O863" s="27" t="n">
        <f>29604</f>
        <v>29604.0</v>
      </c>
      <c r="P863" s="29" t="s">
        <v>1774</v>
      </c>
      <c r="Q863" s="25"/>
      <c r="R863" s="29" t="s">
        <v>1775</v>
      </c>
      <c r="S863" s="25" t="n">
        <f>13728427942</f>
        <v>1.3728427942E10</v>
      </c>
      <c r="T863" s="25" t="n">
        <f>10088546719</f>
        <v>1.0088546719E10</v>
      </c>
      <c r="U863" s="3" t="s">
        <v>307</v>
      </c>
      <c r="V863" s="27" t="n">
        <f>37917636000</f>
        <v>3.7917636E10</v>
      </c>
      <c r="W863" s="3" t="s">
        <v>963</v>
      </c>
      <c r="X863" s="27" t="n">
        <f>4115718000</f>
        <v>4.115718E9</v>
      </c>
      <c r="Y863" s="27" t="n">
        <f>655524</f>
        <v>655524.0</v>
      </c>
      <c r="Z863" s="25" t="n">
        <f>864673</f>
        <v>864673.0</v>
      </c>
      <c r="AA863" s="25" t="n">
        <f>965190</f>
        <v>965190.0</v>
      </c>
      <c r="AB863" s="2" t="s">
        <v>565</v>
      </c>
      <c r="AC863" s="26" t="n">
        <f>1213708</f>
        <v>1213708.0</v>
      </c>
      <c r="AD863" s="3" t="s">
        <v>189</v>
      </c>
      <c r="AE863" s="27" t="n">
        <f>880853</f>
        <v>880853.0</v>
      </c>
    </row>
    <row r="864">
      <c r="A864" s="20" t="s">
        <v>1758</v>
      </c>
      <c r="B864" s="21" t="s">
        <v>1759</v>
      </c>
      <c r="C864" s="22" t="s">
        <v>1768</v>
      </c>
      <c r="D864" s="23" t="s">
        <v>1769</v>
      </c>
      <c r="E864" s="24" t="s">
        <v>55</v>
      </c>
      <c r="F864" s="28" t="n">
        <f>121</f>
        <v>121.0</v>
      </c>
      <c r="G864" s="25" t="n">
        <f>17987856</f>
        <v>1.7987856E7</v>
      </c>
      <c r="H864" s="25"/>
      <c r="I864" s="25" t="n">
        <f>6218416</f>
        <v>6218416.0</v>
      </c>
      <c r="J864" s="25" t="n">
        <f>148660</f>
        <v>148660.0</v>
      </c>
      <c r="K864" s="25" t="n">
        <f>51392</f>
        <v>51392.0</v>
      </c>
      <c r="L864" s="2" t="s">
        <v>739</v>
      </c>
      <c r="M864" s="26" t="n">
        <f>261324</f>
        <v>261324.0</v>
      </c>
      <c r="N864" s="3" t="s">
        <v>462</v>
      </c>
      <c r="O864" s="27" t="n">
        <f>80496</f>
        <v>80496.0</v>
      </c>
      <c r="P864" s="29" t="s">
        <v>1776</v>
      </c>
      <c r="Q864" s="25"/>
      <c r="R864" s="29" t="s">
        <v>1777</v>
      </c>
      <c r="S864" s="25" t="n">
        <f>26162490669</f>
        <v>2.6162490669E10</v>
      </c>
      <c r="T864" s="25" t="n">
        <f>18814416025</f>
        <v>1.8814416025E10</v>
      </c>
      <c r="U864" s="3" t="s">
        <v>307</v>
      </c>
      <c r="V864" s="27" t="n">
        <f>60120429000</f>
        <v>6.0120429E10</v>
      </c>
      <c r="W864" s="3" t="s">
        <v>1168</v>
      </c>
      <c r="X864" s="27" t="n">
        <f>9197914000</f>
        <v>9.197914E9</v>
      </c>
      <c r="Y864" s="27" t="n">
        <f>729817</f>
        <v>729817.0</v>
      </c>
      <c r="Z864" s="25" t="n">
        <f>1566175</f>
        <v>1566175.0</v>
      </c>
      <c r="AA864" s="25" t="n">
        <f>2283914</f>
        <v>2283914.0</v>
      </c>
      <c r="AB864" s="2" t="s">
        <v>101</v>
      </c>
      <c r="AC864" s="26" t="n">
        <f>2749324</f>
        <v>2749324.0</v>
      </c>
      <c r="AD864" s="3" t="s">
        <v>189</v>
      </c>
      <c r="AE864" s="27" t="n">
        <f>2018990</f>
        <v>2018990.0</v>
      </c>
    </row>
    <row r="865">
      <c r="A865" s="20" t="s">
        <v>1758</v>
      </c>
      <c r="B865" s="21" t="s">
        <v>1759</v>
      </c>
      <c r="C865" s="22" t="s">
        <v>1760</v>
      </c>
      <c r="D865" s="23" t="s">
        <v>1761</v>
      </c>
      <c r="E865" s="24" t="s">
        <v>62</v>
      </c>
      <c r="F865" s="28" t="n">
        <f>123</f>
        <v>123.0</v>
      </c>
      <c r="G865" s="25" t="n">
        <f>10621121</f>
        <v>1.0621121E7</v>
      </c>
      <c r="H865" s="25"/>
      <c r="I865" s="25" t="n">
        <f>3110328</f>
        <v>3110328.0</v>
      </c>
      <c r="J865" s="25" t="n">
        <f>86351</f>
        <v>86351.0</v>
      </c>
      <c r="K865" s="25" t="n">
        <f>25287</f>
        <v>25287.0</v>
      </c>
      <c r="L865" s="2" t="s">
        <v>63</v>
      </c>
      <c r="M865" s="26" t="n">
        <f>351057</f>
        <v>351057.0</v>
      </c>
      <c r="N865" s="3" t="s">
        <v>114</v>
      </c>
      <c r="O865" s="27" t="n">
        <f>30069</f>
        <v>30069.0</v>
      </c>
      <c r="P865" s="29" t="s">
        <v>1778</v>
      </c>
      <c r="Q865" s="25"/>
      <c r="R865" s="29" t="s">
        <v>1779</v>
      </c>
      <c r="S865" s="25" t="n">
        <f>16377787951</f>
        <v>1.6377787951E10</v>
      </c>
      <c r="T865" s="25" t="n">
        <f>10150439927</f>
        <v>1.0150439927E10</v>
      </c>
      <c r="U865" s="3" t="s">
        <v>63</v>
      </c>
      <c r="V865" s="27" t="n">
        <f>119943442000</f>
        <v>1.19943442E11</v>
      </c>
      <c r="W865" s="3" t="s">
        <v>114</v>
      </c>
      <c r="X865" s="27" t="n">
        <f>3749772000</f>
        <v>3.749772E9</v>
      </c>
      <c r="Y865" s="27" t="n">
        <f>347422</f>
        <v>347422.0</v>
      </c>
      <c r="Z865" s="25" t="n">
        <f>810106</f>
        <v>810106.0</v>
      </c>
      <c r="AA865" s="25" t="n">
        <f>961172</f>
        <v>961172.0</v>
      </c>
      <c r="AB865" s="2" t="s">
        <v>295</v>
      </c>
      <c r="AC865" s="26" t="n">
        <f>1536366</f>
        <v>1536366.0</v>
      </c>
      <c r="AD865" s="3" t="s">
        <v>67</v>
      </c>
      <c r="AE865" s="27" t="n">
        <f>829056</f>
        <v>829056.0</v>
      </c>
    </row>
    <row r="866">
      <c r="A866" s="20" t="s">
        <v>1758</v>
      </c>
      <c r="B866" s="21" t="s">
        <v>1759</v>
      </c>
      <c r="C866" s="22" t="s">
        <v>1764</v>
      </c>
      <c r="D866" s="23" t="s">
        <v>1765</v>
      </c>
      <c r="E866" s="24" t="s">
        <v>62</v>
      </c>
      <c r="F866" s="28" t="n">
        <f>123</f>
        <v>123.0</v>
      </c>
      <c r="G866" s="25" t="n">
        <f>9197919</f>
        <v>9197919.0</v>
      </c>
      <c r="H866" s="25"/>
      <c r="I866" s="25" t="n">
        <f>2839331</f>
        <v>2839331.0</v>
      </c>
      <c r="J866" s="25" t="n">
        <f>74780</f>
        <v>74780.0</v>
      </c>
      <c r="K866" s="25" t="n">
        <f>23084</f>
        <v>23084.0</v>
      </c>
      <c r="L866" s="2" t="s">
        <v>63</v>
      </c>
      <c r="M866" s="26" t="n">
        <f>196094</f>
        <v>196094.0</v>
      </c>
      <c r="N866" s="3" t="s">
        <v>1008</v>
      </c>
      <c r="O866" s="27" t="n">
        <f>25260</f>
        <v>25260.0</v>
      </c>
      <c r="P866" s="29" t="s">
        <v>1780</v>
      </c>
      <c r="Q866" s="25"/>
      <c r="R866" s="29" t="s">
        <v>1781</v>
      </c>
      <c r="S866" s="25" t="n">
        <f>12414844545</f>
        <v>1.2414844545E10</v>
      </c>
      <c r="T866" s="25" t="n">
        <f>7858961228</f>
        <v>7.858961228E9</v>
      </c>
      <c r="U866" s="3" t="s">
        <v>1067</v>
      </c>
      <c r="V866" s="27" t="n">
        <f>37649529000</f>
        <v>3.7649529E10</v>
      </c>
      <c r="W866" s="3" t="s">
        <v>64</v>
      </c>
      <c r="X866" s="27" t="n">
        <f>1551753000</f>
        <v>1.551753E9</v>
      </c>
      <c r="Y866" s="27" t="n">
        <f>395007</f>
        <v>395007.0</v>
      </c>
      <c r="Z866" s="25" t="n">
        <f>893359</f>
        <v>893359.0</v>
      </c>
      <c r="AA866" s="25" t="n">
        <f>817026</f>
        <v>817026.0</v>
      </c>
      <c r="AB866" s="2" t="s">
        <v>295</v>
      </c>
      <c r="AC866" s="26" t="n">
        <f>1272179</f>
        <v>1272179.0</v>
      </c>
      <c r="AD866" s="3" t="s">
        <v>67</v>
      </c>
      <c r="AE866" s="27" t="n">
        <f>680939</f>
        <v>680939.0</v>
      </c>
    </row>
    <row r="867">
      <c r="A867" s="20" t="s">
        <v>1758</v>
      </c>
      <c r="B867" s="21" t="s">
        <v>1759</v>
      </c>
      <c r="C867" s="22" t="s">
        <v>1768</v>
      </c>
      <c r="D867" s="23" t="s">
        <v>1769</v>
      </c>
      <c r="E867" s="24" t="s">
        <v>62</v>
      </c>
      <c r="F867" s="28" t="n">
        <f>123</f>
        <v>123.0</v>
      </c>
      <c r="G867" s="25" t="n">
        <f>19819040</f>
        <v>1.981904E7</v>
      </c>
      <c r="H867" s="25"/>
      <c r="I867" s="25" t="n">
        <f>5949659</f>
        <v>5949659.0</v>
      </c>
      <c r="J867" s="25" t="n">
        <f>161130</f>
        <v>161130.0</v>
      </c>
      <c r="K867" s="25" t="n">
        <f>48371</f>
        <v>48371.0</v>
      </c>
      <c r="L867" s="2" t="s">
        <v>63</v>
      </c>
      <c r="M867" s="26" t="n">
        <f>547151</f>
        <v>547151.0</v>
      </c>
      <c r="N867" s="3" t="s">
        <v>114</v>
      </c>
      <c r="O867" s="27" t="n">
        <f>58611</f>
        <v>58611.0</v>
      </c>
      <c r="P867" s="29" t="s">
        <v>1782</v>
      </c>
      <c r="Q867" s="25"/>
      <c r="R867" s="29" t="s">
        <v>1783</v>
      </c>
      <c r="S867" s="25" t="n">
        <f>28792632496</f>
        <v>2.8792632496E10</v>
      </c>
      <c r="T867" s="25" t="n">
        <f>18009401154</f>
        <v>1.8009401154E10</v>
      </c>
      <c r="U867" s="3" t="s">
        <v>63</v>
      </c>
      <c r="V867" s="27" t="n">
        <f>153902168000</f>
        <v>1.53902168E11</v>
      </c>
      <c r="W867" s="3" t="s">
        <v>114</v>
      </c>
      <c r="X867" s="27" t="n">
        <f>6366780000</f>
        <v>6.36678E9</v>
      </c>
      <c r="Y867" s="27" t="n">
        <f>742429</f>
        <v>742429.0</v>
      </c>
      <c r="Z867" s="25" t="n">
        <f>1703465</f>
        <v>1703465.0</v>
      </c>
      <c r="AA867" s="25" t="n">
        <f>1778198</f>
        <v>1778198.0</v>
      </c>
      <c r="AB867" s="2" t="s">
        <v>295</v>
      </c>
      <c r="AC867" s="26" t="n">
        <f>2808545</f>
        <v>2808545.0</v>
      </c>
      <c r="AD867" s="3" t="s">
        <v>67</v>
      </c>
      <c r="AE867" s="27" t="n">
        <f>1509995</f>
        <v>1509995.0</v>
      </c>
    </row>
    <row r="868">
      <c r="A868" s="20" t="s">
        <v>1758</v>
      </c>
      <c r="B868" s="21" t="s">
        <v>1759</v>
      </c>
      <c r="C868" s="22" t="s">
        <v>1760</v>
      </c>
      <c r="D868" s="23" t="s">
        <v>1761</v>
      </c>
      <c r="E868" s="24" t="s">
        <v>69</v>
      </c>
      <c r="F868" s="28" t="n">
        <f>122</f>
        <v>122.0</v>
      </c>
      <c r="G868" s="25" t="n">
        <f>9421004</f>
        <v>9421004.0</v>
      </c>
      <c r="H868" s="25"/>
      <c r="I868" s="25" t="n">
        <f>3062580</f>
        <v>3062580.0</v>
      </c>
      <c r="J868" s="25" t="n">
        <f>77221</f>
        <v>77221.0</v>
      </c>
      <c r="K868" s="25" t="n">
        <f>25103</f>
        <v>25103.0</v>
      </c>
      <c r="L868" s="2" t="s">
        <v>291</v>
      </c>
      <c r="M868" s="26" t="n">
        <f>184340</f>
        <v>184340.0</v>
      </c>
      <c r="N868" s="3" t="s">
        <v>765</v>
      </c>
      <c r="O868" s="27" t="n">
        <f>31669</f>
        <v>31669.0</v>
      </c>
      <c r="P868" s="29" t="s">
        <v>1784</v>
      </c>
      <c r="Q868" s="25"/>
      <c r="R868" s="29" t="s">
        <v>1785</v>
      </c>
      <c r="S868" s="25" t="n">
        <f>19942506066</f>
        <v>1.9942506066E10</v>
      </c>
      <c r="T868" s="25" t="n">
        <f>14189052721</f>
        <v>1.4189052721E10</v>
      </c>
      <c r="U868" s="3" t="s">
        <v>180</v>
      </c>
      <c r="V868" s="27" t="n">
        <f>89686905000</f>
        <v>8.9686905E10</v>
      </c>
      <c r="W868" s="3" t="s">
        <v>1153</v>
      </c>
      <c r="X868" s="27" t="n">
        <f>4909085000</f>
        <v>4.909085E9</v>
      </c>
      <c r="Y868" s="27" t="n">
        <f>414796</f>
        <v>414796.0</v>
      </c>
      <c r="Z868" s="25" t="n">
        <f>941105</f>
        <v>941105.0</v>
      </c>
      <c r="AA868" s="25" t="n">
        <f>1152010</f>
        <v>1152010.0</v>
      </c>
      <c r="AB868" s="2" t="s">
        <v>56</v>
      </c>
      <c r="AC868" s="26" t="n">
        <f>1230230</f>
        <v>1230230.0</v>
      </c>
      <c r="AD868" s="3" t="s">
        <v>565</v>
      </c>
      <c r="AE868" s="27" t="n">
        <f>884758</f>
        <v>884758.0</v>
      </c>
    </row>
    <row r="869">
      <c r="A869" s="20" t="s">
        <v>1758</v>
      </c>
      <c r="B869" s="21" t="s">
        <v>1759</v>
      </c>
      <c r="C869" s="22" t="s">
        <v>1764</v>
      </c>
      <c r="D869" s="23" t="s">
        <v>1765</v>
      </c>
      <c r="E869" s="24" t="s">
        <v>69</v>
      </c>
      <c r="F869" s="28" t="n">
        <f>122</f>
        <v>122.0</v>
      </c>
      <c r="G869" s="25" t="n">
        <f>8842842</f>
        <v>8842842.0</v>
      </c>
      <c r="H869" s="25"/>
      <c r="I869" s="25" t="n">
        <f>3130190</f>
        <v>3130190.0</v>
      </c>
      <c r="J869" s="25" t="n">
        <f>72482</f>
        <v>72482.0</v>
      </c>
      <c r="K869" s="25" t="n">
        <f>25657</f>
        <v>25657.0</v>
      </c>
      <c r="L869" s="2" t="s">
        <v>1201</v>
      </c>
      <c r="M869" s="26" t="n">
        <f>146928</f>
        <v>146928.0</v>
      </c>
      <c r="N869" s="3" t="s">
        <v>177</v>
      </c>
      <c r="O869" s="27" t="n">
        <f>26269</f>
        <v>26269.0</v>
      </c>
      <c r="P869" s="29" t="s">
        <v>1786</v>
      </c>
      <c r="Q869" s="25"/>
      <c r="R869" s="29" t="s">
        <v>1787</v>
      </c>
      <c r="S869" s="25" t="n">
        <f>14950309385</f>
        <v>1.4950309385E10</v>
      </c>
      <c r="T869" s="25" t="n">
        <f>10688818369</f>
        <v>1.0688818369E10</v>
      </c>
      <c r="U869" s="3" t="s">
        <v>448</v>
      </c>
      <c r="V869" s="27" t="n">
        <f>35876797000</f>
        <v>3.5876797E10</v>
      </c>
      <c r="W869" s="3" t="s">
        <v>177</v>
      </c>
      <c r="X869" s="27" t="n">
        <f>2922025000</f>
        <v>2.922025E9</v>
      </c>
      <c r="Y869" s="27" t="n">
        <f>111373</f>
        <v>111373.0</v>
      </c>
      <c r="Z869" s="25" t="n">
        <f>1097391</f>
        <v>1097391.0</v>
      </c>
      <c r="AA869" s="25" t="n">
        <f>1018778</f>
        <v>1018778.0</v>
      </c>
      <c r="AB869" s="2" t="s">
        <v>217</v>
      </c>
      <c r="AC869" s="26" t="n">
        <f>1097131</f>
        <v>1097131.0</v>
      </c>
      <c r="AD869" s="3" t="s">
        <v>565</v>
      </c>
      <c r="AE869" s="27" t="n">
        <f>700765</f>
        <v>700765.0</v>
      </c>
    </row>
    <row r="870">
      <c r="A870" s="20" t="s">
        <v>1758</v>
      </c>
      <c r="B870" s="21" t="s">
        <v>1759</v>
      </c>
      <c r="C870" s="22" t="s">
        <v>1768</v>
      </c>
      <c r="D870" s="23" t="s">
        <v>1769</v>
      </c>
      <c r="E870" s="24" t="s">
        <v>69</v>
      </c>
      <c r="F870" s="28" t="n">
        <f>122</f>
        <v>122.0</v>
      </c>
      <c r="G870" s="25" t="n">
        <f>18263846</f>
        <v>1.8263846E7</v>
      </c>
      <c r="H870" s="25"/>
      <c r="I870" s="25" t="n">
        <f>6192770</f>
        <v>6192770.0</v>
      </c>
      <c r="J870" s="25" t="n">
        <f>149704</f>
        <v>149704.0</v>
      </c>
      <c r="K870" s="25" t="n">
        <f>50760</f>
        <v>50760.0</v>
      </c>
      <c r="L870" s="2" t="s">
        <v>291</v>
      </c>
      <c r="M870" s="26" t="n">
        <f>319894</f>
        <v>319894.0</v>
      </c>
      <c r="N870" s="3" t="s">
        <v>765</v>
      </c>
      <c r="O870" s="27" t="n">
        <f>64374</f>
        <v>64374.0</v>
      </c>
      <c r="P870" s="29" t="s">
        <v>1788</v>
      </c>
      <c r="Q870" s="25"/>
      <c r="R870" s="29" t="s">
        <v>1789</v>
      </c>
      <c r="S870" s="25" t="n">
        <f>34892815451</f>
        <v>3.4892815451E10</v>
      </c>
      <c r="T870" s="25" t="n">
        <f>24877871090</f>
        <v>2.487787109E10</v>
      </c>
      <c r="U870" s="3" t="s">
        <v>180</v>
      </c>
      <c r="V870" s="27" t="n">
        <f>119601130000</f>
        <v>1.1960113E11</v>
      </c>
      <c r="W870" s="3" t="s">
        <v>177</v>
      </c>
      <c r="X870" s="27" t="n">
        <f>8079603000</f>
        <v>8.079603E9</v>
      </c>
      <c r="Y870" s="27" t="n">
        <f>526169</f>
        <v>526169.0</v>
      </c>
      <c r="Z870" s="25" t="n">
        <f>2038496</f>
        <v>2038496.0</v>
      </c>
      <c r="AA870" s="25" t="n">
        <f>2170788</f>
        <v>2170788.0</v>
      </c>
      <c r="AB870" s="2" t="s">
        <v>56</v>
      </c>
      <c r="AC870" s="26" t="n">
        <f>2312517</f>
        <v>2312517.0</v>
      </c>
      <c r="AD870" s="3" t="s">
        <v>565</v>
      </c>
      <c r="AE870" s="27" t="n">
        <f>1585523</f>
        <v>1585523.0</v>
      </c>
    </row>
    <row r="871">
      <c r="A871" s="20" t="s">
        <v>1758</v>
      </c>
      <c r="B871" s="21" t="s">
        <v>1759</v>
      </c>
      <c r="C871" s="22" t="s">
        <v>1760</v>
      </c>
      <c r="D871" s="23" t="s">
        <v>1761</v>
      </c>
      <c r="E871" s="24" t="s">
        <v>76</v>
      </c>
      <c r="F871" s="28" t="n">
        <f>123</f>
        <v>123.0</v>
      </c>
      <c r="G871" s="25" t="n">
        <f>8229878</f>
        <v>8229878.0</v>
      </c>
      <c r="H871" s="25"/>
      <c r="I871" s="25" t="n">
        <f>2781167</f>
        <v>2781167.0</v>
      </c>
      <c r="J871" s="25" t="n">
        <f>66910</f>
        <v>66910.0</v>
      </c>
      <c r="K871" s="25" t="n">
        <f>22611</f>
        <v>22611.0</v>
      </c>
      <c r="L871" s="2" t="s">
        <v>181</v>
      </c>
      <c r="M871" s="26" t="n">
        <f>272183</f>
        <v>272183.0</v>
      </c>
      <c r="N871" s="3" t="s">
        <v>224</v>
      </c>
      <c r="O871" s="27" t="n">
        <f>24855</f>
        <v>24855.0</v>
      </c>
      <c r="P871" s="29" t="s">
        <v>1790</v>
      </c>
      <c r="Q871" s="25"/>
      <c r="R871" s="29" t="s">
        <v>1791</v>
      </c>
      <c r="S871" s="25" t="n">
        <f>11720204429</f>
        <v>1.1720204429E10</v>
      </c>
      <c r="T871" s="25" t="n">
        <f>8687826998</f>
        <v>8.687826998E9</v>
      </c>
      <c r="U871" s="3" t="s">
        <v>693</v>
      </c>
      <c r="V871" s="27" t="n">
        <f>49988804300</f>
        <v>4.99888043E10</v>
      </c>
      <c r="W871" s="3" t="s">
        <v>50</v>
      </c>
      <c r="X871" s="27" t="n">
        <f>2733599265</f>
        <v>2.733599265E9</v>
      </c>
      <c r="Y871" s="27" t="n">
        <f>116118</f>
        <v>116118.0</v>
      </c>
      <c r="Z871" s="25" t="n">
        <f>720763</f>
        <v>720763.0</v>
      </c>
      <c r="AA871" s="25" t="n">
        <f>1043323</f>
        <v>1043323.0</v>
      </c>
      <c r="AB871" s="2" t="s">
        <v>128</v>
      </c>
      <c r="AC871" s="26" t="n">
        <f>1462947</f>
        <v>1462947.0</v>
      </c>
      <c r="AD871" s="3" t="s">
        <v>81</v>
      </c>
      <c r="AE871" s="27" t="n">
        <f>860944</f>
        <v>860944.0</v>
      </c>
    </row>
    <row r="872">
      <c r="A872" s="20" t="s">
        <v>1758</v>
      </c>
      <c r="B872" s="21" t="s">
        <v>1759</v>
      </c>
      <c r="C872" s="22" t="s">
        <v>1764</v>
      </c>
      <c r="D872" s="23" t="s">
        <v>1765</v>
      </c>
      <c r="E872" s="24" t="s">
        <v>76</v>
      </c>
      <c r="F872" s="28" t="n">
        <f>123</f>
        <v>123.0</v>
      </c>
      <c r="G872" s="25" t="n">
        <f>7270004</f>
        <v>7270004.0</v>
      </c>
      <c r="H872" s="25"/>
      <c r="I872" s="25" t="n">
        <f>2856854</f>
        <v>2856854.0</v>
      </c>
      <c r="J872" s="25" t="n">
        <f>59106</f>
        <v>59106.0</v>
      </c>
      <c r="K872" s="25" t="n">
        <f>23226</f>
        <v>23226.0</v>
      </c>
      <c r="L872" s="2" t="s">
        <v>693</v>
      </c>
      <c r="M872" s="26" t="n">
        <f>196783</f>
        <v>196783.0</v>
      </c>
      <c r="N872" s="3" t="s">
        <v>64</v>
      </c>
      <c r="O872" s="27" t="n">
        <f>23456</f>
        <v>23456.0</v>
      </c>
      <c r="P872" s="29" t="s">
        <v>1792</v>
      </c>
      <c r="Q872" s="25"/>
      <c r="R872" s="29" t="s">
        <v>1793</v>
      </c>
      <c r="S872" s="25" t="n">
        <f>12687741295</f>
        <v>1.2687741295E10</v>
      </c>
      <c r="T872" s="25" t="n">
        <f>9817852336</f>
        <v>9.817852336E9</v>
      </c>
      <c r="U872" s="3" t="s">
        <v>693</v>
      </c>
      <c r="V872" s="27" t="n">
        <f>122837992940</f>
        <v>1.2283799294E11</v>
      </c>
      <c r="W872" s="3" t="s">
        <v>82</v>
      </c>
      <c r="X872" s="27" t="n">
        <f>3311978130</f>
        <v>3.31197813E9</v>
      </c>
      <c r="Y872" s="27" t="n">
        <f>519332</f>
        <v>519332.0</v>
      </c>
      <c r="Z872" s="25" t="n">
        <f>891490</f>
        <v>891490.0</v>
      </c>
      <c r="AA872" s="25" t="n">
        <f>867934</f>
        <v>867934.0</v>
      </c>
      <c r="AB872" s="2" t="s">
        <v>128</v>
      </c>
      <c r="AC872" s="26" t="n">
        <f>1211870</f>
        <v>1211870.0</v>
      </c>
      <c r="AD872" s="3" t="s">
        <v>81</v>
      </c>
      <c r="AE872" s="27" t="n">
        <f>762568</f>
        <v>762568.0</v>
      </c>
    </row>
    <row r="873">
      <c r="A873" s="20" t="s">
        <v>1758</v>
      </c>
      <c r="B873" s="21" t="s">
        <v>1759</v>
      </c>
      <c r="C873" s="22" t="s">
        <v>1768</v>
      </c>
      <c r="D873" s="23" t="s">
        <v>1769</v>
      </c>
      <c r="E873" s="24" t="s">
        <v>76</v>
      </c>
      <c r="F873" s="28" t="n">
        <f>123</f>
        <v>123.0</v>
      </c>
      <c r="G873" s="25" t="n">
        <f>15499882</f>
        <v>1.5499882E7</v>
      </c>
      <c r="H873" s="25"/>
      <c r="I873" s="25" t="n">
        <f>5638021</f>
        <v>5638021.0</v>
      </c>
      <c r="J873" s="25" t="n">
        <f>126015</f>
        <v>126015.0</v>
      </c>
      <c r="K873" s="25" t="n">
        <f>45838</f>
        <v>45838.0</v>
      </c>
      <c r="L873" s="2" t="s">
        <v>181</v>
      </c>
      <c r="M873" s="26" t="n">
        <f>450584</f>
        <v>450584.0</v>
      </c>
      <c r="N873" s="3" t="s">
        <v>64</v>
      </c>
      <c r="O873" s="27" t="n">
        <f>53574</f>
        <v>53574.0</v>
      </c>
      <c r="P873" s="29" t="s">
        <v>1794</v>
      </c>
      <c r="Q873" s="25"/>
      <c r="R873" s="29" t="s">
        <v>1795</v>
      </c>
      <c r="S873" s="25" t="n">
        <f>24407945724</f>
        <v>2.4407945724E10</v>
      </c>
      <c r="T873" s="25" t="n">
        <f>18505679334</f>
        <v>1.8505679334E10</v>
      </c>
      <c r="U873" s="3" t="s">
        <v>693</v>
      </c>
      <c r="V873" s="27" t="n">
        <f>172826797240</f>
        <v>1.7282679724E11</v>
      </c>
      <c r="W873" s="3" t="s">
        <v>570</v>
      </c>
      <c r="X873" s="27" t="n">
        <f>6588761930</f>
        <v>6.58876193E9</v>
      </c>
      <c r="Y873" s="27" t="n">
        <f>635450</f>
        <v>635450.0</v>
      </c>
      <c r="Z873" s="25" t="n">
        <f>1612253</f>
        <v>1612253.0</v>
      </c>
      <c r="AA873" s="25" t="n">
        <f>1911257</f>
        <v>1911257.0</v>
      </c>
      <c r="AB873" s="2" t="s">
        <v>128</v>
      </c>
      <c r="AC873" s="26" t="n">
        <f>2674817</f>
        <v>2674817.0</v>
      </c>
      <c r="AD873" s="3" t="s">
        <v>81</v>
      </c>
      <c r="AE873" s="27" t="n">
        <f>1623512</f>
        <v>1623512.0</v>
      </c>
    </row>
    <row r="874">
      <c r="A874" s="20" t="s">
        <v>1758</v>
      </c>
      <c r="B874" s="21" t="s">
        <v>1759</v>
      </c>
      <c r="C874" s="22" t="s">
        <v>1760</v>
      </c>
      <c r="D874" s="23" t="s">
        <v>1761</v>
      </c>
      <c r="E874" s="24" t="s">
        <v>83</v>
      </c>
      <c r="F874" s="28" t="n">
        <f>123</f>
        <v>123.0</v>
      </c>
      <c r="G874" s="25" t="n">
        <f>8136212</f>
        <v>8136212.0</v>
      </c>
      <c r="H874" s="25"/>
      <c r="I874" s="25" t="n">
        <f>2672516</f>
        <v>2672516.0</v>
      </c>
      <c r="J874" s="25" t="n">
        <f>66148</f>
        <v>66148.0</v>
      </c>
      <c r="K874" s="25" t="n">
        <f>21728</f>
        <v>21728.0</v>
      </c>
      <c r="L874" s="2" t="s">
        <v>1283</v>
      </c>
      <c r="M874" s="26" t="n">
        <f>134852</f>
        <v>134852.0</v>
      </c>
      <c r="N874" s="3" t="s">
        <v>75</v>
      </c>
      <c r="O874" s="27" t="n">
        <f>26232</f>
        <v>26232.0</v>
      </c>
      <c r="P874" s="29" t="s">
        <v>1796</v>
      </c>
      <c r="Q874" s="25"/>
      <c r="R874" s="29" t="s">
        <v>1797</v>
      </c>
      <c r="S874" s="25" t="n">
        <f>11406982523</f>
        <v>1.1406982523E10</v>
      </c>
      <c r="T874" s="25" t="n">
        <f>8885794677</f>
        <v>8.885794677E9</v>
      </c>
      <c r="U874" s="3" t="s">
        <v>493</v>
      </c>
      <c r="V874" s="27" t="n">
        <f>29796157274</f>
        <v>2.9796157274E10</v>
      </c>
      <c r="W874" s="3" t="s">
        <v>754</v>
      </c>
      <c r="X874" s="27" t="n">
        <f>3957132270</f>
        <v>3.95713227E9</v>
      </c>
      <c r="Y874" s="27" t="n">
        <f>77971</f>
        <v>77971.0</v>
      </c>
      <c r="Z874" s="25" t="n">
        <f>724013</f>
        <v>724013.0</v>
      </c>
      <c r="AA874" s="25" t="n">
        <f>1186466</f>
        <v>1186466.0</v>
      </c>
      <c r="AB874" s="2" t="s">
        <v>427</v>
      </c>
      <c r="AC874" s="26" t="n">
        <f>1353672</f>
        <v>1353672.0</v>
      </c>
      <c r="AD874" s="3" t="s">
        <v>188</v>
      </c>
      <c r="AE874" s="27" t="n">
        <f>920413</f>
        <v>920413.0</v>
      </c>
    </row>
    <row r="875">
      <c r="A875" s="20" t="s">
        <v>1758</v>
      </c>
      <c r="B875" s="21" t="s">
        <v>1759</v>
      </c>
      <c r="C875" s="22" t="s">
        <v>1764</v>
      </c>
      <c r="D875" s="23" t="s">
        <v>1765</v>
      </c>
      <c r="E875" s="24" t="s">
        <v>83</v>
      </c>
      <c r="F875" s="28" t="n">
        <f>123</f>
        <v>123.0</v>
      </c>
      <c r="G875" s="25" t="n">
        <f>6394838</f>
        <v>6394838.0</v>
      </c>
      <c r="H875" s="25"/>
      <c r="I875" s="25" t="n">
        <f>2079280</f>
        <v>2079280.0</v>
      </c>
      <c r="J875" s="25" t="n">
        <f>51991</f>
        <v>51991.0</v>
      </c>
      <c r="K875" s="25" t="n">
        <f>16905</f>
        <v>16905.0</v>
      </c>
      <c r="L875" s="2" t="s">
        <v>312</v>
      </c>
      <c r="M875" s="26" t="n">
        <f>136067</f>
        <v>136067.0</v>
      </c>
      <c r="N875" s="3" t="s">
        <v>85</v>
      </c>
      <c r="O875" s="27" t="n">
        <f>19433</f>
        <v>19433.0</v>
      </c>
      <c r="P875" s="29" t="s">
        <v>1798</v>
      </c>
      <c r="Q875" s="25"/>
      <c r="R875" s="29" t="s">
        <v>1799</v>
      </c>
      <c r="S875" s="25" t="n">
        <f>10029189882</f>
        <v>1.0029189882E10</v>
      </c>
      <c r="T875" s="25" t="n">
        <f>7786999849</f>
        <v>7.786999849E9</v>
      </c>
      <c r="U875" s="3" t="s">
        <v>1179</v>
      </c>
      <c r="V875" s="27" t="n">
        <f>40048789000</f>
        <v>4.0048789E10</v>
      </c>
      <c r="W875" s="3" t="s">
        <v>248</v>
      </c>
      <c r="X875" s="27" t="n">
        <f>1979835870</f>
        <v>1.97983587E9</v>
      </c>
      <c r="Y875" s="27" t="n">
        <f>373601</f>
        <v>373601.0</v>
      </c>
      <c r="Z875" s="25" t="n">
        <f>720509</f>
        <v>720509.0</v>
      </c>
      <c r="AA875" s="25" t="n">
        <f>903012</f>
        <v>903012.0</v>
      </c>
      <c r="AB875" s="2" t="s">
        <v>427</v>
      </c>
      <c r="AC875" s="26" t="n">
        <f>1008911</f>
        <v>1008911.0</v>
      </c>
      <c r="AD875" s="3" t="s">
        <v>188</v>
      </c>
      <c r="AE875" s="27" t="n">
        <f>747535</f>
        <v>747535.0</v>
      </c>
    </row>
    <row r="876">
      <c r="A876" s="20" t="s">
        <v>1758</v>
      </c>
      <c r="B876" s="21" t="s">
        <v>1759</v>
      </c>
      <c r="C876" s="22" t="s">
        <v>1768</v>
      </c>
      <c r="D876" s="23" t="s">
        <v>1769</v>
      </c>
      <c r="E876" s="24" t="s">
        <v>83</v>
      </c>
      <c r="F876" s="28" t="n">
        <f>123</f>
        <v>123.0</v>
      </c>
      <c r="G876" s="25" t="n">
        <f>14531050</f>
        <v>1.453105E7</v>
      </c>
      <c r="H876" s="25"/>
      <c r="I876" s="25" t="n">
        <f>4751796</f>
        <v>4751796.0</v>
      </c>
      <c r="J876" s="25" t="n">
        <f>118139</f>
        <v>118139.0</v>
      </c>
      <c r="K876" s="25" t="n">
        <f>38632</f>
        <v>38632.0</v>
      </c>
      <c r="L876" s="2" t="s">
        <v>312</v>
      </c>
      <c r="M876" s="26" t="n">
        <f>251141</f>
        <v>251141.0</v>
      </c>
      <c r="N876" s="3" t="s">
        <v>75</v>
      </c>
      <c r="O876" s="27" t="n">
        <f>52554</f>
        <v>52554.0</v>
      </c>
      <c r="P876" s="29" t="s">
        <v>1800</v>
      </c>
      <c r="Q876" s="25"/>
      <c r="R876" s="29" t="s">
        <v>1801</v>
      </c>
      <c r="S876" s="25" t="n">
        <f>21436172405</f>
        <v>2.1436172405E10</v>
      </c>
      <c r="T876" s="25" t="n">
        <f>16672794527</f>
        <v>1.6672794527E10</v>
      </c>
      <c r="U876" s="3" t="s">
        <v>1179</v>
      </c>
      <c r="V876" s="27" t="n">
        <f>59348704610</f>
        <v>5.934870461E10</v>
      </c>
      <c r="W876" s="3" t="s">
        <v>249</v>
      </c>
      <c r="X876" s="27" t="n">
        <f>6645883100</f>
        <v>6.6458831E9</v>
      </c>
      <c r="Y876" s="27" t="n">
        <f>451572</f>
        <v>451572.0</v>
      </c>
      <c r="Z876" s="25" t="n">
        <f>1444522</f>
        <v>1444522.0</v>
      </c>
      <c r="AA876" s="25" t="n">
        <f>2089478</f>
        <v>2089478.0</v>
      </c>
      <c r="AB876" s="2" t="s">
        <v>427</v>
      </c>
      <c r="AC876" s="26" t="n">
        <f>2362583</f>
        <v>2362583.0</v>
      </c>
      <c r="AD876" s="3" t="s">
        <v>188</v>
      </c>
      <c r="AE876" s="27" t="n">
        <f>1667948</f>
        <v>1667948.0</v>
      </c>
    </row>
    <row r="877">
      <c r="A877" s="20" t="s">
        <v>1758</v>
      </c>
      <c r="B877" s="21" t="s">
        <v>1759</v>
      </c>
      <c r="C877" s="22" t="s">
        <v>1760</v>
      </c>
      <c r="D877" s="23" t="s">
        <v>1761</v>
      </c>
      <c r="E877" s="24" t="s">
        <v>89</v>
      </c>
      <c r="F877" s="28" t="n">
        <f>124</f>
        <v>124.0</v>
      </c>
      <c r="G877" s="25" t="n">
        <f>10422469</f>
        <v>1.0422469E7</v>
      </c>
      <c r="H877" s="25"/>
      <c r="I877" s="25" t="n">
        <f>3647167</f>
        <v>3647167.0</v>
      </c>
      <c r="J877" s="25" t="n">
        <f>84052</f>
        <v>84052.0</v>
      </c>
      <c r="K877" s="25" t="n">
        <f>29413</f>
        <v>29413.0</v>
      </c>
      <c r="L877" s="2" t="s">
        <v>181</v>
      </c>
      <c r="M877" s="26" t="n">
        <f>211056</f>
        <v>211056.0</v>
      </c>
      <c r="N877" s="3" t="s">
        <v>50</v>
      </c>
      <c r="O877" s="27" t="n">
        <f>24651</f>
        <v>24651.0</v>
      </c>
      <c r="P877" s="29" t="s">
        <v>1802</v>
      </c>
      <c r="Q877" s="25"/>
      <c r="R877" s="29" t="s">
        <v>1803</v>
      </c>
      <c r="S877" s="25" t="n">
        <f>12843993888</f>
        <v>1.2843993888E10</v>
      </c>
      <c r="T877" s="25" t="n">
        <f>9709572848</f>
        <v>9.709572848E9</v>
      </c>
      <c r="U877" s="3" t="s">
        <v>192</v>
      </c>
      <c r="V877" s="27" t="n">
        <f>34137885500</f>
        <v>3.41378855E10</v>
      </c>
      <c r="W877" s="3" t="s">
        <v>50</v>
      </c>
      <c r="X877" s="27" t="n">
        <f>2998478430</f>
        <v>2.99847843E9</v>
      </c>
      <c r="Y877" s="27" t="n">
        <f>88677</f>
        <v>88677.0</v>
      </c>
      <c r="Z877" s="25" t="n">
        <f>1132370</f>
        <v>1132370.0</v>
      </c>
      <c r="AA877" s="25" t="n">
        <f>1256049</f>
        <v>1256049.0</v>
      </c>
      <c r="AB877" s="2" t="s">
        <v>137</v>
      </c>
      <c r="AC877" s="26" t="n">
        <f>1762140</f>
        <v>1762140.0</v>
      </c>
      <c r="AD877" s="3" t="s">
        <v>128</v>
      </c>
      <c r="AE877" s="27" t="n">
        <f>1060896</f>
        <v>1060896.0</v>
      </c>
    </row>
    <row r="878">
      <c r="A878" s="20" t="s">
        <v>1758</v>
      </c>
      <c r="B878" s="21" t="s">
        <v>1759</v>
      </c>
      <c r="C878" s="22" t="s">
        <v>1764</v>
      </c>
      <c r="D878" s="23" t="s">
        <v>1765</v>
      </c>
      <c r="E878" s="24" t="s">
        <v>89</v>
      </c>
      <c r="F878" s="28" t="n">
        <f>124</f>
        <v>124.0</v>
      </c>
      <c r="G878" s="25" t="n">
        <f>7641249</f>
        <v>7641249.0</v>
      </c>
      <c r="H878" s="25"/>
      <c r="I878" s="25" t="n">
        <f>2626967</f>
        <v>2626967.0</v>
      </c>
      <c r="J878" s="25" t="n">
        <f>61623</f>
        <v>61623.0</v>
      </c>
      <c r="K878" s="25" t="n">
        <f>21185</f>
        <v>21185.0</v>
      </c>
      <c r="L878" s="2" t="s">
        <v>181</v>
      </c>
      <c r="M878" s="26" t="n">
        <f>203055</f>
        <v>203055.0</v>
      </c>
      <c r="N878" s="3" t="s">
        <v>50</v>
      </c>
      <c r="O878" s="27" t="n">
        <f>15551</f>
        <v>15551.0</v>
      </c>
      <c r="P878" s="29" t="s">
        <v>1804</v>
      </c>
      <c r="Q878" s="25"/>
      <c r="R878" s="29" t="s">
        <v>1805</v>
      </c>
      <c r="S878" s="25" t="n">
        <f>13054350658</f>
        <v>1.3054350658E10</v>
      </c>
      <c r="T878" s="25" t="n">
        <f>10030116295</f>
        <v>1.0030116295E10</v>
      </c>
      <c r="U878" s="3" t="s">
        <v>1331</v>
      </c>
      <c r="V878" s="27" t="n">
        <f>88313638190</f>
        <v>8.831363819E10</v>
      </c>
      <c r="W878" s="3" t="s">
        <v>846</v>
      </c>
      <c r="X878" s="27" t="n">
        <f>1557150645</f>
        <v>1.557150645E9</v>
      </c>
      <c r="Y878" s="27" t="n">
        <f>600722</f>
        <v>600722.0</v>
      </c>
      <c r="Z878" s="25" t="n">
        <f>1127948</f>
        <v>1127948.0</v>
      </c>
      <c r="AA878" s="25" t="n">
        <f>827797</f>
        <v>827797.0</v>
      </c>
      <c r="AB878" s="2" t="s">
        <v>137</v>
      </c>
      <c r="AC878" s="26" t="n">
        <f>1229878</f>
        <v>1229878.0</v>
      </c>
      <c r="AD878" s="3" t="s">
        <v>128</v>
      </c>
      <c r="AE878" s="27" t="n">
        <f>733024</f>
        <v>733024.0</v>
      </c>
    </row>
    <row r="879">
      <c r="A879" s="20" t="s">
        <v>1758</v>
      </c>
      <c r="B879" s="21" t="s">
        <v>1759</v>
      </c>
      <c r="C879" s="22" t="s">
        <v>1768</v>
      </c>
      <c r="D879" s="23" t="s">
        <v>1769</v>
      </c>
      <c r="E879" s="24" t="s">
        <v>89</v>
      </c>
      <c r="F879" s="28" t="n">
        <f>124</f>
        <v>124.0</v>
      </c>
      <c r="G879" s="25" t="n">
        <f>18063718</f>
        <v>1.8063718E7</v>
      </c>
      <c r="H879" s="25"/>
      <c r="I879" s="25" t="n">
        <f>6274134</f>
        <v>6274134.0</v>
      </c>
      <c r="J879" s="25" t="n">
        <f>145675</f>
        <v>145675.0</v>
      </c>
      <c r="K879" s="25" t="n">
        <f>50598</f>
        <v>50598.0</v>
      </c>
      <c r="L879" s="2" t="s">
        <v>181</v>
      </c>
      <c r="M879" s="26" t="n">
        <f>414111</f>
        <v>414111.0</v>
      </c>
      <c r="N879" s="3" t="s">
        <v>50</v>
      </c>
      <c r="O879" s="27" t="n">
        <f>40202</f>
        <v>40202.0</v>
      </c>
      <c r="P879" s="29" t="s">
        <v>1806</v>
      </c>
      <c r="Q879" s="25"/>
      <c r="R879" s="29" t="s">
        <v>1807</v>
      </c>
      <c r="S879" s="25" t="n">
        <f>25898344545</f>
        <v>2.5898344545E10</v>
      </c>
      <c r="T879" s="25" t="n">
        <f>19739689142</f>
        <v>1.9739689142E10</v>
      </c>
      <c r="U879" s="3" t="s">
        <v>94</v>
      </c>
      <c r="V879" s="27" t="n">
        <f>103494362020</f>
        <v>1.0349436202E11</v>
      </c>
      <c r="W879" s="3" t="s">
        <v>114</v>
      </c>
      <c r="X879" s="27" t="n">
        <f>5966774000</f>
        <v>5.966774E9</v>
      </c>
      <c r="Y879" s="27" t="n">
        <f>689399</f>
        <v>689399.0</v>
      </c>
      <c r="Z879" s="25" t="n">
        <f>2260318</f>
        <v>2260318.0</v>
      </c>
      <c r="AA879" s="25" t="n">
        <f>2083846</f>
        <v>2083846.0</v>
      </c>
      <c r="AB879" s="2" t="s">
        <v>137</v>
      </c>
      <c r="AC879" s="26" t="n">
        <f>2992018</f>
        <v>2992018.0</v>
      </c>
      <c r="AD879" s="3" t="s">
        <v>128</v>
      </c>
      <c r="AE879" s="27" t="n">
        <f>1793920</f>
        <v>1793920.0</v>
      </c>
    </row>
    <row r="880">
      <c r="A880" s="20" t="s">
        <v>1758</v>
      </c>
      <c r="B880" s="21" t="s">
        <v>1759</v>
      </c>
      <c r="C880" s="22" t="s">
        <v>1760</v>
      </c>
      <c r="D880" s="23" t="s">
        <v>1761</v>
      </c>
      <c r="E880" s="24" t="s">
        <v>96</v>
      </c>
      <c r="F880" s="28" t="n">
        <f>121</f>
        <v>121.0</v>
      </c>
      <c r="G880" s="25" t="n">
        <f>10756424</f>
        <v>1.0756424E7</v>
      </c>
      <c r="H880" s="25"/>
      <c r="I880" s="25" t="n">
        <f>4083526</f>
        <v>4083526.0</v>
      </c>
      <c r="J880" s="25" t="n">
        <f>88896</f>
        <v>88896.0</v>
      </c>
      <c r="K880" s="25" t="n">
        <f>33748</f>
        <v>33748.0</v>
      </c>
      <c r="L880" s="2" t="s">
        <v>476</v>
      </c>
      <c r="M880" s="26" t="n">
        <f>394239</f>
        <v>394239.0</v>
      </c>
      <c r="N880" s="3" t="s">
        <v>176</v>
      </c>
      <c r="O880" s="27" t="n">
        <f>45209</f>
        <v>45209.0</v>
      </c>
      <c r="P880" s="29" t="s">
        <v>1808</v>
      </c>
      <c r="Q880" s="25"/>
      <c r="R880" s="29" t="s">
        <v>1809</v>
      </c>
      <c r="S880" s="25" t="n">
        <f>17285504651</f>
        <v>1.7285504651E10</v>
      </c>
      <c r="T880" s="25" t="n">
        <f>12925735419</f>
        <v>1.2925735419E10</v>
      </c>
      <c r="U880" s="3" t="s">
        <v>476</v>
      </c>
      <c r="V880" s="27" t="n">
        <f>99542506066</f>
        <v>9.9542506066E10</v>
      </c>
      <c r="W880" s="3" t="s">
        <v>513</v>
      </c>
      <c r="X880" s="27" t="n">
        <f>5019825460</f>
        <v>5.01982546E9</v>
      </c>
      <c r="Y880" s="27" t="n">
        <f>209016</f>
        <v>209016.0</v>
      </c>
      <c r="Z880" s="25" t="n">
        <f>1319839</f>
        <v>1319839.0</v>
      </c>
      <c r="AA880" s="25" t="n">
        <f>1307784</f>
        <v>1307784.0</v>
      </c>
      <c r="AB880" s="2" t="s">
        <v>70</v>
      </c>
      <c r="AC880" s="26" t="n">
        <f>1513604</f>
        <v>1513604.0</v>
      </c>
      <c r="AD880" s="3" t="s">
        <v>863</v>
      </c>
      <c r="AE880" s="27" t="n">
        <f>1108365</f>
        <v>1108365.0</v>
      </c>
    </row>
    <row r="881">
      <c r="A881" s="20" t="s">
        <v>1758</v>
      </c>
      <c r="B881" s="21" t="s">
        <v>1759</v>
      </c>
      <c r="C881" s="22" t="s">
        <v>1764</v>
      </c>
      <c r="D881" s="23" t="s">
        <v>1765</v>
      </c>
      <c r="E881" s="24" t="s">
        <v>96</v>
      </c>
      <c r="F881" s="28" t="n">
        <f>121</f>
        <v>121.0</v>
      </c>
      <c r="G881" s="25" t="n">
        <f>7218172</f>
        <v>7218172.0</v>
      </c>
      <c r="H881" s="25"/>
      <c r="I881" s="25" t="n">
        <f>2283328</f>
        <v>2283328.0</v>
      </c>
      <c r="J881" s="25" t="n">
        <f>59654</f>
        <v>59654.0</v>
      </c>
      <c r="K881" s="25" t="n">
        <f>18870</f>
        <v>18870.0</v>
      </c>
      <c r="L881" s="2" t="s">
        <v>476</v>
      </c>
      <c r="M881" s="26" t="n">
        <f>188857</f>
        <v>188857.0</v>
      </c>
      <c r="N881" s="3" t="s">
        <v>135</v>
      </c>
      <c r="O881" s="27" t="n">
        <f>21711</f>
        <v>21711.0</v>
      </c>
      <c r="P881" s="29" t="s">
        <v>1810</v>
      </c>
      <c r="Q881" s="25"/>
      <c r="R881" s="29" t="s">
        <v>1811</v>
      </c>
      <c r="S881" s="25" t="n">
        <f>10642708335</f>
        <v>1.0642708335E10</v>
      </c>
      <c r="T881" s="25" t="n">
        <f>7656842087</f>
        <v>7.656842087E9</v>
      </c>
      <c r="U881" s="3" t="s">
        <v>476</v>
      </c>
      <c r="V881" s="27" t="n">
        <f>34298687250</f>
        <v>3.429868725E10</v>
      </c>
      <c r="W881" s="3" t="s">
        <v>513</v>
      </c>
      <c r="X881" s="27" t="n">
        <f>3010524022</f>
        <v>3.010524022E9</v>
      </c>
      <c r="Y881" s="27" t="n">
        <f>361668</f>
        <v>361668.0</v>
      </c>
      <c r="Z881" s="25" t="n">
        <f>815578</f>
        <v>815578.0</v>
      </c>
      <c r="AA881" s="25" t="n">
        <f>736979</f>
        <v>736979.0</v>
      </c>
      <c r="AB881" s="2" t="s">
        <v>70</v>
      </c>
      <c r="AC881" s="26" t="n">
        <f>1080592</f>
        <v>1080592.0</v>
      </c>
      <c r="AD881" s="3" t="s">
        <v>427</v>
      </c>
      <c r="AE881" s="27" t="n">
        <f>661943</f>
        <v>661943.0</v>
      </c>
    </row>
    <row r="882">
      <c r="A882" s="20" t="s">
        <v>1758</v>
      </c>
      <c r="B882" s="21" t="s">
        <v>1759</v>
      </c>
      <c r="C882" s="22" t="s">
        <v>1768</v>
      </c>
      <c r="D882" s="23" t="s">
        <v>1769</v>
      </c>
      <c r="E882" s="24" t="s">
        <v>96</v>
      </c>
      <c r="F882" s="28" t="n">
        <f>121</f>
        <v>121.0</v>
      </c>
      <c r="G882" s="25" t="n">
        <f>17974596</f>
        <v>1.7974596E7</v>
      </c>
      <c r="H882" s="25"/>
      <c r="I882" s="25" t="n">
        <f>6366854</f>
        <v>6366854.0</v>
      </c>
      <c r="J882" s="25" t="n">
        <f>148550</f>
        <v>148550.0</v>
      </c>
      <c r="K882" s="25" t="n">
        <f>52619</f>
        <v>52619.0</v>
      </c>
      <c r="L882" s="2" t="s">
        <v>476</v>
      </c>
      <c r="M882" s="26" t="n">
        <f>583096</f>
        <v>583096.0</v>
      </c>
      <c r="N882" s="3" t="s">
        <v>479</v>
      </c>
      <c r="O882" s="27" t="n">
        <f>75589</f>
        <v>75589.0</v>
      </c>
      <c r="P882" s="29" t="s">
        <v>1812</v>
      </c>
      <c r="Q882" s="25"/>
      <c r="R882" s="29" t="s">
        <v>1813</v>
      </c>
      <c r="S882" s="25" t="n">
        <f>27928212985</f>
        <v>2.7928212985E10</v>
      </c>
      <c r="T882" s="25" t="n">
        <f>20582577506</f>
        <v>2.0582577506E10</v>
      </c>
      <c r="U882" s="3" t="s">
        <v>476</v>
      </c>
      <c r="V882" s="27" t="n">
        <f>133841193316</f>
        <v>1.33841193316E11</v>
      </c>
      <c r="W882" s="3" t="s">
        <v>513</v>
      </c>
      <c r="X882" s="27" t="n">
        <f>8030349482</f>
        <v>8.030349482E9</v>
      </c>
      <c r="Y882" s="27" t="n">
        <f>570684</f>
        <v>570684.0</v>
      </c>
      <c r="Z882" s="25" t="n">
        <f>2135417</f>
        <v>2135417.0</v>
      </c>
      <c r="AA882" s="25" t="n">
        <f>2044763</f>
        <v>2044763.0</v>
      </c>
      <c r="AB882" s="2" t="s">
        <v>70</v>
      </c>
      <c r="AC882" s="26" t="n">
        <f>2594196</f>
        <v>2594196.0</v>
      </c>
      <c r="AD882" s="3" t="s">
        <v>427</v>
      </c>
      <c r="AE882" s="27" t="n">
        <f>1775364</f>
        <v>1775364.0</v>
      </c>
    </row>
    <row r="883">
      <c r="A883" s="20" t="s">
        <v>1758</v>
      </c>
      <c r="B883" s="21" t="s">
        <v>1759</v>
      </c>
      <c r="C883" s="22" t="s">
        <v>1760</v>
      </c>
      <c r="D883" s="23" t="s">
        <v>1761</v>
      </c>
      <c r="E883" s="24" t="s">
        <v>102</v>
      </c>
      <c r="F883" s="28" t="n">
        <f>124</f>
        <v>124.0</v>
      </c>
      <c r="G883" s="25" t="n">
        <f>10368973</f>
        <v>1.0368973E7</v>
      </c>
      <c r="H883" s="25"/>
      <c r="I883" s="25" t="n">
        <f>3809771</f>
        <v>3809771.0</v>
      </c>
      <c r="J883" s="25" t="n">
        <f>83621</f>
        <v>83621.0</v>
      </c>
      <c r="K883" s="25" t="n">
        <f>30724</f>
        <v>30724.0</v>
      </c>
      <c r="L883" s="2" t="s">
        <v>197</v>
      </c>
      <c r="M883" s="26" t="n">
        <f>240849</f>
        <v>240849.0</v>
      </c>
      <c r="N883" s="3" t="s">
        <v>339</v>
      </c>
      <c r="O883" s="27" t="n">
        <f>31760</f>
        <v>31760.0</v>
      </c>
      <c r="P883" s="29" t="s">
        <v>1814</v>
      </c>
      <c r="Q883" s="25"/>
      <c r="R883" s="29" t="s">
        <v>1815</v>
      </c>
      <c r="S883" s="25" t="n">
        <f>15008673557</f>
        <v>1.5008673557E10</v>
      </c>
      <c r="T883" s="25" t="n">
        <f>10489002625</f>
        <v>1.0489002625E10</v>
      </c>
      <c r="U883" s="3" t="s">
        <v>882</v>
      </c>
      <c r="V883" s="27" t="n">
        <f>51496085560</f>
        <v>5.149608556E10</v>
      </c>
      <c r="W883" s="3" t="s">
        <v>206</v>
      </c>
      <c r="X883" s="27" t="n">
        <f>2962449277</f>
        <v>2.962449277E9</v>
      </c>
      <c r="Y883" s="27" t="n">
        <f>181481</f>
        <v>181481.0</v>
      </c>
      <c r="Z883" s="25" t="n">
        <f>1366874</f>
        <v>1366874.0</v>
      </c>
      <c r="AA883" s="25" t="n">
        <f>1194476</f>
        <v>1194476.0</v>
      </c>
      <c r="AB883" s="2" t="s">
        <v>117</v>
      </c>
      <c r="AC883" s="26" t="n">
        <f>1521743</f>
        <v>1521743.0</v>
      </c>
      <c r="AD883" s="3" t="s">
        <v>216</v>
      </c>
      <c r="AE883" s="27" t="n">
        <f>1045909</f>
        <v>1045909.0</v>
      </c>
    </row>
    <row r="884">
      <c r="A884" s="20" t="s">
        <v>1758</v>
      </c>
      <c r="B884" s="21" t="s">
        <v>1759</v>
      </c>
      <c r="C884" s="22" t="s">
        <v>1764</v>
      </c>
      <c r="D884" s="23" t="s">
        <v>1765</v>
      </c>
      <c r="E884" s="24" t="s">
        <v>102</v>
      </c>
      <c r="F884" s="28" t="n">
        <f>124</f>
        <v>124.0</v>
      </c>
      <c r="G884" s="25" t="n">
        <f>7158742</f>
        <v>7158742.0</v>
      </c>
      <c r="H884" s="25"/>
      <c r="I884" s="25" t="n">
        <f>2034761</f>
        <v>2034761.0</v>
      </c>
      <c r="J884" s="25" t="n">
        <f>57732</f>
        <v>57732.0</v>
      </c>
      <c r="K884" s="25" t="n">
        <f>16409</f>
        <v>16409.0</v>
      </c>
      <c r="L884" s="2" t="s">
        <v>197</v>
      </c>
      <c r="M884" s="26" t="n">
        <f>136408</f>
        <v>136408.0</v>
      </c>
      <c r="N884" s="3" t="s">
        <v>259</v>
      </c>
      <c r="O884" s="27" t="n">
        <f>25105</f>
        <v>25105.0</v>
      </c>
      <c r="P884" s="29" t="s">
        <v>1816</v>
      </c>
      <c r="Q884" s="25"/>
      <c r="R884" s="29" t="s">
        <v>1817</v>
      </c>
      <c r="S884" s="25" t="n">
        <f>9470310649</f>
        <v>9.470310649E9</v>
      </c>
      <c r="T884" s="25" t="n">
        <f>6039947363</f>
        <v>6.039947363E9</v>
      </c>
      <c r="U884" s="3" t="s">
        <v>114</v>
      </c>
      <c r="V884" s="27" t="n">
        <f>23424331000</f>
        <v>2.3424331E10</v>
      </c>
      <c r="W884" s="3" t="s">
        <v>994</v>
      </c>
      <c r="X884" s="27" t="n">
        <f>1918969000</f>
        <v>1.918969E9</v>
      </c>
      <c r="Y884" s="27" t="n">
        <f>242437</f>
        <v>242437.0</v>
      </c>
      <c r="Z884" s="25" t="n">
        <f>905153</f>
        <v>905153.0</v>
      </c>
      <c r="AA884" s="25" t="n">
        <f>714893</f>
        <v>714893.0</v>
      </c>
      <c r="AB884" s="2" t="s">
        <v>53</v>
      </c>
      <c r="AC884" s="26" t="n">
        <f>921836</f>
        <v>921836.0</v>
      </c>
      <c r="AD884" s="3" t="s">
        <v>216</v>
      </c>
      <c r="AE884" s="27" t="n">
        <f>563391</f>
        <v>563391.0</v>
      </c>
    </row>
    <row r="885">
      <c r="A885" s="20" t="s">
        <v>1758</v>
      </c>
      <c r="B885" s="21" t="s">
        <v>1759</v>
      </c>
      <c r="C885" s="22" t="s">
        <v>1768</v>
      </c>
      <c r="D885" s="23" t="s">
        <v>1769</v>
      </c>
      <c r="E885" s="24" t="s">
        <v>102</v>
      </c>
      <c r="F885" s="28" t="n">
        <f>124</f>
        <v>124.0</v>
      </c>
      <c r="G885" s="25" t="n">
        <f>17527715</f>
        <v>1.7527715E7</v>
      </c>
      <c r="H885" s="25"/>
      <c r="I885" s="25" t="n">
        <f>5844532</f>
        <v>5844532.0</v>
      </c>
      <c r="J885" s="25" t="n">
        <f>141353</f>
        <v>141353.0</v>
      </c>
      <c r="K885" s="25" t="n">
        <f>47133</f>
        <v>47133.0</v>
      </c>
      <c r="L885" s="2" t="s">
        <v>197</v>
      </c>
      <c r="M885" s="26" t="n">
        <f>377257</f>
        <v>377257.0</v>
      </c>
      <c r="N885" s="3" t="s">
        <v>339</v>
      </c>
      <c r="O885" s="27" t="n">
        <f>61961</f>
        <v>61961.0</v>
      </c>
      <c r="P885" s="29" t="s">
        <v>1818</v>
      </c>
      <c r="Q885" s="25"/>
      <c r="R885" s="29" t="s">
        <v>1819</v>
      </c>
      <c r="S885" s="25" t="n">
        <f>24478984206</f>
        <v>2.4478984206E10</v>
      </c>
      <c r="T885" s="25" t="n">
        <f>16528949988</f>
        <v>1.6528949988E10</v>
      </c>
      <c r="U885" s="3" t="s">
        <v>114</v>
      </c>
      <c r="V885" s="27" t="n">
        <f>74838588450</f>
        <v>7.483858845E10</v>
      </c>
      <c r="W885" s="3" t="s">
        <v>206</v>
      </c>
      <c r="X885" s="27" t="n">
        <f>5622476126</f>
        <v>5.622476126E9</v>
      </c>
      <c r="Y885" s="27" t="n">
        <f>423918</f>
        <v>423918.0</v>
      </c>
      <c r="Z885" s="25" t="n">
        <f>2272027</f>
        <v>2272027.0</v>
      </c>
      <c r="AA885" s="25" t="n">
        <f>1909369</f>
        <v>1909369.0</v>
      </c>
      <c r="AB885" s="2" t="s">
        <v>53</v>
      </c>
      <c r="AC885" s="26" t="n">
        <f>2437843</f>
        <v>2437843.0</v>
      </c>
      <c r="AD885" s="3" t="s">
        <v>216</v>
      </c>
      <c r="AE885" s="27" t="n">
        <f>1609300</f>
        <v>1609300.0</v>
      </c>
    </row>
    <row r="886">
      <c r="A886" s="20" t="s">
        <v>1758</v>
      </c>
      <c r="B886" s="21" t="s">
        <v>1759</v>
      </c>
      <c r="C886" s="22" t="s">
        <v>1760</v>
      </c>
      <c r="D886" s="23" t="s">
        <v>1761</v>
      </c>
      <c r="E886" s="24" t="s">
        <v>107</v>
      </c>
      <c r="F886" s="28" t="n">
        <f>117</f>
        <v>117.0</v>
      </c>
      <c r="G886" s="25" t="n">
        <f>8849939</f>
        <v>8849939.0</v>
      </c>
      <c r="H886" s="25"/>
      <c r="I886" s="25" t="n">
        <f>3615589</f>
        <v>3615589.0</v>
      </c>
      <c r="J886" s="25" t="n">
        <f>75641</f>
        <v>75641.0</v>
      </c>
      <c r="K886" s="25" t="n">
        <f>30902</f>
        <v>30902.0</v>
      </c>
      <c r="L886" s="2" t="s">
        <v>855</v>
      </c>
      <c r="M886" s="26" t="n">
        <f>135009</f>
        <v>135009.0</v>
      </c>
      <c r="N886" s="3" t="s">
        <v>85</v>
      </c>
      <c r="O886" s="27" t="n">
        <f>39373</f>
        <v>39373.0</v>
      </c>
      <c r="P886" s="29" t="s">
        <v>1820</v>
      </c>
      <c r="Q886" s="25"/>
      <c r="R886" s="29" t="s">
        <v>1821</v>
      </c>
      <c r="S886" s="25" t="n">
        <f>14276372249</f>
        <v>1.4276372249E10</v>
      </c>
      <c r="T886" s="25" t="n">
        <f>10894689172</f>
        <v>1.0894689172E10</v>
      </c>
      <c r="U886" s="3" t="s">
        <v>146</v>
      </c>
      <c r="V886" s="27" t="n">
        <f>44067265500</f>
        <v>4.40672655E10</v>
      </c>
      <c r="W886" s="3" t="s">
        <v>108</v>
      </c>
      <c r="X886" s="27" t="n">
        <f>5426904500</f>
        <v>5.4269045E9</v>
      </c>
      <c r="Y886" s="27" t="n">
        <f>196476</f>
        <v>196476.0</v>
      </c>
      <c r="Z886" s="25" t="n">
        <f>1362625</f>
        <v>1362625.0</v>
      </c>
      <c r="AA886" s="25" t="n">
        <f>1166777</f>
        <v>1166777.0</v>
      </c>
      <c r="AB886" s="2" t="s">
        <v>98</v>
      </c>
      <c r="AC886" s="26" t="n">
        <f>1455021</f>
        <v>1455021.0</v>
      </c>
      <c r="AD886" s="3" t="s">
        <v>265</v>
      </c>
      <c r="AE886" s="27" t="n">
        <f>1078924</f>
        <v>1078924.0</v>
      </c>
    </row>
    <row r="887">
      <c r="A887" s="20" t="s">
        <v>1758</v>
      </c>
      <c r="B887" s="21" t="s">
        <v>1759</v>
      </c>
      <c r="C887" s="22" t="s">
        <v>1764</v>
      </c>
      <c r="D887" s="23" t="s">
        <v>1765</v>
      </c>
      <c r="E887" s="24" t="s">
        <v>107</v>
      </c>
      <c r="F887" s="28" t="n">
        <f>117</f>
        <v>117.0</v>
      </c>
      <c r="G887" s="25" t="n">
        <f>5558167</f>
        <v>5558167.0</v>
      </c>
      <c r="H887" s="25"/>
      <c r="I887" s="25" t="n">
        <f>1664040</f>
        <v>1664040.0</v>
      </c>
      <c r="J887" s="25" t="n">
        <f>47506</f>
        <v>47506.0</v>
      </c>
      <c r="K887" s="25" t="n">
        <f>14223</f>
        <v>14223.0</v>
      </c>
      <c r="L887" s="2" t="s">
        <v>855</v>
      </c>
      <c r="M887" s="26" t="n">
        <f>87371</f>
        <v>87371.0</v>
      </c>
      <c r="N887" s="3" t="s">
        <v>479</v>
      </c>
      <c r="O887" s="27" t="n">
        <f>24480</f>
        <v>24480.0</v>
      </c>
      <c r="P887" s="29" t="s">
        <v>1822</v>
      </c>
      <c r="Q887" s="25"/>
      <c r="R887" s="29" t="s">
        <v>1823</v>
      </c>
      <c r="S887" s="25" t="n">
        <f>7692820865</f>
        <v>7.692820865E9</v>
      </c>
      <c r="T887" s="25" t="n">
        <f>5262745233</f>
        <v>5.262745233E9</v>
      </c>
      <c r="U887" s="3" t="s">
        <v>146</v>
      </c>
      <c r="V887" s="27" t="n">
        <f>46634806000</f>
        <v>4.6634806E10</v>
      </c>
      <c r="W887" s="3" t="s">
        <v>479</v>
      </c>
      <c r="X887" s="27" t="n">
        <f>2456682000</f>
        <v>2.456682E9</v>
      </c>
      <c r="Y887" s="27" t="n">
        <f>171302</f>
        <v>171302.0</v>
      </c>
      <c r="Z887" s="25" t="n">
        <f>813074</f>
        <v>813074.0</v>
      </c>
      <c r="AA887" s="25" t="n">
        <f>642761</f>
        <v>642761.0</v>
      </c>
      <c r="AB887" s="2" t="s">
        <v>98</v>
      </c>
      <c r="AC887" s="26" t="n">
        <f>829406</f>
        <v>829406.0</v>
      </c>
      <c r="AD887" s="3" t="s">
        <v>135</v>
      </c>
      <c r="AE887" s="27" t="n">
        <f>599750</f>
        <v>599750.0</v>
      </c>
    </row>
    <row r="888">
      <c r="A888" s="20" t="s">
        <v>1758</v>
      </c>
      <c r="B888" s="21" t="s">
        <v>1759</v>
      </c>
      <c r="C888" s="22" t="s">
        <v>1768</v>
      </c>
      <c r="D888" s="23" t="s">
        <v>1769</v>
      </c>
      <c r="E888" s="24" t="s">
        <v>107</v>
      </c>
      <c r="F888" s="28" t="n">
        <f>117</f>
        <v>117.0</v>
      </c>
      <c r="G888" s="25" t="n">
        <f>14408106</f>
        <v>1.4408106E7</v>
      </c>
      <c r="H888" s="25"/>
      <c r="I888" s="25" t="n">
        <f>5279629</f>
        <v>5279629.0</v>
      </c>
      <c r="J888" s="25" t="n">
        <f>123146</f>
        <v>123146.0</v>
      </c>
      <c r="K888" s="25" t="n">
        <f>45125</f>
        <v>45125.0</v>
      </c>
      <c r="L888" s="2" t="s">
        <v>855</v>
      </c>
      <c r="M888" s="26" t="n">
        <f>222380</f>
        <v>222380.0</v>
      </c>
      <c r="N888" s="3" t="s">
        <v>378</v>
      </c>
      <c r="O888" s="27" t="n">
        <f>67690</f>
        <v>67690.0</v>
      </c>
      <c r="P888" s="29" t="s">
        <v>1824</v>
      </c>
      <c r="Q888" s="25"/>
      <c r="R888" s="29" t="s">
        <v>1825</v>
      </c>
      <c r="S888" s="25" t="n">
        <f>21969193114</f>
        <v>2.1969193114E10</v>
      </c>
      <c r="T888" s="25" t="n">
        <f>16157434405</f>
        <v>1.6157434405E10</v>
      </c>
      <c r="U888" s="3" t="s">
        <v>146</v>
      </c>
      <c r="V888" s="27" t="n">
        <f>90702071500</f>
        <v>9.07020715E10</v>
      </c>
      <c r="W888" s="3" t="s">
        <v>108</v>
      </c>
      <c r="X888" s="27" t="n">
        <f>8764215500</f>
        <v>8.7642155E9</v>
      </c>
      <c r="Y888" s="27" t="n">
        <f>367778</f>
        <v>367778.0</v>
      </c>
      <c r="Z888" s="25" t="n">
        <f>2175699</f>
        <v>2175699.0</v>
      </c>
      <c r="AA888" s="25" t="n">
        <f>1809538</f>
        <v>1809538.0</v>
      </c>
      <c r="AB888" s="2" t="s">
        <v>98</v>
      </c>
      <c r="AC888" s="26" t="n">
        <f>2284427</f>
        <v>2284427.0</v>
      </c>
      <c r="AD888" s="3" t="s">
        <v>265</v>
      </c>
      <c r="AE888" s="27" t="n">
        <f>1692789</f>
        <v>1692789.0</v>
      </c>
    </row>
    <row r="889">
      <c r="A889" s="20" t="s">
        <v>1758</v>
      </c>
      <c r="B889" s="21" t="s">
        <v>1759</v>
      </c>
      <c r="C889" s="22" t="s">
        <v>1760</v>
      </c>
      <c r="D889" s="23" t="s">
        <v>1761</v>
      </c>
      <c r="E889" s="24" t="s">
        <v>113</v>
      </c>
      <c r="F889" s="28" t="n">
        <f>124</f>
        <v>124.0</v>
      </c>
      <c r="G889" s="25" t="n">
        <f>9238670</f>
        <v>9238670.0</v>
      </c>
      <c r="H889" s="25"/>
      <c r="I889" s="25" t="n">
        <f>3026688</f>
        <v>3026688.0</v>
      </c>
      <c r="J889" s="25" t="n">
        <f>74505</f>
        <v>74505.0</v>
      </c>
      <c r="K889" s="25" t="n">
        <f>24409</f>
        <v>24409.0</v>
      </c>
      <c r="L889" s="2" t="s">
        <v>206</v>
      </c>
      <c r="M889" s="26" t="n">
        <f>184133</f>
        <v>184133.0</v>
      </c>
      <c r="N889" s="3" t="s">
        <v>498</v>
      </c>
      <c r="O889" s="27" t="n">
        <f>26864</f>
        <v>26864.0</v>
      </c>
      <c r="P889" s="29" t="s">
        <v>1826</v>
      </c>
      <c r="Q889" s="25"/>
      <c r="R889" s="29" t="s">
        <v>1827</v>
      </c>
      <c r="S889" s="25" t="n">
        <f>11034806042</f>
        <v>1.1034806042E10</v>
      </c>
      <c r="T889" s="25" t="n">
        <f>7723747993</f>
        <v>7.723747993E9</v>
      </c>
      <c r="U889" s="3" t="s">
        <v>1828</v>
      </c>
      <c r="V889" s="27" t="n">
        <f>36053452900</f>
        <v>3.60534529E10</v>
      </c>
      <c r="W889" s="3" t="s">
        <v>114</v>
      </c>
      <c r="X889" s="27" t="n">
        <f>1944993000</f>
        <v>1.944993E9</v>
      </c>
      <c r="Y889" s="27" t="n">
        <f>46667</f>
        <v>46667.0</v>
      </c>
      <c r="Z889" s="25" t="n">
        <f>1564758</f>
        <v>1564758.0</v>
      </c>
      <c r="AA889" s="25" t="n">
        <f>1027230</f>
        <v>1027230.0</v>
      </c>
      <c r="AB889" s="2" t="s">
        <v>53</v>
      </c>
      <c r="AC889" s="26" t="n">
        <f>1411854</f>
        <v>1411854.0</v>
      </c>
      <c r="AD889" s="3" t="s">
        <v>117</v>
      </c>
      <c r="AE889" s="27" t="n">
        <f>903874</f>
        <v>903874.0</v>
      </c>
    </row>
    <row r="890">
      <c r="A890" s="20" t="s">
        <v>1758</v>
      </c>
      <c r="B890" s="21" t="s">
        <v>1759</v>
      </c>
      <c r="C890" s="22" t="s">
        <v>1764</v>
      </c>
      <c r="D890" s="23" t="s">
        <v>1765</v>
      </c>
      <c r="E890" s="24" t="s">
        <v>113</v>
      </c>
      <c r="F890" s="28" t="n">
        <f>124</f>
        <v>124.0</v>
      </c>
      <c r="G890" s="25" t="n">
        <f>6116796</f>
        <v>6116796.0</v>
      </c>
      <c r="H890" s="25"/>
      <c r="I890" s="25" t="n">
        <f>1696490</f>
        <v>1696490.0</v>
      </c>
      <c r="J890" s="25" t="n">
        <f>49329</f>
        <v>49329.0</v>
      </c>
      <c r="K890" s="25" t="n">
        <f>13681</f>
        <v>13681.0</v>
      </c>
      <c r="L890" s="2" t="s">
        <v>241</v>
      </c>
      <c r="M890" s="26" t="n">
        <f>106389</f>
        <v>106389.0</v>
      </c>
      <c r="N890" s="3" t="s">
        <v>114</v>
      </c>
      <c r="O890" s="27" t="n">
        <f>17906</f>
        <v>17906.0</v>
      </c>
      <c r="P890" s="29" t="s">
        <v>1829</v>
      </c>
      <c r="Q890" s="25"/>
      <c r="R890" s="29" t="s">
        <v>1830</v>
      </c>
      <c r="S890" s="25" t="n">
        <f>6762294235</f>
        <v>6.762294235E9</v>
      </c>
      <c r="T890" s="25" t="n">
        <f>4228412203</f>
        <v>4.228412203E9</v>
      </c>
      <c r="U890" s="3" t="s">
        <v>95</v>
      </c>
      <c r="V890" s="27" t="n">
        <f>36326212270</f>
        <v>3.632621227E10</v>
      </c>
      <c r="W890" s="3" t="s">
        <v>114</v>
      </c>
      <c r="X890" s="27" t="n">
        <f>1344671000</f>
        <v>1.344671E9</v>
      </c>
      <c r="Y890" s="27" t="n">
        <f>398022</f>
        <v>398022.0</v>
      </c>
      <c r="Z890" s="25" t="n">
        <f>1137416</f>
        <v>1137416.0</v>
      </c>
      <c r="AA890" s="25" t="n">
        <f>519130</f>
        <v>519130.0</v>
      </c>
      <c r="AB890" s="2" t="s">
        <v>473</v>
      </c>
      <c r="AC890" s="26" t="n">
        <f>738572</f>
        <v>738572.0</v>
      </c>
      <c r="AD890" s="3" t="s">
        <v>117</v>
      </c>
      <c r="AE890" s="27" t="n">
        <f>466127</f>
        <v>466127.0</v>
      </c>
    </row>
    <row r="891">
      <c r="A891" s="20" t="s">
        <v>1758</v>
      </c>
      <c r="B891" s="21" t="s">
        <v>1759</v>
      </c>
      <c r="C891" s="22" t="s">
        <v>1768</v>
      </c>
      <c r="D891" s="23" t="s">
        <v>1769</v>
      </c>
      <c r="E891" s="24" t="s">
        <v>113</v>
      </c>
      <c r="F891" s="28" t="n">
        <f>124</f>
        <v>124.0</v>
      </c>
      <c r="G891" s="25" t="n">
        <f>15355466</f>
        <v>1.5355466E7</v>
      </c>
      <c r="H891" s="25"/>
      <c r="I891" s="25" t="n">
        <f>4723178</f>
        <v>4723178.0</v>
      </c>
      <c r="J891" s="25" t="n">
        <f>123834</f>
        <v>123834.0</v>
      </c>
      <c r="K891" s="25" t="n">
        <f>38090</f>
        <v>38090.0</v>
      </c>
      <c r="L891" s="2" t="s">
        <v>206</v>
      </c>
      <c r="M891" s="26" t="n">
        <f>282545</f>
        <v>282545.0</v>
      </c>
      <c r="N891" s="3" t="s">
        <v>498</v>
      </c>
      <c r="O891" s="27" t="n">
        <f>47201</f>
        <v>47201.0</v>
      </c>
      <c r="P891" s="29" t="s">
        <v>1831</v>
      </c>
      <c r="Q891" s="25"/>
      <c r="R891" s="29" t="s">
        <v>1832</v>
      </c>
      <c r="S891" s="25" t="n">
        <f>17797100277</f>
        <v>1.7797100277E10</v>
      </c>
      <c r="T891" s="25" t="n">
        <f>11952160196</f>
        <v>1.1952160196E10</v>
      </c>
      <c r="U891" s="3" t="s">
        <v>95</v>
      </c>
      <c r="V891" s="27" t="n">
        <f>67038285290</f>
        <v>6.703828529E10</v>
      </c>
      <c r="W891" s="3" t="s">
        <v>114</v>
      </c>
      <c r="X891" s="27" t="n">
        <f>3289664000</f>
        <v>3.289664E9</v>
      </c>
      <c r="Y891" s="27" t="n">
        <f>444689</f>
        <v>444689.0</v>
      </c>
      <c r="Z891" s="25" t="n">
        <f>2702174</f>
        <v>2702174.0</v>
      </c>
      <c r="AA891" s="25" t="n">
        <f>1546360</f>
        <v>1546360.0</v>
      </c>
      <c r="AB891" s="2" t="s">
        <v>53</v>
      </c>
      <c r="AC891" s="26" t="n">
        <f>2135459</f>
        <v>2135459.0</v>
      </c>
      <c r="AD891" s="3" t="s">
        <v>117</v>
      </c>
      <c r="AE891" s="27" t="n">
        <f>1370001</f>
        <v>1370001.0</v>
      </c>
    </row>
    <row r="892">
      <c r="A892" s="20" t="s">
        <v>1758</v>
      </c>
      <c r="B892" s="21" t="s">
        <v>1759</v>
      </c>
      <c r="C892" s="22" t="s">
        <v>1760</v>
      </c>
      <c r="D892" s="23" t="s">
        <v>1761</v>
      </c>
      <c r="E892" s="24" t="s">
        <v>119</v>
      </c>
      <c r="F892" s="28" t="n">
        <f>119</f>
        <v>119.0</v>
      </c>
      <c r="G892" s="25" t="n">
        <f>10576483</f>
        <v>1.0576483E7</v>
      </c>
      <c r="H892" s="25"/>
      <c r="I892" s="25" t="n">
        <f>4043248</f>
        <v>4043248.0</v>
      </c>
      <c r="J892" s="25" t="n">
        <f>88878</f>
        <v>88878.0</v>
      </c>
      <c r="K892" s="25" t="n">
        <f>33977</f>
        <v>33977.0</v>
      </c>
      <c r="L892" s="2" t="s">
        <v>209</v>
      </c>
      <c r="M892" s="26" t="n">
        <f>267443</f>
        <v>267443.0</v>
      </c>
      <c r="N892" s="3" t="s">
        <v>212</v>
      </c>
      <c r="O892" s="27" t="n">
        <f>32263</f>
        <v>32263.0</v>
      </c>
      <c r="P892" s="29" t="s">
        <v>1833</v>
      </c>
      <c r="Q892" s="25"/>
      <c r="R892" s="29" t="s">
        <v>1834</v>
      </c>
      <c r="S892" s="25" t="n">
        <f>29857548209</f>
        <v>2.9857548209E10</v>
      </c>
      <c r="T892" s="25" t="n">
        <f>20809414873</f>
        <v>2.0809414873E10</v>
      </c>
      <c r="U892" s="3" t="s">
        <v>56</v>
      </c>
      <c r="V892" s="27" t="n">
        <f>112028471000</f>
        <v>1.12028471E11</v>
      </c>
      <c r="W892" s="3" t="s">
        <v>168</v>
      </c>
      <c r="X892" s="27" t="n">
        <f>6822123370</f>
        <v>6.82212337E9</v>
      </c>
      <c r="Y892" s="27" t="n">
        <f>337296</f>
        <v>337296.0</v>
      </c>
      <c r="Z892" s="25" t="n">
        <f>1895423</f>
        <v>1895423.0</v>
      </c>
      <c r="AA892" s="25" t="n">
        <f>1195783</f>
        <v>1195783.0</v>
      </c>
      <c r="AB892" s="2" t="s">
        <v>101</v>
      </c>
      <c r="AC892" s="26" t="n">
        <f>1475150</f>
        <v>1475150.0</v>
      </c>
      <c r="AD892" s="3" t="s">
        <v>706</v>
      </c>
      <c r="AE892" s="27" t="n">
        <f>929633</f>
        <v>929633.0</v>
      </c>
    </row>
    <row r="893">
      <c r="A893" s="20" t="s">
        <v>1758</v>
      </c>
      <c r="B893" s="21" t="s">
        <v>1759</v>
      </c>
      <c r="C893" s="22" t="s">
        <v>1764</v>
      </c>
      <c r="D893" s="23" t="s">
        <v>1765</v>
      </c>
      <c r="E893" s="24" t="s">
        <v>119</v>
      </c>
      <c r="F893" s="28" t="n">
        <f>119</f>
        <v>119.0</v>
      </c>
      <c r="G893" s="25" t="n">
        <f>6515120</f>
        <v>6515120.0</v>
      </c>
      <c r="H893" s="25"/>
      <c r="I893" s="25" t="n">
        <f>2000614</f>
        <v>2000614.0</v>
      </c>
      <c r="J893" s="25" t="n">
        <f>54749</f>
        <v>54749.0</v>
      </c>
      <c r="K893" s="25" t="n">
        <f>16812</f>
        <v>16812.0</v>
      </c>
      <c r="L893" s="2" t="s">
        <v>476</v>
      </c>
      <c r="M893" s="26" t="n">
        <f>125108</f>
        <v>125108.0</v>
      </c>
      <c r="N893" s="3" t="s">
        <v>212</v>
      </c>
      <c r="O893" s="27" t="n">
        <f>13043</f>
        <v>13043.0</v>
      </c>
      <c r="P893" s="29" t="s">
        <v>1835</v>
      </c>
      <c r="Q893" s="25"/>
      <c r="R893" s="29" t="s">
        <v>1836</v>
      </c>
      <c r="S893" s="25" t="n">
        <f>14727687219</f>
        <v>1.4727687219E10</v>
      </c>
      <c r="T893" s="25" t="n">
        <f>9443786690</f>
        <v>9.44378669E9</v>
      </c>
      <c r="U893" s="3" t="s">
        <v>249</v>
      </c>
      <c r="V893" s="27" t="n">
        <f>38595140640</f>
        <v>3.859514064E10</v>
      </c>
      <c r="W893" s="3" t="s">
        <v>212</v>
      </c>
      <c r="X893" s="27" t="n">
        <f>3241416000</f>
        <v>3.241416E9</v>
      </c>
      <c r="Y893" s="27" t="n">
        <f>220962</f>
        <v>220962.0</v>
      </c>
      <c r="Z893" s="25" t="n">
        <f>1148307</f>
        <v>1148307.0</v>
      </c>
      <c r="AA893" s="25" t="n">
        <f>613249</f>
        <v>613249.0</v>
      </c>
      <c r="AB893" s="2" t="s">
        <v>1326</v>
      </c>
      <c r="AC893" s="26" t="n">
        <f>799362</f>
        <v>799362.0</v>
      </c>
      <c r="AD893" s="3" t="s">
        <v>706</v>
      </c>
      <c r="AE893" s="27" t="n">
        <f>479052</f>
        <v>479052.0</v>
      </c>
    </row>
    <row r="894">
      <c r="A894" s="20" t="s">
        <v>1758</v>
      </c>
      <c r="B894" s="21" t="s">
        <v>1759</v>
      </c>
      <c r="C894" s="22" t="s">
        <v>1768</v>
      </c>
      <c r="D894" s="23" t="s">
        <v>1769</v>
      </c>
      <c r="E894" s="24" t="s">
        <v>119</v>
      </c>
      <c r="F894" s="28" t="n">
        <f>119</f>
        <v>119.0</v>
      </c>
      <c r="G894" s="25" t="n">
        <f>17091603</f>
        <v>1.7091603E7</v>
      </c>
      <c r="H894" s="25"/>
      <c r="I894" s="25" t="n">
        <f>6043862</f>
        <v>6043862.0</v>
      </c>
      <c r="J894" s="25" t="n">
        <f>143627</f>
        <v>143627.0</v>
      </c>
      <c r="K894" s="25" t="n">
        <f>50789</f>
        <v>50789.0</v>
      </c>
      <c r="L894" s="2" t="s">
        <v>209</v>
      </c>
      <c r="M894" s="26" t="n">
        <f>390046</f>
        <v>390046.0</v>
      </c>
      <c r="N894" s="3" t="s">
        <v>212</v>
      </c>
      <c r="O894" s="27" t="n">
        <f>45306</f>
        <v>45306.0</v>
      </c>
      <c r="P894" s="29" t="s">
        <v>1837</v>
      </c>
      <c r="Q894" s="25"/>
      <c r="R894" s="29" t="s">
        <v>1838</v>
      </c>
      <c r="S894" s="25" t="n">
        <f>44585235429</f>
        <v>4.4585235429E10</v>
      </c>
      <c r="T894" s="25" t="n">
        <f>30253201563</f>
        <v>3.0253201563E10</v>
      </c>
      <c r="U894" s="3" t="s">
        <v>56</v>
      </c>
      <c r="V894" s="27" t="n">
        <f>146449584000</f>
        <v>1.46449584E11</v>
      </c>
      <c r="W894" s="3" t="s">
        <v>168</v>
      </c>
      <c r="X894" s="27" t="n">
        <f>10689748370</f>
        <v>1.068974837E10</v>
      </c>
      <c r="Y894" s="27" t="n">
        <f>558258</f>
        <v>558258.0</v>
      </c>
      <c r="Z894" s="25" t="n">
        <f>3043730</f>
        <v>3043730.0</v>
      </c>
      <c r="AA894" s="25" t="n">
        <f>1809032</f>
        <v>1809032.0</v>
      </c>
      <c r="AB894" s="2" t="s">
        <v>101</v>
      </c>
      <c r="AC894" s="26" t="n">
        <f>2248803</f>
        <v>2248803.0</v>
      </c>
      <c r="AD894" s="3" t="s">
        <v>706</v>
      </c>
      <c r="AE894" s="27" t="n">
        <f>1408685</f>
        <v>1408685.0</v>
      </c>
    </row>
    <row r="895">
      <c r="A895" s="20" t="s">
        <v>1758</v>
      </c>
      <c r="B895" s="21" t="s">
        <v>1759</v>
      </c>
      <c r="C895" s="22" t="s">
        <v>1760</v>
      </c>
      <c r="D895" s="23" t="s">
        <v>1761</v>
      </c>
      <c r="E895" s="24" t="s">
        <v>124</v>
      </c>
      <c r="F895" s="28" t="n">
        <f>124</f>
        <v>124.0</v>
      </c>
      <c r="G895" s="25" t="n">
        <f>6923218</f>
        <v>6923218.0</v>
      </c>
      <c r="H895" s="25"/>
      <c r="I895" s="25" t="n">
        <f>2614741</f>
        <v>2614741.0</v>
      </c>
      <c r="J895" s="25" t="n">
        <f>55832</f>
        <v>55832.0</v>
      </c>
      <c r="K895" s="25" t="n">
        <f>21087</f>
        <v>21087.0</v>
      </c>
      <c r="L895" s="2" t="s">
        <v>581</v>
      </c>
      <c r="M895" s="26" t="n">
        <f>127221</f>
        <v>127221.0</v>
      </c>
      <c r="N895" s="3" t="s">
        <v>114</v>
      </c>
      <c r="O895" s="27" t="n">
        <f>17010</f>
        <v>17010.0</v>
      </c>
      <c r="P895" s="29" t="s">
        <v>1839</v>
      </c>
      <c r="Q895" s="25"/>
      <c r="R895" s="29" t="s">
        <v>1840</v>
      </c>
      <c r="S895" s="25" t="n">
        <f>10596867708</f>
        <v>1.0596867708E10</v>
      </c>
      <c r="T895" s="25" t="n">
        <f>7221176676</f>
        <v>7.221176676E9</v>
      </c>
      <c r="U895" s="3" t="s">
        <v>614</v>
      </c>
      <c r="V895" s="27" t="n">
        <f>24824255418</f>
        <v>2.4824255418E10</v>
      </c>
      <c r="W895" s="3" t="s">
        <v>64</v>
      </c>
      <c r="X895" s="27" t="n">
        <f>2129286000</f>
        <v>2.129286E9</v>
      </c>
      <c r="Y895" s="27" t="n">
        <f>21190</f>
        <v>21190.0</v>
      </c>
      <c r="Z895" s="25" t="n">
        <f>1182942</f>
        <v>1182942.0</v>
      </c>
      <c r="AA895" s="25" t="n">
        <f>783891</f>
        <v>783891.0</v>
      </c>
      <c r="AB895" s="2" t="s">
        <v>49</v>
      </c>
      <c r="AC895" s="26" t="n">
        <f>1279788</f>
        <v>1279788.0</v>
      </c>
      <c r="AD895" s="3" t="s">
        <v>67</v>
      </c>
      <c r="AE895" s="27" t="n">
        <f>690568</f>
        <v>690568.0</v>
      </c>
    </row>
    <row r="896">
      <c r="A896" s="20" t="s">
        <v>1758</v>
      </c>
      <c r="B896" s="21" t="s">
        <v>1759</v>
      </c>
      <c r="C896" s="22" t="s">
        <v>1764</v>
      </c>
      <c r="D896" s="23" t="s">
        <v>1765</v>
      </c>
      <c r="E896" s="24" t="s">
        <v>124</v>
      </c>
      <c r="F896" s="28" t="n">
        <f>124</f>
        <v>124.0</v>
      </c>
      <c r="G896" s="25" t="n">
        <f>4651729</f>
        <v>4651729.0</v>
      </c>
      <c r="H896" s="25"/>
      <c r="I896" s="25" t="n">
        <f>1468253</f>
        <v>1468253.0</v>
      </c>
      <c r="J896" s="25" t="n">
        <f>37514</f>
        <v>37514.0</v>
      </c>
      <c r="K896" s="25" t="n">
        <f>11841</f>
        <v>11841.0</v>
      </c>
      <c r="L896" s="2" t="s">
        <v>192</v>
      </c>
      <c r="M896" s="26" t="n">
        <f>114862</f>
        <v>114862.0</v>
      </c>
      <c r="N896" s="3" t="s">
        <v>114</v>
      </c>
      <c r="O896" s="27" t="n">
        <f>10998</f>
        <v>10998.0</v>
      </c>
      <c r="P896" s="29" t="s">
        <v>1841</v>
      </c>
      <c r="Q896" s="25"/>
      <c r="R896" s="29" t="s">
        <v>1842</v>
      </c>
      <c r="S896" s="25" t="n">
        <f>8799718197</f>
        <v>8.799718197E9</v>
      </c>
      <c r="T896" s="25" t="n">
        <f>5709562826</f>
        <v>5.709562826E9</v>
      </c>
      <c r="U896" s="3" t="s">
        <v>81</v>
      </c>
      <c r="V896" s="27" t="n">
        <f>45002186100</f>
        <v>4.50021861E10</v>
      </c>
      <c r="W896" s="3" t="s">
        <v>114</v>
      </c>
      <c r="X896" s="27" t="n">
        <f>1729550000</f>
        <v>1.72955E9</v>
      </c>
      <c r="Y896" s="27" t="n">
        <f>398493</f>
        <v>398493.0</v>
      </c>
      <c r="Z896" s="25" t="n">
        <f>883226</f>
        <v>883226.0</v>
      </c>
      <c r="AA896" s="25" t="n">
        <f>469223</f>
        <v>469223.0</v>
      </c>
      <c r="AB896" s="2" t="s">
        <v>49</v>
      </c>
      <c r="AC896" s="26" t="n">
        <f>713285</f>
        <v>713285.0</v>
      </c>
      <c r="AD896" s="3" t="s">
        <v>67</v>
      </c>
      <c r="AE896" s="27" t="n">
        <f>435455</f>
        <v>435455.0</v>
      </c>
    </row>
    <row r="897">
      <c r="A897" s="20" t="s">
        <v>1758</v>
      </c>
      <c r="B897" s="21" t="s">
        <v>1759</v>
      </c>
      <c r="C897" s="22" t="s">
        <v>1768</v>
      </c>
      <c r="D897" s="23" t="s">
        <v>1769</v>
      </c>
      <c r="E897" s="24" t="s">
        <v>124</v>
      </c>
      <c r="F897" s="28" t="n">
        <f>124</f>
        <v>124.0</v>
      </c>
      <c r="G897" s="25" t="n">
        <f>11574947</f>
        <v>1.1574947E7</v>
      </c>
      <c r="H897" s="25"/>
      <c r="I897" s="25" t="n">
        <f>4082994</f>
        <v>4082994.0</v>
      </c>
      <c r="J897" s="25" t="n">
        <f>93346</f>
        <v>93346.0</v>
      </c>
      <c r="K897" s="25" t="n">
        <f>32927</f>
        <v>32927.0</v>
      </c>
      <c r="L897" s="2" t="s">
        <v>192</v>
      </c>
      <c r="M897" s="26" t="n">
        <f>223333</f>
        <v>223333.0</v>
      </c>
      <c r="N897" s="3" t="s">
        <v>114</v>
      </c>
      <c r="O897" s="27" t="n">
        <f>28008</f>
        <v>28008.0</v>
      </c>
      <c r="P897" s="29" t="s">
        <v>1843</v>
      </c>
      <c r="Q897" s="25"/>
      <c r="R897" s="29" t="s">
        <v>1844</v>
      </c>
      <c r="S897" s="25" t="n">
        <f>19396585905</f>
        <v>1.9396585905E10</v>
      </c>
      <c r="T897" s="25" t="n">
        <f>12930739502</f>
        <v>1.2930739502E10</v>
      </c>
      <c r="U897" s="3" t="s">
        <v>81</v>
      </c>
      <c r="V897" s="27" t="n">
        <f>58811593990</f>
        <v>5.881159399E10</v>
      </c>
      <c r="W897" s="3" t="s">
        <v>114</v>
      </c>
      <c r="X897" s="27" t="n">
        <f>4119797000</f>
        <v>4.119797E9</v>
      </c>
      <c r="Y897" s="27" t="n">
        <f>419683</f>
        <v>419683.0</v>
      </c>
      <c r="Z897" s="25" t="n">
        <f>2066168</f>
        <v>2066168.0</v>
      </c>
      <c r="AA897" s="25" t="n">
        <f>1253114</f>
        <v>1253114.0</v>
      </c>
      <c r="AB897" s="2" t="s">
        <v>49</v>
      </c>
      <c r="AC897" s="26" t="n">
        <f>1993073</f>
        <v>1993073.0</v>
      </c>
      <c r="AD897" s="3" t="s">
        <v>67</v>
      </c>
      <c r="AE897" s="27" t="n">
        <f>1126023</f>
        <v>1126023.0</v>
      </c>
    </row>
    <row r="898">
      <c r="A898" s="20" t="s">
        <v>1758</v>
      </c>
      <c r="B898" s="21" t="s">
        <v>1759</v>
      </c>
      <c r="C898" s="22" t="s">
        <v>1760</v>
      </c>
      <c r="D898" s="23" t="s">
        <v>1761</v>
      </c>
      <c r="E898" s="24" t="s">
        <v>130</v>
      </c>
      <c r="F898" s="28" t="n">
        <f>121</f>
        <v>121.0</v>
      </c>
      <c r="G898" s="25" t="n">
        <f>7352692</f>
        <v>7352692.0</v>
      </c>
      <c r="H898" s="25"/>
      <c r="I898" s="25" t="n">
        <f>2879711</f>
        <v>2879711.0</v>
      </c>
      <c r="J898" s="25" t="n">
        <f>60766</f>
        <v>60766.0</v>
      </c>
      <c r="K898" s="25" t="n">
        <f>23799</f>
        <v>23799.0</v>
      </c>
      <c r="L898" s="2" t="s">
        <v>1064</v>
      </c>
      <c r="M898" s="26" t="n">
        <f>148103</f>
        <v>148103.0</v>
      </c>
      <c r="N898" s="3" t="s">
        <v>539</v>
      </c>
      <c r="O898" s="27" t="n">
        <f>28805</f>
        <v>28805.0</v>
      </c>
      <c r="P898" s="29" t="s">
        <v>1845</v>
      </c>
      <c r="Q898" s="25"/>
      <c r="R898" s="29" t="s">
        <v>1846</v>
      </c>
      <c r="S898" s="25" t="n">
        <f>14580119954</f>
        <v>1.4580119954E10</v>
      </c>
      <c r="T898" s="25" t="n">
        <f>9823201317</f>
        <v>9.823201317E9</v>
      </c>
      <c r="U898" s="3" t="s">
        <v>1064</v>
      </c>
      <c r="V898" s="27" t="n">
        <f>38114421176</f>
        <v>3.8114421176E10</v>
      </c>
      <c r="W898" s="3" t="s">
        <v>539</v>
      </c>
      <c r="X898" s="27" t="n">
        <f>5033865000</f>
        <v>5.033865E9</v>
      </c>
      <c r="Y898" s="27" t="n">
        <f>55489</f>
        <v>55489.0</v>
      </c>
      <c r="Z898" s="25" t="n">
        <f>1252347</f>
        <v>1252347.0</v>
      </c>
      <c r="AA898" s="25" t="n">
        <f>846157</f>
        <v>846157.0</v>
      </c>
      <c r="AB898" s="2" t="s">
        <v>307</v>
      </c>
      <c r="AC898" s="26" t="n">
        <f>1023398</f>
        <v>1023398.0</v>
      </c>
      <c r="AD898" s="3" t="s">
        <v>565</v>
      </c>
      <c r="AE898" s="27" t="n">
        <f>688956</f>
        <v>688956.0</v>
      </c>
    </row>
    <row r="899">
      <c r="A899" s="20" t="s">
        <v>1758</v>
      </c>
      <c r="B899" s="21" t="s">
        <v>1759</v>
      </c>
      <c r="C899" s="22" t="s">
        <v>1764</v>
      </c>
      <c r="D899" s="23" t="s">
        <v>1765</v>
      </c>
      <c r="E899" s="24" t="s">
        <v>130</v>
      </c>
      <c r="F899" s="28" t="n">
        <f>121</f>
        <v>121.0</v>
      </c>
      <c r="G899" s="25" t="n">
        <f>5062588</f>
        <v>5062588.0</v>
      </c>
      <c r="H899" s="25"/>
      <c r="I899" s="25" t="n">
        <f>1588474</f>
        <v>1588474.0</v>
      </c>
      <c r="J899" s="25" t="n">
        <f>41840</f>
        <v>41840.0</v>
      </c>
      <c r="K899" s="25" t="n">
        <f>13128</f>
        <v>13128.0</v>
      </c>
      <c r="L899" s="2" t="s">
        <v>217</v>
      </c>
      <c r="M899" s="26" t="n">
        <f>90903</f>
        <v>90903.0</v>
      </c>
      <c r="N899" s="3" t="s">
        <v>698</v>
      </c>
      <c r="O899" s="27" t="n">
        <f>15467</f>
        <v>15467.0</v>
      </c>
      <c r="P899" s="29" t="s">
        <v>1847</v>
      </c>
      <c r="Q899" s="25"/>
      <c r="R899" s="29" t="s">
        <v>1848</v>
      </c>
      <c r="S899" s="25" t="n">
        <f>10373589966</f>
        <v>1.0373589966E10</v>
      </c>
      <c r="T899" s="25" t="n">
        <f>6394573760</f>
        <v>6.39457376E9</v>
      </c>
      <c r="U899" s="3" t="s">
        <v>863</v>
      </c>
      <c r="V899" s="27" t="n">
        <f>38621056160</f>
        <v>3.862105616E10</v>
      </c>
      <c r="W899" s="3" t="s">
        <v>61</v>
      </c>
      <c r="X899" s="27" t="n">
        <f>2794427560</f>
        <v>2.79442756E9</v>
      </c>
      <c r="Y899" s="27" t="n">
        <f>266394</f>
        <v>266394.0</v>
      </c>
      <c r="Z899" s="25" t="n">
        <f>979432</f>
        <v>979432.0</v>
      </c>
      <c r="AA899" s="25" t="n">
        <f>532553</f>
        <v>532553.0</v>
      </c>
      <c r="AB899" s="2" t="s">
        <v>307</v>
      </c>
      <c r="AC899" s="26" t="n">
        <f>621079</f>
        <v>621079.0</v>
      </c>
      <c r="AD899" s="3" t="s">
        <v>565</v>
      </c>
      <c r="AE899" s="27" t="n">
        <f>434129</f>
        <v>434129.0</v>
      </c>
    </row>
    <row r="900">
      <c r="A900" s="20" t="s">
        <v>1758</v>
      </c>
      <c r="B900" s="21" t="s">
        <v>1759</v>
      </c>
      <c r="C900" s="22" t="s">
        <v>1768</v>
      </c>
      <c r="D900" s="23" t="s">
        <v>1769</v>
      </c>
      <c r="E900" s="24" t="s">
        <v>130</v>
      </c>
      <c r="F900" s="28" t="n">
        <f>121</f>
        <v>121.0</v>
      </c>
      <c r="G900" s="25" t="n">
        <f>12415280</f>
        <v>1.241528E7</v>
      </c>
      <c r="H900" s="25"/>
      <c r="I900" s="25" t="n">
        <f>4468185</f>
        <v>4468185.0</v>
      </c>
      <c r="J900" s="25" t="n">
        <f>102606</f>
        <v>102606.0</v>
      </c>
      <c r="K900" s="25" t="n">
        <f>36927</f>
        <v>36927.0</v>
      </c>
      <c r="L900" s="2" t="s">
        <v>217</v>
      </c>
      <c r="M900" s="26" t="n">
        <f>227069</f>
        <v>227069.0</v>
      </c>
      <c r="N900" s="3" t="s">
        <v>679</v>
      </c>
      <c r="O900" s="27" t="n">
        <f>49276</f>
        <v>49276.0</v>
      </c>
      <c r="P900" s="29" t="s">
        <v>1849</v>
      </c>
      <c r="Q900" s="25"/>
      <c r="R900" s="29" t="s">
        <v>1850</v>
      </c>
      <c r="S900" s="25" t="n">
        <f>24953709920</f>
        <v>2.495370992E10</v>
      </c>
      <c r="T900" s="25" t="n">
        <f>16217775077</f>
        <v>1.6217775077E10</v>
      </c>
      <c r="U900" s="3" t="s">
        <v>863</v>
      </c>
      <c r="V900" s="27" t="n">
        <f>56413072349</f>
        <v>5.6413072349E10</v>
      </c>
      <c r="W900" s="3" t="s">
        <v>754</v>
      </c>
      <c r="X900" s="27" t="n">
        <f>10093744800</f>
        <v>1.00937448E10</v>
      </c>
      <c r="Y900" s="27" t="n">
        <f>321883</f>
        <v>321883.0</v>
      </c>
      <c r="Z900" s="25" t="n">
        <f>2231779</f>
        <v>2231779.0</v>
      </c>
      <c r="AA900" s="25" t="n">
        <f>1378710</f>
        <v>1378710.0</v>
      </c>
      <c r="AB900" s="2" t="s">
        <v>307</v>
      </c>
      <c r="AC900" s="26" t="n">
        <f>1644477</f>
        <v>1644477.0</v>
      </c>
      <c r="AD900" s="3" t="s">
        <v>565</v>
      </c>
      <c r="AE900" s="27" t="n">
        <f>1123085</f>
        <v>1123085.0</v>
      </c>
    </row>
    <row r="901">
      <c r="A901" s="20" t="s">
        <v>1758</v>
      </c>
      <c r="B901" s="21" t="s">
        <v>1759</v>
      </c>
      <c r="C901" s="22" t="s">
        <v>1760</v>
      </c>
      <c r="D901" s="23" t="s">
        <v>1761</v>
      </c>
      <c r="E901" s="24" t="s">
        <v>136</v>
      </c>
      <c r="F901" s="28" t="n">
        <f>124</f>
        <v>124.0</v>
      </c>
      <c r="G901" s="25" t="n">
        <f>6766181</f>
        <v>6766181.0</v>
      </c>
      <c r="H901" s="25"/>
      <c r="I901" s="25" t="n">
        <f>2571787</f>
        <v>2571787.0</v>
      </c>
      <c r="J901" s="25" t="n">
        <f>54566</f>
        <v>54566.0</v>
      </c>
      <c r="K901" s="25" t="n">
        <f>20740</f>
        <v>20740.0</v>
      </c>
      <c r="L901" s="2" t="s">
        <v>221</v>
      </c>
      <c r="M901" s="26" t="n">
        <f>146127</f>
        <v>146127.0</v>
      </c>
      <c r="N901" s="3" t="s">
        <v>138</v>
      </c>
      <c r="O901" s="27" t="n">
        <f>22257</f>
        <v>22257.0</v>
      </c>
      <c r="P901" s="29" t="s">
        <v>1851</v>
      </c>
      <c r="Q901" s="25"/>
      <c r="R901" s="29" t="s">
        <v>1852</v>
      </c>
      <c r="S901" s="25" t="n">
        <f>12989846049</f>
        <v>1.2989846049E10</v>
      </c>
      <c r="T901" s="25" t="n">
        <f>8897958485</f>
        <v>8.897958485E9</v>
      </c>
      <c r="U901" s="3" t="s">
        <v>854</v>
      </c>
      <c r="V901" s="27" t="n">
        <f>37288510180</f>
        <v>3.728851018E10</v>
      </c>
      <c r="W901" s="3" t="s">
        <v>138</v>
      </c>
      <c r="X901" s="27" t="n">
        <f>2598512000</f>
        <v>2.598512E9</v>
      </c>
      <c r="Y901" s="27" t="n">
        <f>134737</f>
        <v>134737.0</v>
      </c>
      <c r="Z901" s="25" t="n">
        <f>1302544</f>
        <v>1302544.0</v>
      </c>
      <c r="AA901" s="25" t="n">
        <f>727171</f>
        <v>727171.0</v>
      </c>
      <c r="AB901" s="2" t="s">
        <v>81</v>
      </c>
      <c r="AC901" s="26" t="n">
        <f>1045024</f>
        <v>1045024.0</v>
      </c>
      <c r="AD901" s="3" t="s">
        <v>49</v>
      </c>
      <c r="AE901" s="27" t="n">
        <f>644638</f>
        <v>644638.0</v>
      </c>
    </row>
    <row r="902">
      <c r="A902" s="20" t="s">
        <v>1758</v>
      </c>
      <c r="B902" s="21" t="s">
        <v>1759</v>
      </c>
      <c r="C902" s="22" t="s">
        <v>1764</v>
      </c>
      <c r="D902" s="23" t="s">
        <v>1765</v>
      </c>
      <c r="E902" s="24" t="s">
        <v>136</v>
      </c>
      <c r="F902" s="28" t="n">
        <f>124</f>
        <v>124.0</v>
      </c>
      <c r="G902" s="25" t="n">
        <f>5005609</f>
        <v>5005609.0</v>
      </c>
      <c r="H902" s="25"/>
      <c r="I902" s="25" t="n">
        <f>1768543</f>
        <v>1768543.0</v>
      </c>
      <c r="J902" s="25" t="n">
        <f>40368</f>
        <v>40368.0</v>
      </c>
      <c r="K902" s="25" t="n">
        <f>14262</f>
        <v>14262.0</v>
      </c>
      <c r="L902" s="2" t="s">
        <v>259</v>
      </c>
      <c r="M902" s="26" t="n">
        <f>126836</f>
        <v>126836.0</v>
      </c>
      <c r="N902" s="3" t="s">
        <v>498</v>
      </c>
      <c r="O902" s="27" t="n">
        <f>11098</f>
        <v>11098.0</v>
      </c>
      <c r="P902" s="29" t="s">
        <v>1853</v>
      </c>
      <c r="Q902" s="25"/>
      <c r="R902" s="29" t="s">
        <v>1854</v>
      </c>
      <c r="S902" s="25" t="n">
        <f>8396387598</f>
        <v>8.396387598E9</v>
      </c>
      <c r="T902" s="25" t="n">
        <f>5168032187</f>
        <v>5.168032187E9</v>
      </c>
      <c r="U902" s="3" t="s">
        <v>90</v>
      </c>
      <c r="V902" s="27" t="n">
        <f>33752748140</f>
        <v>3.375274814E10</v>
      </c>
      <c r="W902" s="3" t="s">
        <v>138</v>
      </c>
      <c r="X902" s="27" t="n">
        <f>1159506500</f>
        <v>1.1595065E9</v>
      </c>
      <c r="Y902" s="27" t="n">
        <f>260209</f>
        <v>260209.0</v>
      </c>
      <c r="Z902" s="25" t="n">
        <f>933140</f>
        <v>933140.0</v>
      </c>
      <c r="AA902" s="25" t="n">
        <f>379898</f>
        <v>379898.0</v>
      </c>
      <c r="AB902" s="2" t="s">
        <v>125</v>
      </c>
      <c r="AC902" s="26" t="n">
        <f>658766</f>
        <v>658766.0</v>
      </c>
      <c r="AD902" s="3" t="s">
        <v>49</v>
      </c>
      <c r="AE902" s="27" t="n">
        <f>332549</f>
        <v>332549.0</v>
      </c>
    </row>
    <row r="903">
      <c r="A903" s="20" t="s">
        <v>1758</v>
      </c>
      <c r="B903" s="21" t="s">
        <v>1759</v>
      </c>
      <c r="C903" s="22" t="s">
        <v>1768</v>
      </c>
      <c r="D903" s="23" t="s">
        <v>1769</v>
      </c>
      <c r="E903" s="24" t="s">
        <v>136</v>
      </c>
      <c r="F903" s="28" t="n">
        <f>124</f>
        <v>124.0</v>
      </c>
      <c r="G903" s="25" t="n">
        <f>11771790</f>
        <v>1.177179E7</v>
      </c>
      <c r="H903" s="25"/>
      <c r="I903" s="25" t="n">
        <f>4340330</f>
        <v>4340330.0</v>
      </c>
      <c r="J903" s="25" t="n">
        <f>94934</f>
        <v>94934.0</v>
      </c>
      <c r="K903" s="25" t="n">
        <f>35003</f>
        <v>35003.0</v>
      </c>
      <c r="L903" s="2" t="s">
        <v>90</v>
      </c>
      <c r="M903" s="26" t="n">
        <f>248747</f>
        <v>248747.0</v>
      </c>
      <c r="N903" s="3" t="s">
        <v>498</v>
      </c>
      <c r="O903" s="27" t="n">
        <f>37279</f>
        <v>37279.0</v>
      </c>
      <c r="P903" s="29" t="s">
        <v>1855</v>
      </c>
      <c r="Q903" s="25"/>
      <c r="R903" s="29" t="s">
        <v>1856</v>
      </c>
      <c r="S903" s="25" t="n">
        <f>21386233647</f>
        <v>2.1386233647E10</v>
      </c>
      <c r="T903" s="25" t="n">
        <f>14065990672</f>
        <v>1.4065990672E10</v>
      </c>
      <c r="U903" s="3" t="s">
        <v>90</v>
      </c>
      <c r="V903" s="27" t="n">
        <f>64430589500</f>
        <v>6.44305895E10</v>
      </c>
      <c r="W903" s="3" t="s">
        <v>138</v>
      </c>
      <c r="X903" s="27" t="n">
        <f>3758018500</f>
        <v>3.7580185E9</v>
      </c>
      <c r="Y903" s="27" t="n">
        <f>394946</f>
        <v>394946.0</v>
      </c>
      <c r="Z903" s="25" t="n">
        <f>2235684</f>
        <v>2235684.0</v>
      </c>
      <c r="AA903" s="25" t="n">
        <f>1107069</f>
        <v>1107069.0</v>
      </c>
      <c r="AB903" s="2" t="s">
        <v>125</v>
      </c>
      <c r="AC903" s="26" t="n">
        <f>1669028</f>
        <v>1669028.0</v>
      </c>
      <c r="AD903" s="3" t="s">
        <v>49</v>
      </c>
      <c r="AE903" s="27" t="n">
        <f>977187</f>
        <v>977187.0</v>
      </c>
    </row>
    <row r="904">
      <c r="A904" s="20" t="s">
        <v>1758</v>
      </c>
      <c r="B904" s="21" t="s">
        <v>1759</v>
      </c>
      <c r="C904" s="22" t="s">
        <v>1760</v>
      </c>
      <c r="D904" s="23" t="s">
        <v>1761</v>
      </c>
      <c r="E904" s="24" t="s">
        <v>142</v>
      </c>
      <c r="F904" s="28" t="n">
        <f>120</f>
        <v>120.0</v>
      </c>
      <c r="G904" s="25" t="n">
        <f>7036618</f>
        <v>7036618.0</v>
      </c>
      <c r="H904" s="25"/>
      <c r="I904" s="25" t="n">
        <f>2808856</f>
        <v>2808856.0</v>
      </c>
      <c r="J904" s="25" t="n">
        <f>58638</f>
        <v>58638.0</v>
      </c>
      <c r="K904" s="25" t="n">
        <f>23407</f>
        <v>23407.0</v>
      </c>
      <c r="L904" s="2" t="s">
        <v>698</v>
      </c>
      <c r="M904" s="26" t="n">
        <f>117019</f>
        <v>117019.0</v>
      </c>
      <c r="N904" s="3" t="s">
        <v>143</v>
      </c>
      <c r="O904" s="27" t="n">
        <f>21624</f>
        <v>21624.0</v>
      </c>
      <c r="P904" s="29" t="s">
        <v>1857</v>
      </c>
      <c r="Q904" s="25"/>
      <c r="R904" s="29" t="s">
        <v>1858</v>
      </c>
      <c r="S904" s="25" t="n">
        <f>17488812604</f>
        <v>1.7488812604E10</v>
      </c>
      <c r="T904" s="25" t="n">
        <f>12947441862</f>
        <v>1.2947441862E10</v>
      </c>
      <c r="U904" s="3" t="s">
        <v>70</v>
      </c>
      <c r="V904" s="27" t="n">
        <f>52171857290</f>
        <v>5.217185729E10</v>
      </c>
      <c r="W904" s="3" t="s">
        <v>143</v>
      </c>
      <c r="X904" s="27" t="n">
        <f>3604807350</f>
        <v>3.60480735E9</v>
      </c>
      <c r="Y904" s="27" t="n">
        <f>169122</f>
        <v>169122.0</v>
      </c>
      <c r="Z904" s="25" t="n">
        <f>1673381</f>
        <v>1673381.0</v>
      </c>
      <c r="AA904" s="25" t="n">
        <f>827269</f>
        <v>827269.0</v>
      </c>
      <c r="AB904" s="2" t="s">
        <v>88</v>
      </c>
      <c r="AC904" s="26" t="n">
        <f>959170</f>
        <v>959170.0</v>
      </c>
      <c r="AD904" s="3" t="s">
        <v>375</v>
      </c>
      <c r="AE904" s="27" t="n">
        <f>686264</f>
        <v>686264.0</v>
      </c>
    </row>
    <row r="905">
      <c r="A905" s="20" t="s">
        <v>1758</v>
      </c>
      <c r="B905" s="21" t="s">
        <v>1759</v>
      </c>
      <c r="C905" s="22" t="s">
        <v>1764</v>
      </c>
      <c r="D905" s="23" t="s">
        <v>1765</v>
      </c>
      <c r="E905" s="24" t="s">
        <v>142</v>
      </c>
      <c r="F905" s="28" t="n">
        <f>120</f>
        <v>120.0</v>
      </c>
      <c r="G905" s="25" t="n">
        <f>4626826</f>
        <v>4626826.0</v>
      </c>
      <c r="H905" s="25"/>
      <c r="I905" s="25" t="n">
        <f>1742324</f>
        <v>1742324.0</v>
      </c>
      <c r="J905" s="25" t="n">
        <f>38557</f>
        <v>38557.0</v>
      </c>
      <c r="K905" s="25" t="n">
        <f>14519</f>
        <v>14519.0</v>
      </c>
      <c r="L905" s="2" t="s">
        <v>56</v>
      </c>
      <c r="M905" s="26" t="n">
        <f>80565</f>
        <v>80565.0</v>
      </c>
      <c r="N905" s="3" t="s">
        <v>143</v>
      </c>
      <c r="O905" s="27" t="n">
        <f>15690</f>
        <v>15690.0</v>
      </c>
      <c r="P905" s="29" t="s">
        <v>1859</v>
      </c>
      <c r="Q905" s="25"/>
      <c r="R905" s="29" t="s">
        <v>1860</v>
      </c>
      <c r="S905" s="25" t="n">
        <f>9445711325</f>
        <v>9.445711325E9</v>
      </c>
      <c r="T905" s="25" t="n">
        <f>6463898633</f>
        <v>6.463898633E9</v>
      </c>
      <c r="U905" s="3" t="s">
        <v>346</v>
      </c>
      <c r="V905" s="27" t="n">
        <f>29765882481</f>
        <v>2.9765882481E10</v>
      </c>
      <c r="W905" s="3" t="s">
        <v>143</v>
      </c>
      <c r="X905" s="27" t="n">
        <f>2530136339</f>
        <v>2.530136339E9</v>
      </c>
      <c r="Y905" s="27" t="n">
        <f>122181</f>
        <v>122181.0</v>
      </c>
      <c r="Z905" s="25" t="n">
        <f>944218</f>
        <v>944218.0</v>
      </c>
      <c r="AA905" s="25" t="n">
        <f>485259</f>
        <v>485259.0</v>
      </c>
      <c r="AB905" s="2" t="s">
        <v>56</v>
      </c>
      <c r="AC905" s="26" t="n">
        <f>562967</f>
        <v>562967.0</v>
      </c>
      <c r="AD905" s="3" t="s">
        <v>375</v>
      </c>
      <c r="AE905" s="27" t="n">
        <f>346550</f>
        <v>346550.0</v>
      </c>
    </row>
    <row r="906">
      <c r="A906" s="20" t="s">
        <v>1758</v>
      </c>
      <c r="B906" s="21" t="s">
        <v>1759</v>
      </c>
      <c r="C906" s="22" t="s">
        <v>1768</v>
      </c>
      <c r="D906" s="23" t="s">
        <v>1769</v>
      </c>
      <c r="E906" s="24" t="s">
        <v>142</v>
      </c>
      <c r="F906" s="28" t="n">
        <f>120</f>
        <v>120.0</v>
      </c>
      <c r="G906" s="25" t="n">
        <f>11663444</f>
        <v>1.1663444E7</v>
      </c>
      <c r="H906" s="25"/>
      <c r="I906" s="25" t="n">
        <f>4551180</f>
        <v>4551180.0</v>
      </c>
      <c r="J906" s="25" t="n">
        <f>97195</f>
        <v>97195.0</v>
      </c>
      <c r="K906" s="25" t="n">
        <f>37927</f>
        <v>37927.0</v>
      </c>
      <c r="L906" s="2" t="s">
        <v>698</v>
      </c>
      <c r="M906" s="26" t="n">
        <f>187692</f>
        <v>187692.0</v>
      </c>
      <c r="N906" s="3" t="s">
        <v>143</v>
      </c>
      <c r="O906" s="27" t="n">
        <f>37314</f>
        <v>37314.0</v>
      </c>
      <c r="P906" s="29" t="s">
        <v>1861</v>
      </c>
      <c r="Q906" s="25"/>
      <c r="R906" s="29" t="s">
        <v>1862</v>
      </c>
      <c r="S906" s="25" t="n">
        <f>26934523928</f>
        <v>2.6934523928E10</v>
      </c>
      <c r="T906" s="25" t="n">
        <f>19411340495</f>
        <v>1.9411340495E10</v>
      </c>
      <c r="U906" s="3" t="s">
        <v>56</v>
      </c>
      <c r="V906" s="27" t="n">
        <f>76052069339</f>
        <v>7.6052069339E10</v>
      </c>
      <c r="W906" s="3" t="s">
        <v>143</v>
      </c>
      <c r="X906" s="27" t="n">
        <f>6134943689</f>
        <v>6.134943689E9</v>
      </c>
      <c r="Y906" s="27" t="n">
        <f>291303</f>
        <v>291303.0</v>
      </c>
      <c r="Z906" s="25" t="n">
        <f>2617599</f>
        <v>2617599.0</v>
      </c>
      <c r="AA906" s="25" t="n">
        <f>1312528</f>
        <v>1312528.0</v>
      </c>
      <c r="AB906" s="2" t="s">
        <v>88</v>
      </c>
      <c r="AC906" s="26" t="n">
        <f>1489331</f>
        <v>1489331.0</v>
      </c>
      <c r="AD906" s="3" t="s">
        <v>375</v>
      </c>
      <c r="AE906" s="27" t="n">
        <f>1032814</f>
        <v>1032814.0</v>
      </c>
    </row>
    <row r="907">
      <c r="A907" s="20" t="s">
        <v>1758</v>
      </c>
      <c r="B907" s="21" t="s">
        <v>1759</v>
      </c>
      <c r="C907" s="22" t="s">
        <v>1760</v>
      </c>
      <c r="D907" s="23" t="s">
        <v>1761</v>
      </c>
      <c r="E907" s="24" t="s">
        <v>148</v>
      </c>
      <c r="F907" s="28" t="n">
        <f>124</f>
        <v>124.0</v>
      </c>
      <c r="G907" s="25" t="n">
        <f>7413638</f>
        <v>7413638.0</v>
      </c>
      <c r="H907" s="25"/>
      <c r="I907" s="25" t="n">
        <f>3598004</f>
        <v>3598004.0</v>
      </c>
      <c r="J907" s="25" t="n">
        <f>59787</f>
        <v>59787.0</v>
      </c>
      <c r="K907" s="25" t="n">
        <f>29016</f>
        <v>29016.0</v>
      </c>
      <c r="L907" s="2" t="s">
        <v>1161</v>
      </c>
      <c r="M907" s="26" t="n">
        <f>109660</f>
        <v>109660.0</v>
      </c>
      <c r="N907" s="3" t="s">
        <v>138</v>
      </c>
      <c r="O907" s="27" t="n">
        <f>20666</f>
        <v>20666.0</v>
      </c>
      <c r="P907" s="29" t="s">
        <v>1863</v>
      </c>
      <c r="Q907" s="25"/>
      <c r="R907" s="29" t="s">
        <v>1864</v>
      </c>
      <c r="S907" s="25" t="n">
        <f>17949521639</f>
        <v>1.7949521639E10</v>
      </c>
      <c r="T907" s="25" t="n">
        <f>14447302857</f>
        <v>1.4447302857E10</v>
      </c>
      <c r="U907" s="3" t="s">
        <v>1331</v>
      </c>
      <c r="V907" s="27" t="n">
        <f>43598791130</f>
        <v>4.359879113E10</v>
      </c>
      <c r="W907" s="3" t="s">
        <v>77</v>
      </c>
      <c r="X907" s="27" t="n">
        <f>4678616520</f>
        <v>4.67861652E9</v>
      </c>
      <c r="Y907" s="27" t="n">
        <f>113024</f>
        <v>113024.0</v>
      </c>
      <c r="Z907" s="25" t="n">
        <f>1252066</f>
        <v>1252066.0</v>
      </c>
      <c r="AA907" s="25" t="n">
        <f>881906</f>
        <v>881906.0</v>
      </c>
      <c r="AB907" s="2" t="s">
        <v>128</v>
      </c>
      <c r="AC907" s="26" t="n">
        <f>1161188</f>
        <v>1161188.0</v>
      </c>
      <c r="AD907" s="3" t="s">
        <v>879</v>
      </c>
      <c r="AE907" s="27" t="n">
        <f>751587</f>
        <v>751587.0</v>
      </c>
    </row>
    <row r="908">
      <c r="A908" s="20" t="s">
        <v>1758</v>
      </c>
      <c r="B908" s="21" t="s">
        <v>1759</v>
      </c>
      <c r="C908" s="22" t="s">
        <v>1764</v>
      </c>
      <c r="D908" s="23" t="s">
        <v>1765</v>
      </c>
      <c r="E908" s="24" t="s">
        <v>148</v>
      </c>
      <c r="F908" s="28" t="n">
        <f>124</f>
        <v>124.0</v>
      </c>
      <c r="G908" s="25" t="n">
        <f>4957184</f>
        <v>4957184.0</v>
      </c>
      <c r="H908" s="25"/>
      <c r="I908" s="25" t="n">
        <f>2181922</f>
        <v>2181922.0</v>
      </c>
      <c r="J908" s="25" t="n">
        <f>39977</f>
        <v>39977.0</v>
      </c>
      <c r="K908" s="25" t="n">
        <f>17596</f>
        <v>17596.0</v>
      </c>
      <c r="L908" s="2" t="s">
        <v>229</v>
      </c>
      <c r="M908" s="26" t="n">
        <f>77906</f>
        <v>77906.0</v>
      </c>
      <c r="N908" s="3" t="s">
        <v>198</v>
      </c>
      <c r="O908" s="27" t="n">
        <f>19546</f>
        <v>19546.0</v>
      </c>
      <c r="P908" s="29" t="s">
        <v>1865</v>
      </c>
      <c r="Q908" s="25"/>
      <c r="R908" s="29" t="s">
        <v>1866</v>
      </c>
      <c r="S908" s="25" t="n">
        <f>10376099259</f>
        <v>1.0376099259E10</v>
      </c>
      <c r="T908" s="25" t="n">
        <f>7913829097</f>
        <v>7.913829097E9</v>
      </c>
      <c r="U908" s="3" t="s">
        <v>229</v>
      </c>
      <c r="V908" s="27" t="n">
        <f>29333230620</f>
        <v>2.933323062E10</v>
      </c>
      <c r="W908" s="3" t="s">
        <v>833</v>
      </c>
      <c r="X908" s="27" t="n">
        <f>3132291120</f>
        <v>3.13229112E9</v>
      </c>
      <c r="Y908" s="27" t="n">
        <f>219956</f>
        <v>219956.0</v>
      </c>
      <c r="Z908" s="25" t="n">
        <f>797784</f>
        <v>797784.0</v>
      </c>
      <c r="AA908" s="25" t="n">
        <f>525601</f>
        <v>525601.0</v>
      </c>
      <c r="AB908" s="2" t="s">
        <v>128</v>
      </c>
      <c r="AC908" s="26" t="n">
        <f>654034</f>
        <v>654034.0</v>
      </c>
      <c r="AD908" s="3" t="s">
        <v>879</v>
      </c>
      <c r="AE908" s="27" t="n">
        <f>412196</f>
        <v>412196.0</v>
      </c>
    </row>
    <row r="909">
      <c r="A909" s="20" t="s">
        <v>1758</v>
      </c>
      <c r="B909" s="21" t="s">
        <v>1759</v>
      </c>
      <c r="C909" s="22" t="s">
        <v>1768</v>
      </c>
      <c r="D909" s="23" t="s">
        <v>1769</v>
      </c>
      <c r="E909" s="24" t="s">
        <v>148</v>
      </c>
      <c r="F909" s="28" t="n">
        <f>124</f>
        <v>124.0</v>
      </c>
      <c r="G909" s="25" t="n">
        <f>12370822</f>
        <v>1.2370822E7</v>
      </c>
      <c r="H909" s="25"/>
      <c r="I909" s="25" t="n">
        <f>5779926</f>
        <v>5779926.0</v>
      </c>
      <c r="J909" s="25" t="n">
        <f>99765</f>
        <v>99765.0</v>
      </c>
      <c r="K909" s="25" t="n">
        <f>46612</f>
        <v>46612.0</v>
      </c>
      <c r="L909" s="2" t="s">
        <v>1161</v>
      </c>
      <c r="M909" s="26" t="n">
        <f>165580</f>
        <v>165580.0</v>
      </c>
      <c r="N909" s="3" t="s">
        <v>138</v>
      </c>
      <c r="O909" s="27" t="n">
        <f>49124</f>
        <v>49124.0</v>
      </c>
      <c r="P909" s="29" t="s">
        <v>1867</v>
      </c>
      <c r="Q909" s="25"/>
      <c r="R909" s="29" t="s">
        <v>1868</v>
      </c>
      <c r="S909" s="25" t="n">
        <f>28325620898</f>
        <v>2.8325620898E10</v>
      </c>
      <c r="T909" s="25" t="n">
        <f>22361131954</f>
        <v>2.2361131954E10</v>
      </c>
      <c r="U909" s="3" t="s">
        <v>229</v>
      </c>
      <c r="V909" s="27" t="n">
        <f>61053559100</f>
        <v>6.10535591E10</v>
      </c>
      <c r="W909" s="3" t="s">
        <v>77</v>
      </c>
      <c r="X909" s="27" t="n">
        <f>7912042139</f>
        <v>7.912042139E9</v>
      </c>
      <c r="Y909" s="27" t="n">
        <f>332980</f>
        <v>332980.0</v>
      </c>
      <c r="Z909" s="25" t="n">
        <f>2049850</f>
        <v>2049850.0</v>
      </c>
      <c r="AA909" s="25" t="n">
        <f>1407507</f>
        <v>1407507.0</v>
      </c>
      <c r="AB909" s="2" t="s">
        <v>128</v>
      </c>
      <c r="AC909" s="26" t="n">
        <f>1815222</f>
        <v>1815222.0</v>
      </c>
      <c r="AD909" s="3" t="s">
        <v>879</v>
      </c>
      <c r="AE909" s="27" t="n">
        <f>1163783</f>
        <v>1163783.0</v>
      </c>
    </row>
    <row r="910">
      <c r="A910" s="20" t="s">
        <v>1758</v>
      </c>
      <c r="B910" s="21" t="s">
        <v>1759</v>
      </c>
      <c r="C910" s="22" t="s">
        <v>1760</v>
      </c>
      <c r="D910" s="23" t="s">
        <v>1761</v>
      </c>
      <c r="E910" s="24" t="s">
        <v>151</v>
      </c>
      <c r="F910" s="28" t="n">
        <f>122</f>
        <v>122.0</v>
      </c>
      <c r="G910" s="25" t="n">
        <f>7299470</f>
        <v>7299470.0</v>
      </c>
      <c r="H910" s="25"/>
      <c r="I910" s="25" t="n">
        <f>3371715</f>
        <v>3371715.0</v>
      </c>
      <c r="J910" s="25" t="n">
        <f>59832</f>
        <v>59832.0</v>
      </c>
      <c r="K910" s="25" t="n">
        <f>27637</f>
        <v>27637.0</v>
      </c>
      <c r="L910" s="2" t="s">
        <v>233</v>
      </c>
      <c r="M910" s="26" t="n">
        <f>110814</f>
        <v>110814.0</v>
      </c>
      <c r="N910" s="3" t="s">
        <v>185</v>
      </c>
      <c r="O910" s="27" t="n">
        <f>27648</f>
        <v>27648.0</v>
      </c>
      <c r="P910" s="29" t="s">
        <v>1869</v>
      </c>
      <c r="Q910" s="25"/>
      <c r="R910" s="29" t="s">
        <v>1870</v>
      </c>
      <c r="S910" s="25" t="n">
        <f>15626688485</f>
        <v>1.5626688485E10</v>
      </c>
      <c r="T910" s="25" t="n">
        <f>12332687321</f>
        <v>1.2332687321E10</v>
      </c>
      <c r="U910" s="3" t="s">
        <v>135</v>
      </c>
      <c r="V910" s="27" t="n">
        <f>52581311552</f>
        <v>5.2581311552E10</v>
      </c>
      <c r="W910" s="3" t="s">
        <v>153</v>
      </c>
      <c r="X910" s="27" t="n">
        <f>4293439500</f>
        <v>4.2934395E9</v>
      </c>
      <c r="Y910" s="27" t="n">
        <f>35997</f>
        <v>35997.0</v>
      </c>
      <c r="Z910" s="25" t="n">
        <f>1251394</f>
        <v>1251394.0</v>
      </c>
      <c r="AA910" s="25" t="n">
        <f>984239</f>
        <v>984239.0</v>
      </c>
      <c r="AB910" s="2" t="s">
        <v>427</v>
      </c>
      <c r="AC910" s="26" t="n">
        <f>1121942</f>
        <v>1121942.0</v>
      </c>
      <c r="AD910" s="3" t="s">
        <v>56</v>
      </c>
      <c r="AE910" s="27" t="n">
        <f>813940</f>
        <v>813940.0</v>
      </c>
    </row>
    <row r="911">
      <c r="A911" s="20" t="s">
        <v>1758</v>
      </c>
      <c r="B911" s="21" t="s">
        <v>1759</v>
      </c>
      <c r="C911" s="22" t="s">
        <v>1764</v>
      </c>
      <c r="D911" s="23" t="s">
        <v>1765</v>
      </c>
      <c r="E911" s="24" t="s">
        <v>151</v>
      </c>
      <c r="F911" s="28" t="n">
        <f>122</f>
        <v>122.0</v>
      </c>
      <c r="G911" s="25" t="n">
        <f>5506293</f>
        <v>5506293.0</v>
      </c>
      <c r="H911" s="25"/>
      <c r="I911" s="25" t="n">
        <f>2269302</f>
        <v>2269302.0</v>
      </c>
      <c r="J911" s="25" t="n">
        <f>45134</f>
        <v>45134.0</v>
      </c>
      <c r="K911" s="25" t="n">
        <f>18601</f>
        <v>18601.0</v>
      </c>
      <c r="L911" s="2" t="s">
        <v>152</v>
      </c>
      <c r="M911" s="26" t="n">
        <f>116395</f>
        <v>116395.0</v>
      </c>
      <c r="N911" s="3" t="s">
        <v>267</v>
      </c>
      <c r="O911" s="27" t="n">
        <f>23261</f>
        <v>23261.0</v>
      </c>
      <c r="P911" s="29" t="s">
        <v>1871</v>
      </c>
      <c r="Q911" s="25"/>
      <c r="R911" s="29" t="s">
        <v>1872</v>
      </c>
      <c r="S911" s="25" t="n">
        <f>12382613737</f>
        <v>1.2382613737E10</v>
      </c>
      <c r="T911" s="25" t="n">
        <f>8972902827</f>
        <v>8.972902827E9</v>
      </c>
      <c r="U911" s="3" t="s">
        <v>135</v>
      </c>
      <c r="V911" s="27" t="n">
        <f>73070575757</f>
        <v>7.3070575757E10</v>
      </c>
      <c r="W911" s="3" t="s">
        <v>161</v>
      </c>
      <c r="X911" s="27" t="n">
        <f>2777419660</f>
        <v>2.77741966E9</v>
      </c>
      <c r="Y911" s="27" t="n">
        <f>305799</f>
        <v>305799.0</v>
      </c>
      <c r="Z911" s="25" t="n">
        <f>929697</f>
        <v>929697.0</v>
      </c>
      <c r="AA911" s="25" t="n">
        <f>642953</f>
        <v>642953.0</v>
      </c>
      <c r="AB911" s="2" t="s">
        <v>427</v>
      </c>
      <c r="AC911" s="26" t="n">
        <f>719094</f>
        <v>719094.0</v>
      </c>
      <c r="AD911" s="3" t="s">
        <v>188</v>
      </c>
      <c r="AE911" s="27" t="n">
        <f>469596</f>
        <v>469596.0</v>
      </c>
    </row>
    <row r="912">
      <c r="A912" s="20" t="s">
        <v>1758</v>
      </c>
      <c r="B912" s="21" t="s">
        <v>1759</v>
      </c>
      <c r="C912" s="22" t="s">
        <v>1768</v>
      </c>
      <c r="D912" s="23" t="s">
        <v>1769</v>
      </c>
      <c r="E912" s="24" t="s">
        <v>151</v>
      </c>
      <c r="F912" s="28" t="n">
        <f>122</f>
        <v>122.0</v>
      </c>
      <c r="G912" s="25" t="n">
        <f>12805763</f>
        <v>1.2805763E7</v>
      </c>
      <c r="H912" s="25"/>
      <c r="I912" s="25" t="n">
        <f>5641017</f>
        <v>5641017.0</v>
      </c>
      <c r="J912" s="25" t="n">
        <f>104965</f>
        <v>104965.0</v>
      </c>
      <c r="K912" s="25" t="n">
        <f>46238</f>
        <v>46238.0</v>
      </c>
      <c r="L912" s="2" t="s">
        <v>152</v>
      </c>
      <c r="M912" s="26" t="n">
        <f>210203</f>
        <v>210203.0</v>
      </c>
      <c r="N912" s="3" t="s">
        <v>185</v>
      </c>
      <c r="O912" s="27" t="n">
        <f>51116</f>
        <v>51116.0</v>
      </c>
      <c r="P912" s="29" t="s">
        <v>1873</v>
      </c>
      <c r="Q912" s="25"/>
      <c r="R912" s="29" t="s">
        <v>1874</v>
      </c>
      <c r="S912" s="25" t="n">
        <f>28009302222</f>
        <v>2.8009302222E10</v>
      </c>
      <c r="T912" s="25" t="n">
        <f>21305590148</f>
        <v>2.1305590148E10</v>
      </c>
      <c r="U912" s="3" t="s">
        <v>135</v>
      </c>
      <c r="V912" s="27" t="n">
        <f>125651887309</f>
        <v>1.25651887309E11</v>
      </c>
      <c r="W912" s="3" t="s">
        <v>153</v>
      </c>
      <c r="X912" s="27" t="n">
        <f>7820704370</f>
        <v>7.82070437E9</v>
      </c>
      <c r="Y912" s="27" t="n">
        <f>341796</f>
        <v>341796.0</v>
      </c>
      <c r="Z912" s="25" t="n">
        <f>2181091</f>
        <v>2181091.0</v>
      </c>
      <c r="AA912" s="25" t="n">
        <f>1627192</f>
        <v>1627192.0</v>
      </c>
      <c r="AB912" s="2" t="s">
        <v>427</v>
      </c>
      <c r="AC912" s="26" t="n">
        <f>1841036</f>
        <v>1841036.0</v>
      </c>
      <c r="AD912" s="3" t="s">
        <v>56</v>
      </c>
      <c r="AE912" s="27" t="n">
        <f>1293408</f>
        <v>1293408.0</v>
      </c>
    </row>
    <row r="913">
      <c r="A913" s="20" t="s">
        <v>1758</v>
      </c>
      <c r="B913" s="21" t="s">
        <v>1759</v>
      </c>
      <c r="C913" s="22" t="s">
        <v>1760</v>
      </c>
      <c r="D913" s="23" t="s">
        <v>1761</v>
      </c>
      <c r="E913" s="24" t="s">
        <v>157</v>
      </c>
      <c r="F913" s="28" t="n">
        <f>124</f>
        <v>124.0</v>
      </c>
      <c r="G913" s="25" t="n">
        <f>5840208</f>
        <v>5840208.0</v>
      </c>
      <c r="H913" s="25"/>
      <c r="I913" s="25" t="n">
        <f>2543743</f>
        <v>2543743.0</v>
      </c>
      <c r="J913" s="25" t="n">
        <f>47098</f>
        <v>47098.0</v>
      </c>
      <c r="K913" s="25" t="n">
        <f>20514</f>
        <v>20514.0</v>
      </c>
      <c r="L913" s="2" t="s">
        <v>296</v>
      </c>
      <c r="M913" s="26" t="n">
        <f>101964</f>
        <v>101964.0</v>
      </c>
      <c r="N913" s="3" t="s">
        <v>50</v>
      </c>
      <c r="O913" s="27" t="n">
        <f>15193</f>
        <v>15193.0</v>
      </c>
      <c r="P913" s="29" t="s">
        <v>1875</v>
      </c>
      <c r="Q913" s="25"/>
      <c r="R913" s="29" t="s">
        <v>1876</v>
      </c>
      <c r="S913" s="25" t="n">
        <f>12049579743</f>
        <v>1.2049579743E10</v>
      </c>
      <c r="T913" s="25" t="n">
        <f>9107975985</f>
        <v>9.107975985E9</v>
      </c>
      <c r="U913" s="3" t="s">
        <v>1102</v>
      </c>
      <c r="V913" s="27" t="n">
        <f>32691772403</f>
        <v>3.2691772403E10</v>
      </c>
      <c r="W913" s="3" t="s">
        <v>50</v>
      </c>
      <c r="X913" s="27" t="n">
        <f>2599067650</f>
        <v>2.59906765E9</v>
      </c>
      <c r="Y913" s="27" t="n">
        <f>91629</f>
        <v>91629.0</v>
      </c>
      <c r="Z913" s="25" t="n">
        <f>1151070</f>
        <v>1151070.0</v>
      </c>
      <c r="AA913" s="25" t="n">
        <f>680253</f>
        <v>680253.0</v>
      </c>
      <c r="AB913" s="2" t="s">
        <v>744</v>
      </c>
      <c r="AC913" s="26" t="n">
        <f>1060024</f>
        <v>1060024.0</v>
      </c>
      <c r="AD913" s="3" t="s">
        <v>128</v>
      </c>
      <c r="AE913" s="27" t="n">
        <f>602344</f>
        <v>602344.0</v>
      </c>
    </row>
    <row r="914">
      <c r="A914" s="20" t="s">
        <v>1758</v>
      </c>
      <c r="B914" s="21" t="s">
        <v>1759</v>
      </c>
      <c r="C914" s="22" t="s">
        <v>1764</v>
      </c>
      <c r="D914" s="23" t="s">
        <v>1765</v>
      </c>
      <c r="E914" s="24" t="s">
        <v>157</v>
      </c>
      <c r="F914" s="28" t="n">
        <f>124</f>
        <v>124.0</v>
      </c>
      <c r="G914" s="25" t="n">
        <f>4318131</f>
        <v>4318131.0</v>
      </c>
      <c r="H914" s="25"/>
      <c r="I914" s="25" t="n">
        <f>1689082</f>
        <v>1689082.0</v>
      </c>
      <c r="J914" s="25" t="n">
        <f>34824</f>
        <v>34824.0</v>
      </c>
      <c r="K914" s="25" t="n">
        <f>13622</f>
        <v>13622.0</v>
      </c>
      <c r="L914" s="2" t="s">
        <v>237</v>
      </c>
      <c r="M914" s="26" t="n">
        <f>69253</f>
        <v>69253.0</v>
      </c>
      <c r="N914" s="3" t="s">
        <v>50</v>
      </c>
      <c r="O914" s="27" t="n">
        <f>7690</f>
        <v>7690.0</v>
      </c>
      <c r="P914" s="29" t="s">
        <v>1877</v>
      </c>
      <c r="Q914" s="25"/>
      <c r="R914" s="29" t="s">
        <v>1878</v>
      </c>
      <c r="S914" s="25" t="n">
        <f>8706665372</f>
        <v>8.706665372E9</v>
      </c>
      <c r="T914" s="25" t="n">
        <f>6100386493</f>
        <v>6.100386493E9</v>
      </c>
      <c r="U914" s="3" t="s">
        <v>141</v>
      </c>
      <c r="V914" s="27" t="n">
        <f>32140208222</f>
        <v>3.2140208222E10</v>
      </c>
      <c r="W914" s="3" t="s">
        <v>50</v>
      </c>
      <c r="X914" s="27" t="n">
        <f>1293556393</f>
        <v>1.293556393E9</v>
      </c>
      <c r="Y914" s="27" t="n">
        <f>298902</f>
        <v>298902.0</v>
      </c>
      <c r="Z914" s="25" t="n">
        <f>932208</f>
        <v>932208.0</v>
      </c>
      <c r="AA914" s="25" t="n">
        <f>437148</f>
        <v>437148.0</v>
      </c>
      <c r="AB914" s="2" t="s">
        <v>744</v>
      </c>
      <c r="AC914" s="26" t="n">
        <f>679790</f>
        <v>679790.0</v>
      </c>
      <c r="AD914" s="3" t="s">
        <v>128</v>
      </c>
      <c r="AE914" s="27" t="n">
        <f>371174</f>
        <v>371174.0</v>
      </c>
    </row>
    <row r="915">
      <c r="A915" s="20" t="s">
        <v>1758</v>
      </c>
      <c r="B915" s="21" t="s">
        <v>1759</v>
      </c>
      <c r="C915" s="22" t="s">
        <v>1768</v>
      </c>
      <c r="D915" s="23" t="s">
        <v>1769</v>
      </c>
      <c r="E915" s="24" t="s">
        <v>157</v>
      </c>
      <c r="F915" s="28" t="n">
        <f>124</f>
        <v>124.0</v>
      </c>
      <c r="G915" s="25" t="n">
        <f>10158339</f>
        <v>1.0158339E7</v>
      </c>
      <c r="H915" s="25"/>
      <c r="I915" s="25" t="n">
        <f>4232825</f>
        <v>4232825.0</v>
      </c>
      <c r="J915" s="25" t="n">
        <f>81922</f>
        <v>81922.0</v>
      </c>
      <c r="K915" s="25" t="n">
        <f>34136</f>
        <v>34136.0</v>
      </c>
      <c r="L915" s="2" t="s">
        <v>1102</v>
      </c>
      <c r="M915" s="26" t="n">
        <f>161086</f>
        <v>161086.0</v>
      </c>
      <c r="N915" s="3" t="s">
        <v>50</v>
      </c>
      <c r="O915" s="27" t="n">
        <f>22883</f>
        <v>22883.0</v>
      </c>
      <c r="P915" s="29" t="s">
        <v>1879</v>
      </c>
      <c r="Q915" s="25"/>
      <c r="R915" s="29" t="s">
        <v>1880</v>
      </c>
      <c r="S915" s="25" t="n">
        <f>20756245115</f>
        <v>2.0756245115E10</v>
      </c>
      <c r="T915" s="25" t="n">
        <f>15208362478</f>
        <v>1.5208362478E10</v>
      </c>
      <c r="U915" s="3" t="s">
        <v>141</v>
      </c>
      <c r="V915" s="27" t="n">
        <f>58440155174</f>
        <v>5.8440155174E10</v>
      </c>
      <c r="W915" s="3" t="s">
        <v>50</v>
      </c>
      <c r="X915" s="27" t="n">
        <f>3892624043</f>
        <v>3.892624043E9</v>
      </c>
      <c r="Y915" s="27" t="n">
        <f>390531</f>
        <v>390531.0</v>
      </c>
      <c r="Z915" s="25" t="n">
        <f>2083278</f>
        <v>2083278.0</v>
      </c>
      <c r="AA915" s="25" t="n">
        <f>1117401</f>
        <v>1117401.0</v>
      </c>
      <c r="AB915" s="2" t="s">
        <v>744</v>
      </c>
      <c r="AC915" s="26" t="n">
        <f>1739814</f>
        <v>1739814.0</v>
      </c>
      <c r="AD915" s="3" t="s">
        <v>128</v>
      </c>
      <c r="AE915" s="27" t="n">
        <f>973518</f>
        <v>973518.0</v>
      </c>
    </row>
    <row r="916">
      <c r="A916" s="20" t="s">
        <v>1758</v>
      </c>
      <c r="B916" s="21" t="s">
        <v>1759</v>
      </c>
      <c r="C916" s="22" t="s">
        <v>1760</v>
      </c>
      <c r="D916" s="23" t="s">
        <v>1761</v>
      </c>
      <c r="E916" s="24" t="s">
        <v>160</v>
      </c>
      <c r="F916" s="28" t="n">
        <f>58</f>
        <v>58.0</v>
      </c>
      <c r="G916" s="25" t="n">
        <f>2741344</f>
        <v>2741344.0</v>
      </c>
      <c r="H916" s="25"/>
      <c r="I916" s="25" t="n">
        <f>1384911</f>
        <v>1384911.0</v>
      </c>
      <c r="J916" s="25" t="n">
        <f>47265</f>
        <v>47265.0</v>
      </c>
      <c r="K916" s="25" t="n">
        <f>23878</f>
        <v>23878.0</v>
      </c>
      <c r="L916" s="2" t="s">
        <v>265</v>
      </c>
      <c r="M916" s="26" t="n">
        <f>82313</f>
        <v>82313.0</v>
      </c>
      <c r="N916" s="3" t="s">
        <v>75</v>
      </c>
      <c r="O916" s="27" t="n">
        <f>18566</f>
        <v>18566.0</v>
      </c>
      <c r="P916" s="29" t="s">
        <v>1881</v>
      </c>
      <c r="Q916" s="25"/>
      <c r="R916" s="29" t="s">
        <v>1882</v>
      </c>
      <c r="S916" s="25" t="n">
        <f>15619260591</f>
        <v>1.5619260591E10</v>
      </c>
      <c r="T916" s="25" t="n">
        <f>12840398694</f>
        <v>1.2840398694E10</v>
      </c>
      <c r="U916" s="3" t="s">
        <v>111</v>
      </c>
      <c r="V916" s="27" t="n">
        <f>34982847370</f>
        <v>3.498284737E10</v>
      </c>
      <c r="W916" s="3" t="s">
        <v>358</v>
      </c>
      <c r="X916" s="27" t="n">
        <f>4774919170</f>
        <v>4.77491917E9</v>
      </c>
      <c r="Y916" s="27" t="n">
        <f>4928</f>
        <v>4928.0</v>
      </c>
      <c r="Z916" s="25" t="n">
        <f>630615</f>
        <v>630615.0</v>
      </c>
      <c r="AA916" s="25" t="n">
        <f>801049</f>
        <v>801049.0</v>
      </c>
      <c r="AB916" s="2" t="s">
        <v>84</v>
      </c>
      <c r="AC916" s="26" t="n">
        <f>933841</f>
        <v>933841.0</v>
      </c>
      <c r="AD916" s="3" t="s">
        <v>863</v>
      </c>
      <c r="AE916" s="27" t="n">
        <f>646614</f>
        <v>646614.0</v>
      </c>
    </row>
    <row r="917">
      <c r="A917" s="20" t="s">
        <v>1758</v>
      </c>
      <c r="B917" s="21" t="s">
        <v>1759</v>
      </c>
      <c r="C917" s="22" t="s">
        <v>1764</v>
      </c>
      <c r="D917" s="23" t="s">
        <v>1765</v>
      </c>
      <c r="E917" s="24" t="s">
        <v>160</v>
      </c>
      <c r="F917" s="28" t="n">
        <f>58</f>
        <v>58.0</v>
      </c>
      <c r="G917" s="25" t="n">
        <f>2163672</f>
        <v>2163672.0</v>
      </c>
      <c r="H917" s="25"/>
      <c r="I917" s="25" t="n">
        <f>943085</f>
        <v>943085.0</v>
      </c>
      <c r="J917" s="25" t="n">
        <f>37305</f>
        <v>37305.0</v>
      </c>
      <c r="K917" s="25" t="n">
        <f>16260</f>
        <v>16260.0</v>
      </c>
      <c r="L917" s="2" t="s">
        <v>706</v>
      </c>
      <c r="M917" s="26" t="n">
        <f>110113</f>
        <v>110113.0</v>
      </c>
      <c r="N917" s="3" t="s">
        <v>243</v>
      </c>
      <c r="O917" s="27" t="n">
        <f>14152</f>
        <v>14152.0</v>
      </c>
      <c r="P917" s="29" t="s">
        <v>1883</v>
      </c>
      <c r="Q917" s="25"/>
      <c r="R917" s="29" t="s">
        <v>1884</v>
      </c>
      <c r="S917" s="25" t="n">
        <f>16384418434</f>
        <v>1.6384418434E10</v>
      </c>
      <c r="T917" s="25" t="n">
        <f>12528117486</f>
        <v>1.2528117486E10</v>
      </c>
      <c r="U917" s="3" t="s">
        <v>863</v>
      </c>
      <c r="V917" s="27" t="n">
        <f>50269199629</f>
        <v>5.0269199629E10</v>
      </c>
      <c r="W917" s="3" t="s">
        <v>75</v>
      </c>
      <c r="X917" s="27" t="n">
        <f>4394542280</f>
        <v>4.39454228E9</v>
      </c>
      <c r="Y917" s="27" t="n">
        <f>232604</f>
        <v>232604.0</v>
      </c>
      <c r="Z917" s="25" t="n">
        <f>539864</f>
        <v>539864.0</v>
      </c>
      <c r="AA917" s="25" t="n">
        <f>473105</f>
        <v>473105.0</v>
      </c>
      <c r="AB917" s="2" t="s">
        <v>84</v>
      </c>
      <c r="AC917" s="26" t="n">
        <f>563184</f>
        <v>563184.0</v>
      </c>
      <c r="AD917" s="3" t="s">
        <v>70</v>
      </c>
      <c r="AE917" s="27" t="n">
        <f>410008</f>
        <v>410008.0</v>
      </c>
    </row>
    <row r="918">
      <c r="A918" s="20" t="s">
        <v>1758</v>
      </c>
      <c r="B918" s="21" t="s">
        <v>1759</v>
      </c>
      <c r="C918" s="22" t="s">
        <v>1768</v>
      </c>
      <c r="D918" s="23" t="s">
        <v>1769</v>
      </c>
      <c r="E918" s="24" t="s">
        <v>160</v>
      </c>
      <c r="F918" s="28" t="n">
        <f>58</f>
        <v>58.0</v>
      </c>
      <c r="G918" s="25" t="n">
        <f>4905016</f>
        <v>4905016.0</v>
      </c>
      <c r="H918" s="25"/>
      <c r="I918" s="25" t="n">
        <f>2327996</f>
        <v>2327996.0</v>
      </c>
      <c r="J918" s="25" t="n">
        <f>84569</f>
        <v>84569.0</v>
      </c>
      <c r="K918" s="25" t="n">
        <f>40138</f>
        <v>40138.0</v>
      </c>
      <c r="L918" s="2" t="s">
        <v>706</v>
      </c>
      <c r="M918" s="26" t="n">
        <f>176866</f>
        <v>176866.0</v>
      </c>
      <c r="N918" s="3" t="s">
        <v>75</v>
      </c>
      <c r="O918" s="27" t="n">
        <f>34155</f>
        <v>34155.0</v>
      </c>
      <c r="P918" s="29" t="s">
        <v>1885</v>
      </c>
      <c r="Q918" s="25"/>
      <c r="R918" s="29" t="s">
        <v>1886</v>
      </c>
      <c r="S918" s="25" t="n">
        <f>32003679025</f>
        <v>3.2003679025E10</v>
      </c>
      <c r="T918" s="25" t="n">
        <f>25368516180</f>
        <v>2.536851618E10</v>
      </c>
      <c r="U918" s="3" t="s">
        <v>111</v>
      </c>
      <c r="V918" s="27" t="n">
        <f>80447481080</f>
        <v>8.044748108E10</v>
      </c>
      <c r="W918" s="3" t="s">
        <v>358</v>
      </c>
      <c r="X918" s="27" t="n">
        <f>9925473390</f>
        <v>9.92547339E9</v>
      </c>
      <c r="Y918" s="27" t="n">
        <f>237532</f>
        <v>237532.0</v>
      </c>
      <c r="Z918" s="25" t="n">
        <f>1170479</f>
        <v>1170479.0</v>
      </c>
      <c r="AA918" s="25" t="n">
        <f>1274154</f>
        <v>1274154.0</v>
      </c>
      <c r="AB918" s="2" t="s">
        <v>84</v>
      </c>
      <c r="AC918" s="26" t="n">
        <f>1497025</f>
        <v>1497025.0</v>
      </c>
      <c r="AD918" s="3" t="s">
        <v>863</v>
      </c>
      <c r="AE918" s="27" t="n">
        <f>1077628</f>
        <v>1077628.0</v>
      </c>
    </row>
    <row r="919">
      <c r="A919" s="20" t="s">
        <v>1887</v>
      </c>
      <c r="B919" s="21" t="s">
        <v>1888</v>
      </c>
      <c r="C919" s="22" t="s">
        <v>1760</v>
      </c>
      <c r="D919" s="23" t="s">
        <v>1761</v>
      </c>
      <c r="E919" s="24" t="s">
        <v>151</v>
      </c>
      <c r="F919" s="28" t="n">
        <f>25</f>
        <v>25.0</v>
      </c>
      <c r="G919" s="25" t="n">
        <f>622689</f>
        <v>622689.0</v>
      </c>
      <c r="H919" s="25"/>
      <c r="I919" s="25" t="n">
        <f>53330</f>
        <v>53330.0</v>
      </c>
      <c r="J919" s="25" t="n">
        <f>24908</f>
        <v>24908.0</v>
      </c>
      <c r="K919" s="25" t="n">
        <f>2133</f>
        <v>2133.0</v>
      </c>
      <c r="L919" s="2" t="s">
        <v>172</v>
      </c>
      <c r="M919" s="26" t="n">
        <f>47894</f>
        <v>47894.0</v>
      </c>
      <c r="N919" s="3" t="s">
        <v>146</v>
      </c>
      <c r="O919" s="27" t="n">
        <f>7559</f>
        <v>7559.0</v>
      </c>
      <c r="P919" s="29" t="s">
        <v>1889</v>
      </c>
      <c r="Q919" s="25"/>
      <c r="R919" s="29" t="s">
        <v>1890</v>
      </c>
      <c r="S919" s="25" t="n">
        <f>294035002</f>
        <v>2.94035002E8</v>
      </c>
      <c r="T919" s="25" t="n">
        <f>9770302</f>
        <v>9770302.0</v>
      </c>
      <c r="U919" s="3" t="s">
        <v>172</v>
      </c>
      <c r="V919" s="27" t="n">
        <f>644427870</f>
        <v>6.4442787E8</v>
      </c>
      <c r="W919" s="3" t="s">
        <v>249</v>
      </c>
      <c r="X919" s="27" t="n">
        <f>90628300</f>
        <v>9.06283E7</v>
      </c>
      <c r="Y919" s="27" t="n">
        <f>5441</f>
        <v>5441.0</v>
      </c>
      <c r="Z919" s="25" t="n">
        <f>47010</f>
        <v>47010.0</v>
      </c>
      <c r="AA919" s="25" t="n">
        <f>10078</f>
        <v>10078.0</v>
      </c>
      <c r="AB919" s="2" t="s">
        <v>172</v>
      </c>
      <c r="AC919" s="26" t="n">
        <f>54632</f>
        <v>54632.0</v>
      </c>
      <c r="AD919" s="3" t="s">
        <v>312</v>
      </c>
      <c r="AE919" s="27" t="n">
        <f>2151</f>
        <v>2151.0</v>
      </c>
    </row>
    <row r="920">
      <c r="A920" s="20" t="s">
        <v>1887</v>
      </c>
      <c r="B920" s="21" t="s">
        <v>1888</v>
      </c>
      <c r="C920" s="22" t="s">
        <v>1764</v>
      </c>
      <c r="D920" s="23" t="s">
        <v>1765</v>
      </c>
      <c r="E920" s="24" t="s">
        <v>151</v>
      </c>
      <c r="F920" s="28" t="n">
        <f>25</f>
        <v>25.0</v>
      </c>
      <c r="G920" s="25" t="n">
        <f>550439</f>
        <v>550439.0</v>
      </c>
      <c r="H920" s="25"/>
      <c r="I920" s="25" t="n">
        <f>42220</f>
        <v>42220.0</v>
      </c>
      <c r="J920" s="25" t="n">
        <f>22018</f>
        <v>22018.0</v>
      </c>
      <c r="K920" s="25" t="n">
        <f>1689</f>
        <v>1689.0</v>
      </c>
      <c r="L920" s="2" t="s">
        <v>135</v>
      </c>
      <c r="M920" s="26" t="n">
        <f>33250</f>
        <v>33250.0</v>
      </c>
      <c r="N920" s="3" t="s">
        <v>249</v>
      </c>
      <c r="O920" s="27" t="n">
        <f>7806</f>
        <v>7806.0</v>
      </c>
      <c r="P920" s="29" t="s">
        <v>1891</v>
      </c>
      <c r="Q920" s="25"/>
      <c r="R920" s="29" t="s">
        <v>1892</v>
      </c>
      <c r="S920" s="25" t="n">
        <f>336127027</f>
        <v>3.36127027E8</v>
      </c>
      <c r="T920" s="25" t="n">
        <f>17028751</f>
        <v>1.7028751E7</v>
      </c>
      <c r="U920" s="3" t="s">
        <v>135</v>
      </c>
      <c r="V920" s="27" t="n">
        <f>861015075</f>
        <v>8.61015075E8</v>
      </c>
      <c r="W920" s="3" t="s">
        <v>249</v>
      </c>
      <c r="X920" s="27" t="n">
        <f>96680700</f>
        <v>9.66807E7</v>
      </c>
      <c r="Y920" s="27" t="n">
        <f>10575</f>
        <v>10575.0</v>
      </c>
      <c r="Z920" s="25" t="n">
        <f>36238</f>
        <v>36238.0</v>
      </c>
      <c r="AA920" s="25" t="n">
        <f>11880</f>
        <v>11880.0</v>
      </c>
      <c r="AB920" s="2" t="s">
        <v>737</v>
      </c>
      <c r="AC920" s="26" t="n">
        <f>35315</f>
        <v>35315.0</v>
      </c>
      <c r="AD920" s="3" t="s">
        <v>312</v>
      </c>
      <c r="AE920" s="27" t="n">
        <f>2086</f>
        <v>2086.0</v>
      </c>
    </row>
    <row r="921">
      <c r="A921" s="20" t="s">
        <v>1887</v>
      </c>
      <c r="B921" s="21" t="s">
        <v>1888</v>
      </c>
      <c r="C921" s="22" t="s">
        <v>1768</v>
      </c>
      <c r="D921" s="23" t="s">
        <v>1769</v>
      </c>
      <c r="E921" s="24" t="s">
        <v>151</v>
      </c>
      <c r="F921" s="28" t="n">
        <f>25</f>
        <v>25.0</v>
      </c>
      <c r="G921" s="25" t="n">
        <f>1173128</f>
        <v>1173128.0</v>
      </c>
      <c r="H921" s="25"/>
      <c r="I921" s="25" t="n">
        <f>95550</f>
        <v>95550.0</v>
      </c>
      <c r="J921" s="25" t="n">
        <f>46925</f>
        <v>46925.0</v>
      </c>
      <c r="K921" s="25" t="n">
        <f>3822</f>
        <v>3822.0</v>
      </c>
      <c r="L921" s="2" t="s">
        <v>172</v>
      </c>
      <c r="M921" s="26" t="n">
        <f>78792</f>
        <v>78792.0</v>
      </c>
      <c r="N921" s="3" t="s">
        <v>146</v>
      </c>
      <c r="O921" s="27" t="n">
        <f>16288</f>
        <v>16288.0</v>
      </c>
      <c r="P921" s="29" t="s">
        <v>1893</v>
      </c>
      <c r="Q921" s="25"/>
      <c r="R921" s="29" t="s">
        <v>1894</v>
      </c>
      <c r="S921" s="25" t="n">
        <f>630162029</f>
        <v>6.30162029E8</v>
      </c>
      <c r="T921" s="25" t="n">
        <f>26799053</f>
        <v>2.6799053E7</v>
      </c>
      <c r="U921" s="3" t="s">
        <v>135</v>
      </c>
      <c r="V921" s="27" t="n">
        <f>1475397215</f>
        <v>1.475397215E9</v>
      </c>
      <c r="W921" s="3" t="s">
        <v>249</v>
      </c>
      <c r="X921" s="27" t="n">
        <f>187309000</f>
        <v>1.87309E8</v>
      </c>
      <c r="Y921" s="27" t="n">
        <f>16016</f>
        <v>16016.0</v>
      </c>
      <c r="Z921" s="25" t="n">
        <f>83248</f>
        <v>83248.0</v>
      </c>
      <c r="AA921" s="25" t="n">
        <f>21958</f>
        <v>21958.0</v>
      </c>
      <c r="AB921" s="2" t="s">
        <v>172</v>
      </c>
      <c r="AC921" s="26" t="n">
        <f>81885</f>
        <v>81885.0</v>
      </c>
      <c r="AD921" s="3" t="s">
        <v>312</v>
      </c>
      <c r="AE921" s="27" t="n">
        <f>4237</f>
        <v>4237.0</v>
      </c>
    </row>
    <row r="922">
      <c r="A922" s="20" t="s">
        <v>1887</v>
      </c>
      <c r="B922" s="21" t="s">
        <v>1888</v>
      </c>
      <c r="C922" s="22" t="s">
        <v>1760</v>
      </c>
      <c r="D922" s="23" t="s">
        <v>1761</v>
      </c>
      <c r="E922" s="24" t="s">
        <v>157</v>
      </c>
      <c r="F922" s="28" t="n">
        <f>124</f>
        <v>124.0</v>
      </c>
      <c r="G922" s="25" t="n">
        <f>2825834</f>
        <v>2825834.0</v>
      </c>
      <c r="H922" s="25"/>
      <c r="I922" s="25" t="n">
        <f>259528</f>
        <v>259528.0</v>
      </c>
      <c r="J922" s="25" t="n">
        <f>22789</f>
        <v>22789.0</v>
      </c>
      <c r="K922" s="25" t="n">
        <f>2093</f>
        <v>2093.0</v>
      </c>
      <c r="L922" s="2" t="s">
        <v>542</v>
      </c>
      <c r="M922" s="26" t="n">
        <f>48166</f>
        <v>48166.0</v>
      </c>
      <c r="N922" s="3" t="s">
        <v>593</v>
      </c>
      <c r="O922" s="27" t="n">
        <f>6242</f>
        <v>6242.0</v>
      </c>
      <c r="P922" s="29" t="s">
        <v>1895</v>
      </c>
      <c r="Q922" s="25"/>
      <c r="R922" s="29" t="s">
        <v>1896</v>
      </c>
      <c r="S922" s="25" t="n">
        <f>189857126</f>
        <v>1.89857126E8</v>
      </c>
      <c r="T922" s="25" t="n">
        <f>11396781</f>
        <v>1.1396781E7</v>
      </c>
      <c r="U922" s="3" t="s">
        <v>897</v>
      </c>
      <c r="V922" s="27" t="n">
        <f>634617950</f>
        <v>6.3461795E8</v>
      </c>
      <c r="W922" s="3" t="s">
        <v>393</v>
      </c>
      <c r="X922" s="27" t="n">
        <f>53378170</f>
        <v>5.337817E7</v>
      </c>
      <c r="Y922" s="27" t="n">
        <f>65504</f>
        <v>65504.0</v>
      </c>
      <c r="Z922" s="25" t="n">
        <f>236075</f>
        <v>236075.0</v>
      </c>
      <c r="AA922" s="25" t="n">
        <f>20113</f>
        <v>20113.0</v>
      </c>
      <c r="AB922" s="2" t="s">
        <v>216</v>
      </c>
      <c r="AC922" s="26" t="n">
        <f>56462</f>
        <v>56462.0</v>
      </c>
      <c r="AD922" s="3" t="s">
        <v>972</v>
      </c>
      <c r="AE922" s="27" t="n">
        <f>7469</f>
        <v>7469.0</v>
      </c>
    </row>
    <row r="923">
      <c r="A923" s="20" t="s">
        <v>1887</v>
      </c>
      <c r="B923" s="21" t="s">
        <v>1888</v>
      </c>
      <c r="C923" s="22" t="s">
        <v>1764</v>
      </c>
      <c r="D923" s="23" t="s">
        <v>1765</v>
      </c>
      <c r="E923" s="24" t="s">
        <v>157</v>
      </c>
      <c r="F923" s="28" t="n">
        <f>124</f>
        <v>124.0</v>
      </c>
      <c r="G923" s="25" t="n">
        <f>2615200</f>
        <v>2615200.0</v>
      </c>
      <c r="H923" s="25"/>
      <c r="I923" s="25" t="n">
        <f>261255</f>
        <v>261255.0</v>
      </c>
      <c r="J923" s="25" t="n">
        <f>21090</f>
        <v>21090.0</v>
      </c>
      <c r="K923" s="25" t="n">
        <f>2107</f>
        <v>2107.0</v>
      </c>
      <c r="L923" s="2" t="s">
        <v>1388</v>
      </c>
      <c r="M923" s="26" t="n">
        <f>53987</f>
        <v>53987.0</v>
      </c>
      <c r="N923" s="3" t="s">
        <v>241</v>
      </c>
      <c r="O923" s="27" t="n">
        <f>6812</f>
        <v>6812.0</v>
      </c>
      <c r="P923" s="29" t="s">
        <v>1897</v>
      </c>
      <c r="Q923" s="25"/>
      <c r="R923" s="29" t="s">
        <v>1898</v>
      </c>
      <c r="S923" s="25" t="n">
        <f>175370863</f>
        <v>1.75370863E8</v>
      </c>
      <c r="T923" s="25" t="n">
        <f>11195552</f>
        <v>1.1195552E7</v>
      </c>
      <c r="U923" s="3" t="s">
        <v>976</v>
      </c>
      <c r="V923" s="27" t="n">
        <f>427513970</f>
        <v>4.2751397E8</v>
      </c>
      <c r="W923" s="3" t="s">
        <v>593</v>
      </c>
      <c r="X923" s="27" t="n">
        <f>70589080</f>
        <v>7.058908E7</v>
      </c>
      <c r="Y923" s="27" t="n">
        <f>59286</f>
        <v>59286.0</v>
      </c>
      <c r="Z923" s="25" t="n">
        <f>217646</f>
        <v>217646.0</v>
      </c>
      <c r="AA923" s="25" t="n">
        <f>17776</f>
        <v>17776.0</v>
      </c>
      <c r="AB923" s="2" t="s">
        <v>1388</v>
      </c>
      <c r="AC923" s="26" t="n">
        <f>61682</f>
        <v>61682.0</v>
      </c>
      <c r="AD923" s="3" t="s">
        <v>972</v>
      </c>
      <c r="AE923" s="27" t="n">
        <f>7743</f>
        <v>7743.0</v>
      </c>
    </row>
    <row r="924">
      <c r="A924" s="20" t="s">
        <v>1887</v>
      </c>
      <c r="B924" s="21" t="s">
        <v>1888</v>
      </c>
      <c r="C924" s="22" t="s">
        <v>1768</v>
      </c>
      <c r="D924" s="23" t="s">
        <v>1769</v>
      </c>
      <c r="E924" s="24" t="s">
        <v>157</v>
      </c>
      <c r="F924" s="28" t="n">
        <f>124</f>
        <v>124.0</v>
      </c>
      <c r="G924" s="25" t="n">
        <f>5441034</f>
        <v>5441034.0</v>
      </c>
      <c r="H924" s="25"/>
      <c r="I924" s="25" t="n">
        <f>520783</f>
        <v>520783.0</v>
      </c>
      <c r="J924" s="25" t="n">
        <f>43879</f>
        <v>43879.0</v>
      </c>
      <c r="K924" s="25" t="n">
        <f>4200</f>
        <v>4200.0</v>
      </c>
      <c r="L924" s="2" t="s">
        <v>897</v>
      </c>
      <c r="M924" s="26" t="n">
        <f>98156</f>
        <v>98156.0</v>
      </c>
      <c r="N924" s="3" t="s">
        <v>593</v>
      </c>
      <c r="O924" s="27" t="n">
        <f>13142</f>
        <v>13142.0</v>
      </c>
      <c r="P924" s="29" t="s">
        <v>1899</v>
      </c>
      <c r="Q924" s="25"/>
      <c r="R924" s="29" t="s">
        <v>1900</v>
      </c>
      <c r="S924" s="25" t="n">
        <f>365227989</f>
        <v>3.65227989E8</v>
      </c>
      <c r="T924" s="25" t="n">
        <f>22592333</f>
        <v>2.2592333E7</v>
      </c>
      <c r="U924" s="3" t="s">
        <v>897</v>
      </c>
      <c r="V924" s="27" t="n">
        <f>1024916020</f>
        <v>1.02491602E9</v>
      </c>
      <c r="W924" s="3" t="s">
        <v>593</v>
      </c>
      <c r="X924" s="27" t="n">
        <f>135874680</f>
        <v>1.3587468E8</v>
      </c>
      <c r="Y924" s="27" t="n">
        <f>124790</f>
        <v>124790.0</v>
      </c>
      <c r="Z924" s="25" t="n">
        <f>453721</f>
        <v>453721.0</v>
      </c>
      <c r="AA924" s="25" t="n">
        <f>37889</f>
        <v>37889.0</v>
      </c>
      <c r="AB924" s="2" t="s">
        <v>1388</v>
      </c>
      <c r="AC924" s="26" t="n">
        <f>105994</f>
        <v>105994.0</v>
      </c>
      <c r="AD924" s="3" t="s">
        <v>972</v>
      </c>
      <c r="AE924" s="27" t="n">
        <f>15212</f>
        <v>15212.0</v>
      </c>
    </row>
    <row r="925">
      <c r="A925" s="20" t="s">
        <v>1887</v>
      </c>
      <c r="B925" s="21" t="s">
        <v>1888</v>
      </c>
      <c r="C925" s="22" t="s">
        <v>1760</v>
      </c>
      <c r="D925" s="23" t="s">
        <v>1761</v>
      </c>
      <c r="E925" s="24" t="s">
        <v>160</v>
      </c>
      <c r="F925" s="28" t="n">
        <f>58</f>
        <v>58.0</v>
      </c>
      <c r="G925" s="25" t="n">
        <f>1499495</f>
        <v>1499495.0</v>
      </c>
      <c r="H925" s="25"/>
      <c r="I925" s="25" t="n">
        <f>211630</f>
        <v>211630.0</v>
      </c>
      <c r="J925" s="25" t="n">
        <f>25853</f>
        <v>25853.0</v>
      </c>
      <c r="K925" s="25" t="n">
        <f>3649</f>
        <v>3649.0</v>
      </c>
      <c r="L925" s="2" t="s">
        <v>242</v>
      </c>
      <c r="M925" s="26" t="n">
        <f>77061</f>
        <v>77061.0</v>
      </c>
      <c r="N925" s="3" t="s">
        <v>476</v>
      </c>
      <c r="O925" s="27" t="n">
        <f>8916</f>
        <v>8916.0</v>
      </c>
      <c r="P925" s="29" t="s">
        <v>1901</v>
      </c>
      <c r="Q925" s="25"/>
      <c r="R925" s="29" t="s">
        <v>1902</v>
      </c>
      <c r="S925" s="25" t="n">
        <f>234837219</f>
        <v>2.34837219E8</v>
      </c>
      <c r="T925" s="25" t="n">
        <f>10713776</f>
        <v>1.0713776E7</v>
      </c>
      <c r="U925" s="3" t="s">
        <v>134</v>
      </c>
      <c r="V925" s="27" t="n">
        <f>716748850</f>
        <v>7.1674885E8</v>
      </c>
      <c r="W925" s="3" t="s">
        <v>476</v>
      </c>
      <c r="X925" s="27" t="n">
        <f>89724840</f>
        <v>8.972484E7</v>
      </c>
      <c r="Y925" s="27" t="n">
        <f>5443</f>
        <v>5443.0</v>
      </c>
      <c r="Z925" s="25" t="n">
        <f>206487</f>
        <v>206487.0</v>
      </c>
      <c r="AA925" s="25" t="n">
        <f>24329</f>
        <v>24329.0</v>
      </c>
      <c r="AB925" s="2" t="s">
        <v>242</v>
      </c>
      <c r="AC925" s="26" t="n">
        <f>73127</f>
        <v>73127.0</v>
      </c>
      <c r="AD925" s="3" t="s">
        <v>147</v>
      </c>
      <c r="AE925" s="27" t="n">
        <f>11237</f>
        <v>11237.0</v>
      </c>
    </row>
    <row r="926">
      <c r="A926" s="20" t="s">
        <v>1887</v>
      </c>
      <c r="B926" s="21" t="s">
        <v>1888</v>
      </c>
      <c r="C926" s="22" t="s">
        <v>1764</v>
      </c>
      <c r="D926" s="23" t="s">
        <v>1765</v>
      </c>
      <c r="E926" s="24" t="s">
        <v>160</v>
      </c>
      <c r="F926" s="28" t="n">
        <f>58</f>
        <v>58.0</v>
      </c>
      <c r="G926" s="25" t="n">
        <f>1219967</f>
        <v>1219967.0</v>
      </c>
      <c r="H926" s="25"/>
      <c r="I926" s="25" t="n">
        <f>132100</f>
        <v>132100.0</v>
      </c>
      <c r="J926" s="25" t="n">
        <f>21034</f>
        <v>21034.0</v>
      </c>
      <c r="K926" s="25" t="n">
        <f>2278</f>
        <v>2278.0</v>
      </c>
      <c r="L926" s="2" t="s">
        <v>242</v>
      </c>
      <c r="M926" s="26" t="n">
        <f>46027</f>
        <v>46027.0</v>
      </c>
      <c r="N926" s="3" t="s">
        <v>243</v>
      </c>
      <c r="O926" s="27" t="n">
        <f>6066</f>
        <v>6066.0</v>
      </c>
      <c r="P926" s="29" t="s">
        <v>1903</v>
      </c>
      <c r="Q926" s="25"/>
      <c r="R926" s="29" t="s">
        <v>1904</v>
      </c>
      <c r="S926" s="25" t="n">
        <f>288098334</f>
        <v>2.88098334E8</v>
      </c>
      <c r="T926" s="25" t="n">
        <f>17524120</f>
        <v>1.752412E7</v>
      </c>
      <c r="U926" s="3" t="s">
        <v>242</v>
      </c>
      <c r="V926" s="27" t="n">
        <f>751935060</f>
        <v>7.5193506E8</v>
      </c>
      <c r="W926" s="3" t="s">
        <v>243</v>
      </c>
      <c r="X926" s="27" t="n">
        <f>92340620</f>
        <v>9.234062E7</v>
      </c>
      <c r="Y926" s="27" t="n">
        <f>58531</f>
        <v>58531.0</v>
      </c>
      <c r="Z926" s="25" t="n">
        <f>128690</f>
        <v>128690.0</v>
      </c>
      <c r="AA926" s="25" t="n">
        <f>13456</f>
        <v>13456.0</v>
      </c>
      <c r="AB926" s="2" t="s">
        <v>873</v>
      </c>
      <c r="AC926" s="26" t="n">
        <f>37818</f>
        <v>37818.0</v>
      </c>
      <c r="AD926" s="3" t="s">
        <v>1096</v>
      </c>
      <c r="AE926" s="27" t="n">
        <f>11564</f>
        <v>11564.0</v>
      </c>
    </row>
    <row r="927">
      <c r="A927" s="20" t="s">
        <v>1887</v>
      </c>
      <c r="B927" s="21" t="s">
        <v>1888</v>
      </c>
      <c r="C927" s="22" t="s">
        <v>1768</v>
      </c>
      <c r="D927" s="23" t="s">
        <v>1769</v>
      </c>
      <c r="E927" s="24" t="s">
        <v>160</v>
      </c>
      <c r="F927" s="28" t="n">
        <f>58</f>
        <v>58.0</v>
      </c>
      <c r="G927" s="25" t="n">
        <f>2719462</f>
        <v>2719462.0</v>
      </c>
      <c r="H927" s="25"/>
      <c r="I927" s="25" t="n">
        <f>343730</f>
        <v>343730.0</v>
      </c>
      <c r="J927" s="25" t="n">
        <f>46887</f>
        <v>46887.0</v>
      </c>
      <c r="K927" s="25" t="n">
        <f>5926</f>
        <v>5926.0</v>
      </c>
      <c r="L927" s="2" t="s">
        <v>242</v>
      </c>
      <c r="M927" s="26" t="n">
        <f>123088</f>
        <v>123088.0</v>
      </c>
      <c r="N927" s="3" t="s">
        <v>243</v>
      </c>
      <c r="O927" s="27" t="n">
        <f>17816</f>
        <v>17816.0</v>
      </c>
      <c r="P927" s="29" t="s">
        <v>1905</v>
      </c>
      <c r="Q927" s="25"/>
      <c r="R927" s="29" t="s">
        <v>1906</v>
      </c>
      <c r="S927" s="25" t="n">
        <f>522935552</f>
        <v>5.22935552E8</v>
      </c>
      <c r="T927" s="25" t="n">
        <f>28237896</f>
        <v>2.8237896E7</v>
      </c>
      <c r="U927" s="3" t="s">
        <v>134</v>
      </c>
      <c r="V927" s="27" t="n">
        <f>1279017240</f>
        <v>1.27901724E9</v>
      </c>
      <c r="W927" s="3" t="s">
        <v>243</v>
      </c>
      <c r="X927" s="27" t="n">
        <f>199458640</f>
        <v>1.9945864E8</v>
      </c>
      <c r="Y927" s="27" t="n">
        <f>63974</f>
        <v>63974.0</v>
      </c>
      <c r="Z927" s="25" t="n">
        <f>335177</f>
        <v>335177.0</v>
      </c>
      <c r="AA927" s="25" t="n">
        <f>37785</f>
        <v>37785.0</v>
      </c>
      <c r="AB927" s="2" t="s">
        <v>242</v>
      </c>
      <c r="AC927" s="26" t="n">
        <f>110462</f>
        <v>110462.0</v>
      </c>
      <c r="AD927" s="3" t="s">
        <v>147</v>
      </c>
      <c r="AE927" s="27" t="n">
        <f>23818</f>
        <v>23818.0</v>
      </c>
    </row>
    <row r="928">
      <c r="A928" s="20" t="s">
        <v>1907</v>
      </c>
      <c r="B928" s="21" t="s">
        <v>1908</v>
      </c>
      <c r="C928" s="22" t="s">
        <v>1760</v>
      </c>
      <c r="D928" s="23" t="s">
        <v>1761</v>
      </c>
      <c r="E928" s="24" t="s">
        <v>268</v>
      </c>
      <c r="F928" s="28" t="n">
        <f>49</f>
        <v>49.0</v>
      </c>
      <c r="G928" s="25" t="n">
        <f>2883264</f>
        <v>2883264.0</v>
      </c>
      <c r="H928" s="25"/>
      <c r="I928" s="25" t="str">
        <f>"－"</f>
        <v>－</v>
      </c>
      <c r="J928" s="25" t="n">
        <f>58842</f>
        <v>58842.0</v>
      </c>
      <c r="K928" s="25" t="str">
        <f>"－"</f>
        <v>－</v>
      </c>
      <c r="L928" s="2" t="s">
        <v>334</v>
      </c>
      <c r="M928" s="26" t="n">
        <f>2755029</f>
        <v>2755029.0</v>
      </c>
      <c r="N928" s="3" t="s">
        <v>269</v>
      </c>
      <c r="O928" s="27" t="n">
        <f>457</f>
        <v>457.0</v>
      </c>
      <c r="P928" s="29" t="s">
        <v>1909</v>
      </c>
      <c r="Q928" s="25"/>
      <c r="R928" s="29" t="s">
        <v>262</v>
      </c>
      <c r="S928" s="25" t="n">
        <f>4550250102</f>
        <v>4.550250102E9</v>
      </c>
      <c r="T928" s="25" t="str">
        <f>"－"</f>
        <v>－</v>
      </c>
      <c r="U928" s="3" t="s">
        <v>334</v>
      </c>
      <c r="V928" s="27" t="n">
        <f>202825860000</f>
        <v>2.0282586E11</v>
      </c>
      <c r="W928" s="3" t="s">
        <v>269</v>
      </c>
      <c r="X928" s="27" t="n">
        <f>54755000</f>
        <v>5.4755E7</v>
      </c>
      <c r="Y928" s="27" t="n">
        <f>1004</f>
        <v>1004.0</v>
      </c>
      <c r="Z928" s="25" t="str">
        <f>"－"</f>
        <v>－</v>
      </c>
      <c r="AA928" s="25" t="n">
        <f>1957</f>
        <v>1957.0</v>
      </c>
      <c r="AB928" s="2" t="s">
        <v>252</v>
      </c>
      <c r="AC928" s="26" t="n">
        <f>17647</f>
        <v>17647.0</v>
      </c>
      <c r="AD928" s="3" t="s">
        <v>67</v>
      </c>
      <c r="AE928" s="27" t="n">
        <f>985</f>
        <v>985.0</v>
      </c>
    </row>
    <row r="929">
      <c r="A929" s="20" t="s">
        <v>1907</v>
      </c>
      <c r="B929" s="21" t="s">
        <v>1908</v>
      </c>
      <c r="C929" s="22" t="s">
        <v>1764</v>
      </c>
      <c r="D929" s="23" t="s">
        <v>1765</v>
      </c>
      <c r="E929" s="24" t="s">
        <v>268</v>
      </c>
      <c r="F929" s="28" t="n">
        <f>49</f>
        <v>49.0</v>
      </c>
      <c r="G929" s="25" t="n">
        <f>1922304</f>
        <v>1922304.0</v>
      </c>
      <c r="H929" s="25"/>
      <c r="I929" s="25" t="str">
        <f>"－"</f>
        <v>－</v>
      </c>
      <c r="J929" s="25" t="n">
        <f>39231</f>
        <v>39231.0</v>
      </c>
      <c r="K929" s="25" t="str">
        <f>"－"</f>
        <v>－</v>
      </c>
      <c r="L929" s="2" t="s">
        <v>334</v>
      </c>
      <c r="M929" s="26" t="n">
        <f>1785136</f>
        <v>1785136.0</v>
      </c>
      <c r="N929" s="3" t="s">
        <v>269</v>
      </c>
      <c r="O929" s="27" t="n">
        <f>509</f>
        <v>509.0</v>
      </c>
      <c r="P929" s="29" t="s">
        <v>1910</v>
      </c>
      <c r="Q929" s="25"/>
      <c r="R929" s="29" t="s">
        <v>262</v>
      </c>
      <c r="S929" s="25" t="n">
        <f>10411117041</f>
        <v>1.0411117041E10</v>
      </c>
      <c r="T929" s="25" t="str">
        <f>"－"</f>
        <v>－</v>
      </c>
      <c r="U929" s="3" t="s">
        <v>334</v>
      </c>
      <c r="V929" s="27" t="n">
        <f>465661720000</f>
        <v>4.6566172E11</v>
      </c>
      <c r="W929" s="3" t="s">
        <v>269</v>
      </c>
      <c r="X929" s="27" t="n">
        <f>60920000</f>
        <v>6.092E7</v>
      </c>
      <c r="Y929" s="27" t="n">
        <f>2746</f>
        <v>2746.0</v>
      </c>
      <c r="Z929" s="25" t="str">
        <f>"－"</f>
        <v>－</v>
      </c>
      <c r="AA929" s="25" t="n">
        <f>1780</f>
        <v>1780.0</v>
      </c>
      <c r="AB929" s="2" t="s">
        <v>334</v>
      </c>
      <c r="AC929" s="26" t="n">
        <f>12633</f>
        <v>12633.0</v>
      </c>
      <c r="AD929" s="3" t="s">
        <v>128</v>
      </c>
      <c r="AE929" s="27" t="n">
        <f>518</f>
        <v>518.0</v>
      </c>
    </row>
    <row r="930">
      <c r="A930" s="20" t="s">
        <v>1907</v>
      </c>
      <c r="B930" s="21" t="s">
        <v>1908</v>
      </c>
      <c r="C930" s="22" t="s">
        <v>1768</v>
      </c>
      <c r="D930" s="23" t="s">
        <v>1769</v>
      </c>
      <c r="E930" s="24" t="s">
        <v>268</v>
      </c>
      <c r="F930" s="28" t="n">
        <f>49</f>
        <v>49.0</v>
      </c>
      <c r="G930" s="25" t="n">
        <f>4805568</f>
        <v>4805568.0</v>
      </c>
      <c r="H930" s="25"/>
      <c r="I930" s="25" t="str">
        <f>"－"</f>
        <v>－</v>
      </c>
      <c r="J930" s="25" t="n">
        <f>98073</f>
        <v>98073.0</v>
      </c>
      <c r="K930" s="25" t="str">
        <f>"－"</f>
        <v>－</v>
      </c>
      <c r="L930" s="2" t="s">
        <v>334</v>
      </c>
      <c r="M930" s="26" t="n">
        <f>4540165</f>
        <v>4540165.0</v>
      </c>
      <c r="N930" s="3" t="s">
        <v>269</v>
      </c>
      <c r="O930" s="27" t="n">
        <f>966</f>
        <v>966.0</v>
      </c>
      <c r="P930" s="29" t="s">
        <v>1911</v>
      </c>
      <c r="Q930" s="25"/>
      <c r="R930" s="29" t="s">
        <v>262</v>
      </c>
      <c r="S930" s="25" t="n">
        <f>14961367143</f>
        <v>1.4961367143E10</v>
      </c>
      <c r="T930" s="25" t="str">
        <f>"－"</f>
        <v>－</v>
      </c>
      <c r="U930" s="3" t="s">
        <v>334</v>
      </c>
      <c r="V930" s="27" t="n">
        <f>668487580000</f>
        <v>6.6848758E11</v>
      </c>
      <c r="W930" s="3" t="s">
        <v>269</v>
      </c>
      <c r="X930" s="27" t="n">
        <f>115675000</f>
        <v>1.15675E8</v>
      </c>
      <c r="Y930" s="27" t="n">
        <f>3750</f>
        <v>3750.0</v>
      </c>
      <c r="Z930" s="25" t="str">
        <f>"－"</f>
        <v>－</v>
      </c>
      <c r="AA930" s="25" t="n">
        <f>3737</f>
        <v>3737.0</v>
      </c>
      <c r="AB930" s="2" t="s">
        <v>461</v>
      </c>
      <c r="AC930" s="26" t="n">
        <f>26724</f>
        <v>26724.0</v>
      </c>
      <c r="AD930" s="3" t="s">
        <v>67</v>
      </c>
      <c r="AE930" s="27" t="n">
        <f>1634</f>
        <v>1634.0</v>
      </c>
    </row>
    <row r="931">
      <c r="A931" s="20" t="s">
        <v>1907</v>
      </c>
      <c r="B931" s="21" t="s">
        <v>1908</v>
      </c>
      <c r="C931" s="22" t="s">
        <v>1760</v>
      </c>
      <c r="D931" s="23" t="s">
        <v>1761</v>
      </c>
      <c r="E931" s="24" t="s">
        <v>272</v>
      </c>
      <c r="F931" s="28" t="n">
        <f>121</f>
        <v>121.0</v>
      </c>
      <c r="G931" s="25" t="n">
        <f>174504</f>
        <v>174504.0</v>
      </c>
      <c r="H931" s="25"/>
      <c r="I931" s="25" t="str">
        <f>"－"</f>
        <v>－</v>
      </c>
      <c r="J931" s="25" t="n">
        <f>1442</f>
        <v>1442.0</v>
      </c>
      <c r="K931" s="25" t="str">
        <f>"－"</f>
        <v>－</v>
      </c>
      <c r="L931" s="2" t="s">
        <v>843</v>
      </c>
      <c r="M931" s="26" t="n">
        <f>3777</f>
        <v>3777.0</v>
      </c>
      <c r="N931" s="3" t="s">
        <v>101</v>
      </c>
      <c r="O931" s="27" t="n">
        <f>33</f>
        <v>33.0</v>
      </c>
      <c r="P931" s="29" t="s">
        <v>1912</v>
      </c>
      <c r="Q931" s="25"/>
      <c r="R931" s="29" t="s">
        <v>262</v>
      </c>
      <c r="S931" s="25" t="n">
        <f>619376322</f>
        <v>6.19376322E8</v>
      </c>
      <c r="T931" s="25" t="str">
        <f>"－"</f>
        <v>－</v>
      </c>
      <c r="U931" s="3" t="s">
        <v>688</v>
      </c>
      <c r="V931" s="27" t="n">
        <f>2105110000</f>
        <v>2.10511E9</v>
      </c>
      <c r="W931" s="3" t="s">
        <v>249</v>
      </c>
      <c r="X931" s="27" t="n">
        <f>4360000</f>
        <v>4360000.0</v>
      </c>
      <c r="Y931" s="27" t="n">
        <f>3839</f>
        <v>3839.0</v>
      </c>
      <c r="Z931" s="25" t="str">
        <f>"－"</f>
        <v>－</v>
      </c>
      <c r="AA931" s="25" t="n">
        <f>132</f>
        <v>132.0</v>
      </c>
      <c r="AB931" s="2" t="s">
        <v>565</v>
      </c>
      <c r="AC931" s="26" t="n">
        <f>2156</f>
        <v>2156.0</v>
      </c>
      <c r="AD931" s="3" t="s">
        <v>101</v>
      </c>
      <c r="AE931" s="27" t="n">
        <f>22</f>
        <v>22.0</v>
      </c>
    </row>
    <row r="932">
      <c r="A932" s="20" t="s">
        <v>1907</v>
      </c>
      <c r="B932" s="21" t="s">
        <v>1908</v>
      </c>
      <c r="C932" s="22" t="s">
        <v>1764</v>
      </c>
      <c r="D932" s="23" t="s">
        <v>1765</v>
      </c>
      <c r="E932" s="24" t="s">
        <v>272</v>
      </c>
      <c r="F932" s="28" t="n">
        <f>121</f>
        <v>121.0</v>
      </c>
      <c r="G932" s="25" t="n">
        <f>231052</f>
        <v>231052.0</v>
      </c>
      <c r="H932" s="25"/>
      <c r="I932" s="25" t="str">
        <f>"－"</f>
        <v>－</v>
      </c>
      <c r="J932" s="25" t="n">
        <f>1910</f>
        <v>1910.0</v>
      </c>
      <c r="K932" s="25" t="str">
        <f>"－"</f>
        <v>－</v>
      </c>
      <c r="L932" s="2" t="s">
        <v>419</v>
      </c>
      <c r="M932" s="26" t="n">
        <f>5367</f>
        <v>5367.0</v>
      </c>
      <c r="N932" s="3" t="s">
        <v>172</v>
      </c>
      <c r="O932" s="27" t="n">
        <f>208</f>
        <v>208.0</v>
      </c>
      <c r="P932" s="29" t="s">
        <v>1913</v>
      </c>
      <c r="Q932" s="25"/>
      <c r="R932" s="29" t="s">
        <v>262</v>
      </c>
      <c r="S932" s="25" t="n">
        <f>614787190</f>
        <v>6.1478719E8</v>
      </c>
      <c r="T932" s="25" t="str">
        <f>"－"</f>
        <v>－</v>
      </c>
      <c r="U932" s="3" t="s">
        <v>513</v>
      </c>
      <c r="V932" s="27" t="n">
        <f>3286860000</f>
        <v>3.28686E9</v>
      </c>
      <c r="W932" s="3" t="s">
        <v>156</v>
      </c>
      <c r="X932" s="27" t="n">
        <f>21775000</f>
        <v>2.1775E7</v>
      </c>
      <c r="Y932" s="27" t="n">
        <f>235</f>
        <v>235.0</v>
      </c>
      <c r="Z932" s="25" t="str">
        <f>"－"</f>
        <v>－</v>
      </c>
      <c r="AA932" s="25" t="n">
        <f>619</f>
        <v>619.0</v>
      </c>
      <c r="AB932" s="2" t="s">
        <v>265</v>
      </c>
      <c r="AC932" s="26" t="n">
        <f>1848</f>
        <v>1848.0</v>
      </c>
      <c r="AD932" s="3" t="s">
        <v>201</v>
      </c>
      <c r="AE932" s="27" t="n">
        <f>57</f>
        <v>57.0</v>
      </c>
    </row>
    <row r="933">
      <c r="A933" s="20" t="s">
        <v>1907</v>
      </c>
      <c r="B933" s="21" t="s">
        <v>1908</v>
      </c>
      <c r="C933" s="22" t="s">
        <v>1768</v>
      </c>
      <c r="D933" s="23" t="s">
        <v>1769</v>
      </c>
      <c r="E933" s="24" t="s">
        <v>272</v>
      </c>
      <c r="F933" s="28" t="n">
        <f>121</f>
        <v>121.0</v>
      </c>
      <c r="G933" s="25" t="n">
        <f>405556</f>
        <v>405556.0</v>
      </c>
      <c r="H933" s="25"/>
      <c r="I933" s="25" t="str">
        <f>"－"</f>
        <v>－</v>
      </c>
      <c r="J933" s="25" t="n">
        <f>3352</f>
        <v>3352.0</v>
      </c>
      <c r="K933" s="25" t="str">
        <f>"－"</f>
        <v>－</v>
      </c>
      <c r="L933" s="2" t="s">
        <v>843</v>
      </c>
      <c r="M933" s="26" t="n">
        <f>8007</f>
        <v>8007.0</v>
      </c>
      <c r="N933" s="3" t="s">
        <v>482</v>
      </c>
      <c r="O933" s="27" t="n">
        <f>415</f>
        <v>415.0</v>
      </c>
      <c r="P933" s="29" t="s">
        <v>1914</v>
      </c>
      <c r="Q933" s="25"/>
      <c r="R933" s="29" t="s">
        <v>262</v>
      </c>
      <c r="S933" s="25" t="n">
        <f>1234163512</f>
        <v>1.234163512E9</v>
      </c>
      <c r="T933" s="25" t="str">
        <f>"－"</f>
        <v>－</v>
      </c>
      <c r="U933" s="3" t="s">
        <v>290</v>
      </c>
      <c r="V933" s="27" t="n">
        <f>3717780000</f>
        <v>3.71778E9</v>
      </c>
      <c r="W933" s="3" t="s">
        <v>249</v>
      </c>
      <c r="X933" s="27" t="n">
        <f>38285000</f>
        <v>3.8285E7</v>
      </c>
      <c r="Y933" s="27" t="n">
        <f>4074</f>
        <v>4074.0</v>
      </c>
      <c r="Z933" s="25" t="str">
        <f>"－"</f>
        <v>－</v>
      </c>
      <c r="AA933" s="25" t="n">
        <f>751</f>
        <v>751.0</v>
      </c>
      <c r="AB933" s="2" t="s">
        <v>156</v>
      </c>
      <c r="AC933" s="26" t="n">
        <f>3953</f>
        <v>3953.0</v>
      </c>
      <c r="AD933" s="3" t="s">
        <v>101</v>
      </c>
      <c r="AE933" s="27" t="n">
        <f>242</f>
        <v>242.0</v>
      </c>
    </row>
    <row r="934">
      <c r="A934" s="20" t="s">
        <v>1907</v>
      </c>
      <c r="B934" s="21" t="s">
        <v>1908</v>
      </c>
      <c r="C934" s="22" t="s">
        <v>1760</v>
      </c>
      <c r="D934" s="23" t="s">
        <v>1761</v>
      </c>
      <c r="E934" s="24" t="s">
        <v>276</v>
      </c>
      <c r="F934" s="28" t="n">
        <f>125</f>
        <v>125.0</v>
      </c>
      <c r="G934" s="25" t="n">
        <f>19389</f>
        <v>19389.0</v>
      </c>
      <c r="H934" s="25"/>
      <c r="I934" s="25" t="str">
        <f>"－"</f>
        <v>－</v>
      </c>
      <c r="J934" s="25" t="n">
        <f>155</f>
        <v>155.0</v>
      </c>
      <c r="K934" s="25" t="str">
        <f>"－"</f>
        <v>－</v>
      </c>
      <c r="L934" s="2" t="s">
        <v>1161</v>
      </c>
      <c r="M934" s="26" t="n">
        <f>899</f>
        <v>899.0</v>
      </c>
      <c r="N934" s="3" t="s">
        <v>295</v>
      </c>
      <c r="O934" s="27" t="n">
        <f>14</f>
        <v>14.0</v>
      </c>
      <c r="P934" s="29" t="s">
        <v>1915</v>
      </c>
      <c r="Q934" s="25"/>
      <c r="R934" s="29" t="s">
        <v>262</v>
      </c>
      <c r="S934" s="25" t="n">
        <f>274883240</f>
        <v>2.7488324E8</v>
      </c>
      <c r="T934" s="25" t="str">
        <f>"－"</f>
        <v>－</v>
      </c>
      <c r="U934" s="3" t="s">
        <v>1161</v>
      </c>
      <c r="V934" s="27" t="n">
        <f>6487475000</f>
        <v>6.487475E9</v>
      </c>
      <c r="W934" s="3" t="s">
        <v>1662</v>
      </c>
      <c r="X934" s="27" t="n">
        <f>2950000</f>
        <v>2950000.0</v>
      </c>
      <c r="Y934" s="27" t="n">
        <f>126</f>
        <v>126.0</v>
      </c>
      <c r="Z934" s="25" t="str">
        <f>"－"</f>
        <v>－</v>
      </c>
      <c r="AA934" s="25" t="n">
        <f>10</f>
        <v>10.0</v>
      </c>
      <c r="AB934" s="2" t="s">
        <v>467</v>
      </c>
      <c r="AC934" s="26" t="n">
        <f>872</f>
        <v>872.0</v>
      </c>
      <c r="AD934" s="3" t="s">
        <v>141</v>
      </c>
      <c r="AE934" s="27" t="str">
        <f>"－"</f>
        <v>－</v>
      </c>
    </row>
    <row r="935">
      <c r="A935" s="20" t="s">
        <v>1907</v>
      </c>
      <c r="B935" s="21" t="s">
        <v>1908</v>
      </c>
      <c r="C935" s="22" t="s">
        <v>1764</v>
      </c>
      <c r="D935" s="23" t="s">
        <v>1765</v>
      </c>
      <c r="E935" s="24" t="s">
        <v>276</v>
      </c>
      <c r="F935" s="28" t="n">
        <f>125</f>
        <v>125.0</v>
      </c>
      <c r="G935" s="25" t="n">
        <f>37682</f>
        <v>37682.0</v>
      </c>
      <c r="H935" s="25"/>
      <c r="I935" s="25" t="str">
        <f>"－"</f>
        <v>－</v>
      </c>
      <c r="J935" s="25" t="n">
        <f>301</f>
        <v>301.0</v>
      </c>
      <c r="K935" s="25" t="str">
        <f>"－"</f>
        <v>－</v>
      </c>
      <c r="L935" s="2" t="s">
        <v>198</v>
      </c>
      <c r="M935" s="26" t="n">
        <f>1194</f>
        <v>1194.0</v>
      </c>
      <c r="N935" s="3" t="s">
        <v>1008</v>
      </c>
      <c r="O935" s="27" t="n">
        <f>70</f>
        <v>70.0</v>
      </c>
      <c r="P935" s="29" t="s">
        <v>1916</v>
      </c>
      <c r="Q935" s="25"/>
      <c r="R935" s="29" t="s">
        <v>262</v>
      </c>
      <c r="S935" s="25" t="n">
        <f>313978880</f>
        <v>3.1397888E8</v>
      </c>
      <c r="T935" s="25" t="str">
        <f>"－"</f>
        <v>－</v>
      </c>
      <c r="U935" s="3" t="s">
        <v>50</v>
      </c>
      <c r="V935" s="27" t="n">
        <f>2766470000</f>
        <v>2.76647E9</v>
      </c>
      <c r="W935" s="3" t="s">
        <v>1917</v>
      </c>
      <c r="X935" s="27" t="n">
        <f>8725000</f>
        <v>8725000.0</v>
      </c>
      <c r="Y935" s="27" t="n">
        <f>1</f>
        <v>1.0</v>
      </c>
      <c r="Z935" s="25" t="str">
        <f>"－"</f>
        <v>－</v>
      </c>
      <c r="AA935" s="25" t="n">
        <f>634</f>
        <v>634.0</v>
      </c>
      <c r="AB935" s="2" t="s">
        <v>114</v>
      </c>
      <c r="AC935" s="26" t="n">
        <f>1157</f>
        <v>1157.0</v>
      </c>
      <c r="AD935" s="3" t="s">
        <v>1082</v>
      </c>
      <c r="AE935" s="27" t="str">
        <f>"－"</f>
        <v>－</v>
      </c>
    </row>
    <row r="936">
      <c r="A936" s="20" t="s">
        <v>1907</v>
      </c>
      <c r="B936" s="21" t="s">
        <v>1908</v>
      </c>
      <c r="C936" s="22" t="s">
        <v>1768</v>
      </c>
      <c r="D936" s="23" t="s">
        <v>1769</v>
      </c>
      <c r="E936" s="24" t="s">
        <v>276</v>
      </c>
      <c r="F936" s="28" t="n">
        <f>125</f>
        <v>125.0</v>
      </c>
      <c r="G936" s="25" t="n">
        <f>57071</f>
        <v>57071.0</v>
      </c>
      <c r="H936" s="25"/>
      <c r="I936" s="25" t="str">
        <f>"－"</f>
        <v>－</v>
      </c>
      <c r="J936" s="25" t="n">
        <f>457</f>
        <v>457.0</v>
      </c>
      <c r="K936" s="25" t="str">
        <f>"－"</f>
        <v>－</v>
      </c>
      <c r="L936" s="2" t="s">
        <v>1161</v>
      </c>
      <c r="M936" s="26" t="n">
        <f>1812</f>
        <v>1812.0</v>
      </c>
      <c r="N936" s="3" t="s">
        <v>1008</v>
      </c>
      <c r="O936" s="27" t="n">
        <f>120</f>
        <v>120.0</v>
      </c>
      <c r="P936" s="29" t="s">
        <v>1918</v>
      </c>
      <c r="Q936" s="25"/>
      <c r="R936" s="29" t="s">
        <v>262</v>
      </c>
      <c r="S936" s="25" t="n">
        <f>588862120</f>
        <v>5.8886212E8</v>
      </c>
      <c r="T936" s="25" t="str">
        <f>"－"</f>
        <v>－</v>
      </c>
      <c r="U936" s="3" t="s">
        <v>1161</v>
      </c>
      <c r="V936" s="27" t="n">
        <f>7217815000</f>
        <v>7.217815E9</v>
      </c>
      <c r="W936" s="3" t="s">
        <v>473</v>
      </c>
      <c r="X936" s="27" t="n">
        <f>42420000</f>
        <v>4.242E7</v>
      </c>
      <c r="Y936" s="27" t="n">
        <f>127</f>
        <v>127.0</v>
      </c>
      <c r="Z936" s="25" t="str">
        <f>"－"</f>
        <v>－</v>
      </c>
      <c r="AA936" s="25" t="n">
        <f>644</f>
        <v>644.0</v>
      </c>
      <c r="AB936" s="2" t="s">
        <v>467</v>
      </c>
      <c r="AC936" s="26" t="n">
        <f>1734</f>
        <v>1734.0</v>
      </c>
      <c r="AD936" s="3" t="s">
        <v>141</v>
      </c>
      <c r="AE936" s="27" t="str">
        <f>"－"</f>
        <v>－</v>
      </c>
    </row>
    <row r="937">
      <c r="A937" s="20" t="s">
        <v>1907</v>
      </c>
      <c r="B937" s="21" t="s">
        <v>1908</v>
      </c>
      <c r="C937" s="22" t="s">
        <v>1760</v>
      </c>
      <c r="D937" s="23" t="s">
        <v>1761</v>
      </c>
      <c r="E937" s="24" t="s">
        <v>281</v>
      </c>
      <c r="F937" s="28" t="n">
        <f>120</f>
        <v>120.0</v>
      </c>
      <c r="G937" s="25" t="n">
        <f>35123</f>
        <v>35123.0</v>
      </c>
      <c r="H937" s="25"/>
      <c r="I937" s="25" t="str">
        <f>"－"</f>
        <v>－</v>
      </c>
      <c r="J937" s="25" t="n">
        <f>293</f>
        <v>293.0</v>
      </c>
      <c r="K937" s="25" t="str">
        <f>"－"</f>
        <v>－</v>
      </c>
      <c r="L937" s="2" t="s">
        <v>282</v>
      </c>
      <c r="M937" s="26" t="n">
        <f>8223</f>
        <v>8223.0</v>
      </c>
      <c r="N937" s="3" t="s">
        <v>981</v>
      </c>
      <c r="O937" s="27" t="n">
        <f>12</f>
        <v>12.0</v>
      </c>
      <c r="P937" s="29" t="s">
        <v>1919</v>
      </c>
      <c r="Q937" s="25"/>
      <c r="R937" s="29" t="s">
        <v>262</v>
      </c>
      <c r="S937" s="25" t="n">
        <f>109639458</f>
        <v>1.09639458E8</v>
      </c>
      <c r="T937" s="25" t="str">
        <f>"－"</f>
        <v>－</v>
      </c>
      <c r="U937" s="3" t="s">
        <v>282</v>
      </c>
      <c r="V937" s="27" t="n">
        <f>2759335000</f>
        <v>2.759335E9</v>
      </c>
      <c r="W937" s="3" t="s">
        <v>981</v>
      </c>
      <c r="X937" s="27" t="n">
        <f>4480000</f>
        <v>4480000.0</v>
      </c>
      <c r="Y937" s="27" t="n">
        <f>35</f>
        <v>35.0</v>
      </c>
      <c r="Z937" s="25" t="str">
        <f>"－"</f>
        <v>－</v>
      </c>
      <c r="AA937" s="25" t="n">
        <f>10</f>
        <v>10.0</v>
      </c>
      <c r="AB937" s="2" t="s">
        <v>1292</v>
      </c>
      <c r="AC937" s="26" t="n">
        <f>363</f>
        <v>363.0</v>
      </c>
      <c r="AD937" s="3" t="s">
        <v>765</v>
      </c>
      <c r="AE937" s="27" t="str">
        <f>"－"</f>
        <v>－</v>
      </c>
    </row>
    <row r="938">
      <c r="A938" s="20" t="s">
        <v>1907</v>
      </c>
      <c r="B938" s="21" t="s">
        <v>1908</v>
      </c>
      <c r="C938" s="22" t="s">
        <v>1764</v>
      </c>
      <c r="D938" s="23" t="s">
        <v>1765</v>
      </c>
      <c r="E938" s="24" t="s">
        <v>281</v>
      </c>
      <c r="F938" s="28" t="n">
        <f>120</f>
        <v>120.0</v>
      </c>
      <c r="G938" s="25" t="n">
        <f>57147</f>
        <v>57147.0</v>
      </c>
      <c r="H938" s="25"/>
      <c r="I938" s="25" t="str">
        <f>"－"</f>
        <v>－</v>
      </c>
      <c r="J938" s="25" t="n">
        <f>476</f>
        <v>476.0</v>
      </c>
      <c r="K938" s="25" t="str">
        <f>"－"</f>
        <v>－</v>
      </c>
      <c r="L938" s="2" t="s">
        <v>282</v>
      </c>
      <c r="M938" s="26" t="n">
        <f>7166</f>
        <v>7166.0</v>
      </c>
      <c r="N938" s="3" t="s">
        <v>1079</v>
      </c>
      <c r="O938" s="27" t="n">
        <f>50</f>
        <v>50.0</v>
      </c>
      <c r="P938" s="29" t="s">
        <v>1920</v>
      </c>
      <c r="Q938" s="25"/>
      <c r="R938" s="29" t="s">
        <v>262</v>
      </c>
      <c r="S938" s="25" t="n">
        <f>807148542</f>
        <v>8.07148542E8</v>
      </c>
      <c r="T938" s="25" t="str">
        <f>"－"</f>
        <v>－</v>
      </c>
      <c r="U938" s="3" t="s">
        <v>1292</v>
      </c>
      <c r="V938" s="27" t="n">
        <f>12047835000</f>
        <v>1.2047835E10</v>
      </c>
      <c r="W938" s="3" t="s">
        <v>400</v>
      </c>
      <c r="X938" s="27" t="n">
        <f>8000000</f>
        <v>8000000.0</v>
      </c>
      <c r="Y938" s="27" t="n">
        <f>1684</f>
        <v>1684.0</v>
      </c>
      <c r="Z938" s="25" t="str">
        <f>"－"</f>
        <v>－</v>
      </c>
      <c r="AA938" s="25" t="n">
        <f>13</f>
        <v>13.0</v>
      </c>
      <c r="AB938" s="2" t="s">
        <v>1292</v>
      </c>
      <c r="AC938" s="26" t="n">
        <f>3557</f>
        <v>3557.0</v>
      </c>
      <c r="AD938" s="3" t="s">
        <v>343</v>
      </c>
      <c r="AE938" s="27" t="n">
        <f>13</f>
        <v>13.0</v>
      </c>
    </row>
    <row r="939">
      <c r="A939" s="20" t="s">
        <v>1907</v>
      </c>
      <c r="B939" s="21" t="s">
        <v>1908</v>
      </c>
      <c r="C939" s="22" t="s">
        <v>1768</v>
      </c>
      <c r="D939" s="23" t="s">
        <v>1769</v>
      </c>
      <c r="E939" s="24" t="s">
        <v>281</v>
      </c>
      <c r="F939" s="28" t="n">
        <f>120</f>
        <v>120.0</v>
      </c>
      <c r="G939" s="25" t="n">
        <f>92270</f>
        <v>92270.0</v>
      </c>
      <c r="H939" s="25"/>
      <c r="I939" s="25" t="str">
        <f>"－"</f>
        <v>－</v>
      </c>
      <c r="J939" s="25" t="n">
        <f>769</f>
        <v>769.0</v>
      </c>
      <c r="K939" s="25" t="str">
        <f>"－"</f>
        <v>－</v>
      </c>
      <c r="L939" s="2" t="s">
        <v>282</v>
      </c>
      <c r="M939" s="26" t="n">
        <f>15389</f>
        <v>15389.0</v>
      </c>
      <c r="N939" s="3" t="s">
        <v>1079</v>
      </c>
      <c r="O939" s="27" t="n">
        <f>62</f>
        <v>62.0</v>
      </c>
      <c r="P939" s="29" t="s">
        <v>1921</v>
      </c>
      <c r="Q939" s="25"/>
      <c r="R939" s="29" t="s">
        <v>262</v>
      </c>
      <c r="S939" s="25" t="n">
        <f>916788000</f>
        <v>9.16788E8</v>
      </c>
      <c r="T939" s="25" t="str">
        <f>"－"</f>
        <v>－</v>
      </c>
      <c r="U939" s="3" t="s">
        <v>1292</v>
      </c>
      <c r="V939" s="27" t="n">
        <f>12434735000</f>
        <v>1.2434735E10</v>
      </c>
      <c r="W939" s="3" t="s">
        <v>1922</v>
      </c>
      <c r="X939" s="27" t="n">
        <f>18200000</f>
        <v>1.82E7</v>
      </c>
      <c r="Y939" s="27" t="n">
        <f>1719</f>
        <v>1719.0</v>
      </c>
      <c r="Z939" s="25" t="str">
        <f>"－"</f>
        <v>－</v>
      </c>
      <c r="AA939" s="25" t="n">
        <f>23</f>
        <v>23.0</v>
      </c>
      <c r="AB939" s="2" t="s">
        <v>1292</v>
      </c>
      <c r="AC939" s="26" t="n">
        <f>3920</f>
        <v>3920.0</v>
      </c>
      <c r="AD939" s="3" t="s">
        <v>343</v>
      </c>
      <c r="AE939" s="27" t="n">
        <f>23</f>
        <v>23.0</v>
      </c>
    </row>
    <row r="940">
      <c r="A940" s="20" t="s">
        <v>1907</v>
      </c>
      <c r="B940" s="21" t="s">
        <v>1908</v>
      </c>
      <c r="C940" s="22" t="s">
        <v>1760</v>
      </c>
      <c r="D940" s="23" t="s">
        <v>1761</v>
      </c>
      <c r="E940" s="24" t="s">
        <v>284</v>
      </c>
      <c r="F940" s="28" t="n">
        <f>126</f>
        <v>126.0</v>
      </c>
      <c r="G940" s="25" t="n">
        <f>13904</f>
        <v>13904.0</v>
      </c>
      <c r="H940" s="25"/>
      <c r="I940" s="25" t="str">
        <f>"－"</f>
        <v>－</v>
      </c>
      <c r="J940" s="25" t="n">
        <f>110</f>
        <v>110.0</v>
      </c>
      <c r="K940" s="25" t="str">
        <f>"－"</f>
        <v>－</v>
      </c>
      <c r="L940" s="2" t="s">
        <v>473</v>
      </c>
      <c r="M940" s="26" t="n">
        <f>735</f>
        <v>735.0</v>
      </c>
      <c r="N940" s="3" t="s">
        <v>1082</v>
      </c>
      <c r="O940" s="27" t="n">
        <f>52</f>
        <v>52.0</v>
      </c>
      <c r="P940" s="29" t="s">
        <v>1923</v>
      </c>
      <c r="Q940" s="25"/>
      <c r="R940" s="29" t="s">
        <v>262</v>
      </c>
      <c r="S940" s="25" t="n">
        <f>28526190</f>
        <v>2.852619E7</v>
      </c>
      <c r="T940" s="25" t="str">
        <f>"－"</f>
        <v>－</v>
      </c>
      <c r="U940" s="3" t="s">
        <v>473</v>
      </c>
      <c r="V940" s="27" t="n">
        <f>1358175000</f>
        <v>1.358175E9</v>
      </c>
      <c r="W940" s="3" t="s">
        <v>125</v>
      </c>
      <c r="X940" s="27" t="n">
        <f>1400000</f>
        <v>1400000.0</v>
      </c>
      <c r="Y940" s="27" t="str">
        <f>"－"</f>
        <v>－</v>
      </c>
      <c r="Z940" s="25" t="str">
        <f>"－"</f>
        <v>－</v>
      </c>
      <c r="AA940" s="25" t="n">
        <f>10</f>
        <v>10.0</v>
      </c>
      <c r="AB940" s="2" t="s">
        <v>473</v>
      </c>
      <c r="AC940" s="26" t="n">
        <f>281</f>
        <v>281.0</v>
      </c>
      <c r="AD940" s="3" t="s">
        <v>215</v>
      </c>
      <c r="AE940" s="27" t="n">
        <f>10</f>
        <v>10.0</v>
      </c>
    </row>
    <row r="941">
      <c r="A941" s="20" t="s">
        <v>1907</v>
      </c>
      <c r="B941" s="21" t="s">
        <v>1908</v>
      </c>
      <c r="C941" s="22" t="s">
        <v>1764</v>
      </c>
      <c r="D941" s="23" t="s">
        <v>1765</v>
      </c>
      <c r="E941" s="24" t="s">
        <v>284</v>
      </c>
      <c r="F941" s="28" t="n">
        <f>126</f>
        <v>126.0</v>
      </c>
      <c r="G941" s="25" t="n">
        <f>14106</f>
        <v>14106.0</v>
      </c>
      <c r="H941" s="25"/>
      <c r="I941" s="25" t="str">
        <f>"－"</f>
        <v>－</v>
      </c>
      <c r="J941" s="25" t="n">
        <f>112</f>
        <v>112.0</v>
      </c>
      <c r="K941" s="25" t="str">
        <f>"－"</f>
        <v>－</v>
      </c>
      <c r="L941" s="2" t="s">
        <v>869</v>
      </c>
      <c r="M941" s="26" t="n">
        <f>388</f>
        <v>388.0</v>
      </c>
      <c r="N941" s="3" t="s">
        <v>287</v>
      </c>
      <c r="O941" s="27" t="n">
        <f>66</f>
        <v>66.0</v>
      </c>
      <c r="P941" s="29" t="s">
        <v>1924</v>
      </c>
      <c r="Q941" s="25"/>
      <c r="R941" s="29" t="s">
        <v>262</v>
      </c>
      <c r="S941" s="25" t="n">
        <f>28994960</f>
        <v>2.899496E7</v>
      </c>
      <c r="T941" s="25" t="str">
        <f>"－"</f>
        <v>－</v>
      </c>
      <c r="U941" s="3" t="s">
        <v>1300</v>
      </c>
      <c r="V941" s="27" t="n">
        <f>526320000</f>
        <v>5.2632E8</v>
      </c>
      <c r="W941" s="3" t="s">
        <v>1087</v>
      </c>
      <c r="X941" s="27" t="n">
        <f>6600000</f>
        <v>6600000.0</v>
      </c>
      <c r="Y941" s="27" t="str">
        <f>"－"</f>
        <v>－</v>
      </c>
      <c r="Z941" s="25" t="str">
        <f>"－"</f>
        <v>－</v>
      </c>
      <c r="AA941" s="25" t="n">
        <f>10</f>
        <v>10.0</v>
      </c>
      <c r="AB941" s="2" t="s">
        <v>869</v>
      </c>
      <c r="AC941" s="26" t="n">
        <f>203</f>
        <v>203.0</v>
      </c>
      <c r="AD941" s="3" t="s">
        <v>103</v>
      </c>
      <c r="AE941" s="27" t="n">
        <f>10</f>
        <v>10.0</v>
      </c>
    </row>
    <row r="942">
      <c r="A942" s="20" t="s">
        <v>1907</v>
      </c>
      <c r="B942" s="21" t="s">
        <v>1908</v>
      </c>
      <c r="C942" s="22" t="s">
        <v>1768</v>
      </c>
      <c r="D942" s="23" t="s">
        <v>1769</v>
      </c>
      <c r="E942" s="24" t="s">
        <v>284</v>
      </c>
      <c r="F942" s="28" t="n">
        <f>126</f>
        <v>126.0</v>
      </c>
      <c r="G942" s="25" t="n">
        <f>28010</f>
        <v>28010.0</v>
      </c>
      <c r="H942" s="25"/>
      <c r="I942" s="25" t="str">
        <f>"－"</f>
        <v>－</v>
      </c>
      <c r="J942" s="25" t="n">
        <f>222</f>
        <v>222.0</v>
      </c>
      <c r="K942" s="25" t="str">
        <f>"－"</f>
        <v>－</v>
      </c>
      <c r="L942" s="2" t="s">
        <v>473</v>
      </c>
      <c r="M942" s="26" t="n">
        <f>947</f>
        <v>947.0</v>
      </c>
      <c r="N942" s="3" t="s">
        <v>633</v>
      </c>
      <c r="O942" s="27" t="n">
        <f>144</f>
        <v>144.0</v>
      </c>
      <c r="P942" s="29" t="s">
        <v>1925</v>
      </c>
      <c r="Q942" s="25"/>
      <c r="R942" s="29" t="s">
        <v>262</v>
      </c>
      <c r="S942" s="25" t="n">
        <f>57521151</f>
        <v>5.7521151E7</v>
      </c>
      <c r="T942" s="25" t="str">
        <f>"－"</f>
        <v>－</v>
      </c>
      <c r="U942" s="3" t="s">
        <v>473</v>
      </c>
      <c r="V942" s="27" t="n">
        <f>1618065000</f>
        <v>1.618065E9</v>
      </c>
      <c r="W942" s="3" t="s">
        <v>633</v>
      </c>
      <c r="X942" s="27" t="n">
        <f>10050000</f>
        <v>1.005E7</v>
      </c>
      <c r="Y942" s="27" t="str">
        <f>"－"</f>
        <v>－</v>
      </c>
      <c r="Z942" s="25" t="str">
        <f>"－"</f>
        <v>－</v>
      </c>
      <c r="AA942" s="25" t="n">
        <f>20</f>
        <v>20.0</v>
      </c>
      <c r="AB942" s="2" t="s">
        <v>473</v>
      </c>
      <c r="AC942" s="26" t="n">
        <f>451</f>
        <v>451.0</v>
      </c>
      <c r="AD942" s="3" t="s">
        <v>103</v>
      </c>
      <c r="AE942" s="27" t="n">
        <f>20</f>
        <v>20.0</v>
      </c>
    </row>
    <row r="943">
      <c r="A943" s="20" t="s">
        <v>1907</v>
      </c>
      <c r="B943" s="21" t="s">
        <v>1908</v>
      </c>
      <c r="C943" s="22" t="s">
        <v>1760</v>
      </c>
      <c r="D943" s="23" t="s">
        <v>1761</v>
      </c>
      <c r="E943" s="24" t="s">
        <v>289</v>
      </c>
      <c r="F943" s="28" t="n">
        <f>121</f>
        <v>121.0</v>
      </c>
      <c r="G943" s="25" t="n">
        <f>12166</f>
        <v>12166.0</v>
      </c>
      <c r="H943" s="25"/>
      <c r="I943" s="25" t="str">
        <f>"－"</f>
        <v>－</v>
      </c>
      <c r="J943" s="25" t="n">
        <f>101</f>
        <v>101.0</v>
      </c>
      <c r="K943" s="25" t="str">
        <f>"－"</f>
        <v>－</v>
      </c>
      <c r="L943" s="2" t="s">
        <v>1926</v>
      </c>
      <c r="M943" s="26" t="n">
        <f>274</f>
        <v>274.0</v>
      </c>
      <c r="N943" s="3" t="s">
        <v>323</v>
      </c>
      <c r="O943" s="27" t="n">
        <f>72</f>
        <v>72.0</v>
      </c>
      <c r="P943" s="29" t="s">
        <v>1927</v>
      </c>
      <c r="Q943" s="25"/>
      <c r="R943" s="29" t="s">
        <v>262</v>
      </c>
      <c r="S943" s="25" t="n">
        <f>16872314</f>
        <v>1.6872314E7</v>
      </c>
      <c r="T943" s="25" t="str">
        <f>"－"</f>
        <v>－</v>
      </c>
      <c r="U943" s="3" t="s">
        <v>1926</v>
      </c>
      <c r="V943" s="27" t="n">
        <f>55030000</f>
        <v>5.503E7</v>
      </c>
      <c r="W943" s="3" t="s">
        <v>558</v>
      </c>
      <c r="X943" s="27" t="n">
        <f>2610000</f>
        <v>2610000.0</v>
      </c>
      <c r="Y943" s="27" t="n">
        <f>10</f>
        <v>10.0</v>
      </c>
      <c r="Z943" s="25" t="str">
        <f>"－"</f>
        <v>－</v>
      </c>
      <c r="AA943" s="25" t="n">
        <f>10</f>
        <v>10.0</v>
      </c>
      <c r="AB943" s="2" t="s">
        <v>458</v>
      </c>
      <c r="AC943" s="26" t="n">
        <f>74</f>
        <v>74.0</v>
      </c>
      <c r="AD943" s="3" t="s">
        <v>369</v>
      </c>
      <c r="AE943" s="27" t="n">
        <f>10</f>
        <v>10.0</v>
      </c>
    </row>
    <row r="944">
      <c r="A944" s="20" t="s">
        <v>1907</v>
      </c>
      <c r="B944" s="21" t="s">
        <v>1908</v>
      </c>
      <c r="C944" s="22" t="s">
        <v>1764</v>
      </c>
      <c r="D944" s="23" t="s">
        <v>1765</v>
      </c>
      <c r="E944" s="24" t="s">
        <v>289</v>
      </c>
      <c r="F944" s="28" t="n">
        <f>121</f>
        <v>121.0</v>
      </c>
      <c r="G944" s="25" t="n">
        <f>12104</f>
        <v>12104.0</v>
      </c>
      <c r="H944" s="25"/>
      <c r="I944" s="25" t="str">
        <f>"－"</f>
        <v>－</v>
      </c>
      <c r="J944" s="25" t="n">
        <f>100</f>
        <v>100.0</v>
      </c>
      <c r="K944" s="25" t="str">
        <f>"－"</f>
        <v>－</v>
      </c>
      <c r="L944" s="2" t="s">
        <v>773</v>
      </c>
      <c r="M944" s="26" t="n">
        <f>242</f>
        <v>242.0</v>
      </c>
      <c r="N944" s="3" t="s">
        <v>273</v>
      </c>
      <c r="O944" s="27" t="n">
        <f>72</f>
        <v>72.0</v>
      </c>
      <c r="P944" s="29" t="s">
        <v>1928</v>
      </c>
      <c r="Q944" s="25"/>
      <c r="R944" s="29" t="s">
        <v>262</v>
      </c>
      <c r="S944" s="25" t="n">
        <f>22200455</f>
        <v>2.2200455E7</v>
      </c>
      <c r="T944" s="25" t="str">
        <f>"－"</f>
        <v>－</v>
      </c>
      <c r="U944" s="3" t="s">
        <v>773</v>
      </c>
      <c r="V944" s="27" t="n">
        <f>197030000</f>
        <v>1.9703E8</v>
      </c>
      <c r="W944" s="3" t="s">
        <v>273</v>
      </c>
      <c r="X944" s="27" t="n">
        <f>1560000</f>
        <v>1560000.0</v>
      </c>
      <c r="Y944" s="27" t="str">
        <f>"－"</f>
        <v>－</v>
      </c>
      <c r="Z944" s="25" t="str">
        <f>"－"</f>
        <v>－</v>
      </c>
      <c r="AA944" s="25" t="n">
        <f>10</f>
        <v>10.0</v>
      </c>
      <c r="AB944" s="2" t="s">
        <v>773</v>
      </c>
      <c r="AC944" s="26" t="n">
        <f>152</f>
        <v>152.0</v>
      </c>
      <c r="AD944" s="3" t="s">
        <v>369</v>
      </c>
      <c r="AE944" s="27" t="n">
        <f>10</f>
        <v>10.0</v>
      </c>
    </row>
    <row r="945">
      <c r="A945" s="20" t="s">
        <v>1907</v>
      </c>
      <c r="B945" s="21" t="s">
        <v>1908</v>
      </c>
      <c r="C945" s="22" t="s">
        <v>1768</v>
      </c>
      <c r="D945" s="23" t="s">
        <v>1769</v>
      </c>
      <c r="E945" s="24" t="s">
        <v>289</v>
      </c>
      <c r="F945" s="28" t="n">
        <f>121</f>
        <v>121.0</v>
      </c>
      <c r="G945" s="25" t="n">
        <f>24270</f>
        <v>24270.0</v>
      </c>
      <c r="H945" s="25"/>
      <c r="I945" s="25" t="str">
        <f>"－"</f>
        <v>－</v>
      </c>
      <c r="J945" s="25" t="n">
        <f>201</f>
        <v>201.0</v>
      </c>
      <c r="K945" s="25" t="str">
        <f>"－"</f>
        <v>－</v>
      </c>
      <c r="L945" s="2" t="s">
        <v>189</v>
      </c>
      <c r="M945" s="26" t="n">
        <f>384</f>
        <v>384.0</v>
      </c>
      <c r="N945" s="3" t="s">
        <v>153</v>
      </c>
      <c r="O945" s="27" t="n">
        <f>144</f>
        <v>144.0</v>
      </c>
      <c r="P945" s="29" t="s">
        <v>1929</v>
      </c>
      <c r="Q945" s="25"/>
      <c r="R945" s="29" t="s">
        <v>262</v>
      </c>
      <c r="S945" s="25" t="n">
        <f>39072769</f>
        <v>3.9072769E7</v>
      </c>
      <c r="T945" s="25" t="str">
        <f>"－"</f>
        <v>－</v>
      </c>
      <c r="U945" s="3" t="s">
        <v>773</v>
      </c>
      <c r="V945" s="27" t="n">
        <f>225565000</f>
        <v>2.25565E8</v>
      </c>
      <c r="W945" s="3" t="s">
        <v>273</v>
      </c>
      <c r="X945" s="27" t="n">
        <f>10150000</f>
        <v>1.015E7</v>
      </c>
      <c r="Y945" s="27" t="n">
        <f>10</f>
        <v>10.0</v>
      </c>
      <c r="Z945" s="25" t="str">
        <f>"－"</f>
        <v>－</v>
      </c>
      <c r="AA945" s="25" t="n">
        <f>20</f>
        <v>20.0</v>
      </c>
      <c r="AB945" s="2" t="s">
        <v>773</v>
      </c>
      <c r="AC945" s="26" t="n">
        <f>176</f>
        <v>176.0</v>
      </c>
      <c r="AD945" s="3" t="s">
        <v>369</v>
      </c>
      <c r="AE945" s="27" t="n">
        <f>20</f>
        <v>20.0</v>
      </c>
    </row>
    <row r="946">
      <c r="A946" s="20" t="s">
        <v>1907</v>
      </c>
      <c r="B946" s="21" t="s">
        <v>1908</v>
      </c>
      <c r="C946" s="22" t="s">
        <v>1760</v>
      </c>
      <c r="D946" s="23" t="s">
        <v>1761</v>
      </c>
      <c r="E946" s="24" t="s">
        <v>294</v>
      </c>
      <c r="F946" s="28" t="n">
        <f>126</f>
        <v>126.0</v>
      </c>
      <c r="G946" s="25" t="n">
        <f>12101</f>
        <v>12101.0</v>
      </c>
      <c r="H946" s="25"/>
      <c r="I946" s="25" t="str">
        <f>"－"</f>
        <v>－</v>
      </c>
      <c r="J946" s="25" t="n">
        <f>96</f>
        <v>96.0</v>
      </c>
      <c r="K946" s="25" t="str">
        <f>"－"</f>
        <v>－</v>
      </c>
      <c r="L946" s="2" t="s">
        <v>81</v>
      </c>
      <c r="M946" s="26" t="n">
        <f>180</f>
        <v>180.0</v>
      </c>
      <c r="N946" s="3" t="s">
        <v>285</v>
      </c>
      <c r="O946" s="27" t="n">
        <f>80</f>
        <v>80.0</v>
      </c>
      <c r="P946" s="29" t="s">
        <v>1930</v>
      </c>
      <c r="Q946" s="25"/>
      <c r="R946" s="29" t="s">
        <v>262</v>
      </c>
      <c r="S946" s="25" t="n">
        <f>15036905</f>
        <v>1.5036905E7</v>
      </c>
      <c r="T946" s="25" t="str">
        <f>"－"</f>
        <v>－</v>
      </c>
      <c r="U946" s="3" t="s">
        <v>1931</v>
      </c>
      <c r="V946" s="27" t="n">
        <f>46900000</f>
        <v>4.69E7</v>
      </c>
      <c r="W946" s="3" t="s">
        <v>1828</v>
      </c>
      <c r="X946" s="27" t="n">
        <f>3850000</f>
        <v>3850000.0</v>
      </c>
      <c r="Y946" s="27" t="str">
        <f>"－"</f>
        <v>－</v>
      </c>
      <c r="Z946" s="25" t="str">
        <f>"－"</f>
        <v>－</v>
      </c>
      <c r="AA946" s="25" t="n">
        <f>10</f>
        <v>10.0</v>
      </c>
      <c r="AB946" s="2" t="s">
        <v>1931</v>
      </c>
      <c r="AC946" s="26" t="n">
        <f>105</f>
        <v>105.0</v>
      </c>
      <c r="AD946" s="3" t="s">
        <v>215</v>
      </c>
      <c r="AE946" s="27" t="n">
        <f>10</f>
        <v>10.0</v>
      </c>
    </row>
    <row r="947">
      <c r="A947" s="20" t="s">
        <v>1907</v>
      </c>
      <c r="B947" s="21" t="s">
        <v>1908</v>
      </c>
      <c r="C947" s="22" t="s">
        <v>1764</v>
      </c>
      <c r="D947" s="23" t="s">
        <v>1765</v>
      </c>
      <c r="E947" s="24" t="s">
        <v>294</v>
      </c>
      <c r="F947" s="28" t="n">
        <f>126</f>
        <v>126.0</v>
      </c>
      <c r="G947" s="25" t="n">
        <f>12205</f>
        <v>12205.0</v>
      </c>
      <c r="H947" s="25"/>
      <c r="I947" s="25" t="str">
        <f>"－"</f>
        <v>－</v>
      </c>
      <c r="J947" s="25" t="n">
        <f>97</f>
        <v>97.0</v>
      </c>
      <c r="K947" s="25" t="str">
        <f>"－"</f>
        <v>－</v>
      </c>
      <c r="L947" s="2" t="s">
        <v>1297</v>
      </c>
      <c r="M947" s="26" t="n">
        <f>180</f>
        <v>180.0</v>
      </c>
      <c r="N947" s="3" t="s">
        <v>95</v>
      </c>
      <c r="O947" s="27" t="n">
        <f>80</f>
        <v>80.0</v>
      </c>
      <c r="P947" s="29" t="s">
        <v>1932</v>
      </c>
      <c r="Q947" s="25"/>
      <c r="R947" s="29" t="s">
        <v>262</v>
      </c>
      <c r="S947" s="25" t="n">
        <f>16517659</f>
        <v>1.6517659E7</v>
      </c>
      <c r="T947" s="25" t="str">
        <f>"－"</f>
        <v>－</v>
      </c>
      <c r="U947" s="3" t="s">
        <v>1931</v>
      </c>
      <c r="V947" s="27" t="n">
        <f>52325000</f>
        <v>5.2325E7</v>
      </c>
      <c r="W947" s="3" t="s">
        <v>994</v>
      </c>
      <c r="X947" s="27" t="n">
        <f>2575000</f>
        <v>2575000.0</v>
      </c>
      <c r="Y947" s="27" t="str">
        <f>"－"</f>
        <v>－</v>
      </c>
      <c r="Z947" s="25" t="str">
        <f>"－"</f>
        <v>－</v>
      </c>
      <c r="AA947" s="25" t="n">
        <f>10</f>
        <v>10.0</v>
      </c>
      <c r="AB947" s="2" t="s">
        <v>1931</v>
      </c>
      <c r="AC947" s="26" t="n">
        <f>105</f>
        <v>105.0</v>
      </c>
      <c r="AD947" s="3" t="s">
        <v>879</v>
      </c>
      <c r="AE947" s="27" t="n">
        <f>10</f>
        <v>10.0</v>
      </c>
    </row>
    <row r="948">
      <c r="A948" s="20" t="s">
        <v>1907</v>
      </c>
      <c r="B948" s="21" t="s">
        <v>1908</v>
      </c>
      <c r="C948" s="22" t="s">
        <v>1768</v>
      </c>
      <c r="D948" s="23" t="s">
        <v>1769</v>
      </c>
      <c r="E948" s="24" t="s">
        <v>294</v>
      </c>
      <c r="F948" s="28" t="n">
        <f>126</f>
        <v>126.0</v>
      </c>
      <c r="G948" s="25" t="n">
        <f>24306</f>
        <v>24306.0</v>
      </c>
      <c r="H948" s="25"/>
      <c r="I948" s="25" t="str">
        <f>"－"</f>
        <v>－</v>
      </c>
      <c r="J948" s="25" t="n">
        <f>193</f>
        <v>193.0</v>
      </c>
      <c r="K948" s="25" t="str">
        <f>"－"</f>
        <v>－</v>
      </c>
      <c r="L948" s="2" t="s">
        <v>1297</v>
      </c>
      <c r="M948" s="26" t="n">
        <f>280</f>
        <v>280.0</v>
      </c>
      <c r="N948" s="3" t="s">
        <v>532</v>
      </c>
      <c r="O948" s="27" t="n">
        <f>160</f>
        <v>160.0</v>
      </c>
      <c r="P948" s="29" t="s">
        <v>1933</v>
      </c>
      <c r="Q948" s="25"/>
      <c r="R948" s="29" t="s">
        <v>262</v>
      </c>
      <c r="S948" s="25" t="n">
        <f>31554563</f>
        <v>3.1554563E7</v>
      </c>
      <c r="T948" s="25" t="str">
        <f>"－"</f>
        <v>－</v>
      </c>
      <c r="U948" s="3" t="s">
        <v>1931</v>
      </c>
      <c r="V948" s="27" t="n">
        <f>99225000</f>
        <v>9.9225E7</v>
      </c>
      <c r="W948" s="3" t="s">
        <v>302</v>
      </c>
      <c r="X948" s="27" t="n">
        <f>11850000</f>
        <v>1.185E7</v>
      </c>
      <c r="Y948" s="27" t="str">
        <f>"－"</f>
        <v>－</v>
      </c>
      <c r="Z948" s="25" t="str">
        <f>"－"</f>
        <v>－</v>
      </c>
      <c r="AA948" s="25" t="n">
        <f>20</f>
        <v>20.0</v>
      </c>
      <c r="AB948" s="2" t="s">
        <v>1931</v>
      </c>
      <c r="AC948" s="26" t="n">
        <f>210</f>
        <v>210.0</v>
      </c>
      <c r="AD948" s="3" t="s">
        <v>879</v>
      </c>
      <c r="AE948" s="27" t="n">
        <f>20</f>
        <v>20.0</v>
      </c>
    </row>
    <row r="949">
      <c r="A949" s="20" t="s">
        <v>1907</v>
      </c>
      <c r="B949" s="21" t="s">
        <v>1908</v>
      </c>
      <c r="C949" s="22" t="s">
        <v>1760</v>
      </c>
      <c r="D949" s="23" t="s">
        <v>1761</v>
      </c>
      <c r="E949" s="24" t="s">
        <v>299</v>
      </c>
      <c r="F949" s="28" t="n">
        <f>121</f>
        <v>121.0</v>
      </c>
      <c r="G949" s="25" t="n">
        <f>10266</f>
        <v>10266.0</v>
      </c>
      <c r="H949" s="25"/>
      <c r="I949" s="25" t="str">
        <f>"－"</f>
        <v>－</v>
      </c>
      <c r="J949" s="25" t="n">
        <f>85</f>
        <v>85.0</v>
      </c>
      <c r="K949" s="25" t="str">
        <f>"－"</f>
        <v>－</v>
      </c>
      <c r="L949" s="2" t="s">
        <v>508</v>
      </c>
      <c r="M949" s="26" t="n">
        <f>140</f>
        <v>140.0</v>
      </c>
      <c r="N949" s="3" t="s">
        <v>156</v>
      </c>
      <c r="O949" s="27" t="n">
        <f>80</f>
        <v>80.0</v>
      </c>
      <c r="P949" s="29" t="s">
        <v>1934</v>
      </c>
      <c r="Q949" s="25"/>
      <c r="R949" s="29" t="s">
        <v>262</v>
      </c>
      <c r="S949" s="25" t="n">
        <f>12593140</f>
        <v>1.259314E7</v>
      </c>
      <c r="T949" s="25" t="str">
        <f>"－"</f>
        <v>－</v>
      </c>
      <c r="U949" s="3" t="s">
        <v>111</v>
      </c>
      <c r="V949" s="27" t="n">
        <f>39535000</f>
        <v>3.9535E7</v>
      </c>
      <c r="W949" s="3" t="s">
        <v>243</v>
      </c>
      <c r="X949" s="27" t="n">
        <f>3300000</f>
        <v>3300000.0</v>
      </c>
      <c r="Y949" s="27" t="str">
        <f>"－"</f>
        <v>－</v>
      </c>
      <c r="Z949" s="25" t="str">
        <f>"－"</f>
        <v>－</v>
      </c>
      <c r="AA949" s="25" t="n">
        <f>10</f>
        <v>10.0</v>
      </c>
      <c r="AB949" s="2" t="s">
        <v>111</v>
      </c>
      <c r="AC949" s="26" t="n">
        <f>83</f>
        <v>83.0</v>
      </c>
      <c r="AD949" s="3" t="s">
        <v>147</v>
      </c>
      <c r="AE949" s="27" t="n">
        <f>10</f>
        <v>10.0</v>
      </c>
    </row>
    <row r="950">
      <c r="A950" s="20" t="s">
        <v>1907</v>
      </c>
      <c r="B950" s="21" t="s">
        <v>1908</v>
      </c>
      <c r="C950" s="22" t="s">
        <v>1764</v>
      </c>
      <c r="D950" s="23" t="s">
        <v>1765</v>
      </c>
      <c r="E950" s="24" t="s">
        <v>299</v>
      </c>
      <c r="F950" s="28" t="n">
        <f>121</f>
        <v>121.0</v>
      </c>
      <c r="G950" s="25" t="n">
        <f>10976</f>
        <v>10976.0</v>
      </c>
      <c r="H950" s="25"/>
      <c r="I950" s="25" t="str">
        <f>"－"</f>
        <v>－</v>
      </c>
      <c r="J950" s="25" t="n">
        <f>91</f>
        <v>91.0</v>
      </c>
      <c r="K950" s="25" t="str">
        <f>"－"</f>
        <v>－</v>
      </c>
      <c r="L950" s="2" t="s">
        <v>1292</v>
      </c>
      <c r="M950" s="26" t="n">
        <f>180</f>
        <v>180.0</v>
      </c>
      <c r="N950" s="3" t="s">
        <v>156</v>
      </c>
      <c r="O950" s="27" t="n">
        <f>80</f>
        <v>80.0</v>
      </c>
      <c r="P950" s="29" t="s">
        <v>1935</v>
      </c>
      <c r="Q950" s="25"/>
      <c r="R950" s="29" t="s">
        <v>262</v>
      </c>
      <c r="S950" s="25" t="n">
        <f>22314050</f>
        <v>2.231405E7</v>
      </c>
      <c r="T950" s="25" t="str">
        <f>"－"</f>
        <v>－</v>
      </c>
      <c r="U950" s="3" t="s">
        <v>273</v>
      </c>
      <c r="V950" s="27" t="n">
        <f>329390000</f>
        <v>3.2939E8</v>
      </c>
      <c r="W950" s="3" t="s">
        <v>156</v>
      </c>
      <c r="X950" s="27" t="n">
        <f>3050000</f>
        <v>3050000.0</v>
      </c>
      <c r="Y950" s="27" t="str">
        <f>"－"</f>
        <v>－</v>
      </c>
      <c r="Z950" s="25" t="str">
        <f>"－"</f>
        <v>－</v>
      </c>
      <c r="AA950" s="25" t="n">
        <f>10</f>
        <v>10.0</v>
      </c>
      <c r="AB950" s="2" t="s">
        <v>243</v>
      </c>
      <c r="AC950" s="26" t="n">
        <f>160</f>
        <v>160.0</v>
      </c>
      <c r="AD950" s="3" t="s">
        <v>147</v>
      </c>
      <c r="AE950" s="27" t="n">
        <f>10</f>
        <v>10.0</v>
      </c>
    </row>
    <row r="951">
      <c r="A951" s="20" t="s">
        <v>1907</v>
      </c>
      <c r="B951" s="21" t="s">
        <v>1908</v>
      </c>
      <c r="C951" s="22" t="s">
        <v>1768</v>
      </c>
      <c r="D951" s="23" t="s">
        <v>1769</v>
      </c>
      <c r="E951" s="24" t="s">
        <v>299</v>
      </c>
      <c r="F951" s="28" t="n">
        <f>121</f>
        <v>121.0</v>
      </c>
      <c r="G951" s="25" t="n">
        <f>21242</f>
        <v>21242.0</v>
      </c>
      <c r="H951" s="25"/>
      <c r="I951" s="25" t="str">
        <f>"－"</f>
        <v>－</v>
      </c>
      <c r="J951" s="25" t="n">
        <f>176</f>
        <v>176.0</v>
      </c>
      <c r="K951" s="25" t="str">
        <f>"－"</f>
        <v>－</v>
      </c>
      <c r="L951" s="2" t="s">
        <v>508</v>
      </c>
      <c r="M951" s="26" t="n">
        <f>280</f>
        <v>280.0</v>
      </c>
      <c r="N951" s="3" t="s">
        <v>156</v>
      </c>
      <c r="O951" s="27" t="n">
        <f>160</f>
        <v>160.0</v>
      </c>
      <c r="P951" s="29" t="s">
        <v>1936</v>
      </c>
      <c r="Q951" s="25"/>
      <c r="R951" s="29" t="s">
        <v>262</v>
      </c>
      <c r="S951" s="25" t="n">
        <f>34907190</f>
        <v>3.490719E7</v>
      </c>
      <c r="T951" s="25" t="str">
        <f>"－"</f>
        <v>－</v>
      </c>
      <c r="U951" s="3" t="s">
        <v>273</v>
      </c>
      <c r="V951" s="27" t="n">
        <f>334940000</f>
        <v>3.3494E8</v>
      </c>
      <c r="W951" s="3" t="s">
        <v>156</v>
      </c>
      <c r="X951" s="27" t="n">
        <f>9250000</f>
        <v>9250000.0</v>
      </c>
      <c r="Y951" s="27" t="str">
        <f>"－"</f>
        <v>－</v>
      </c>
      <c r="Z951" s="25" t="str">
        <f>"－"</f>
        <v>－</v>
      </c>
      <c r="AA951" s="25" t="n">
        <f>20</f>
        <v>20.0</v>
      </c>
      <c r="AB951" s="2" t="s">
        <v>243</v>
      </c>
      <c r="AC951" s="26" t="n">
        <f>220</f>
        <v>220.0</v>
      </c>
      <c r="AD951" s="3" t="s">
        <v>147</v>
      </c>
      <c r="AE951" s="27" t="n">
        <f>20</f>
        <v>20.0</v>
      </c>
    </row>
    <row r="952">
      <c r="A952" s="20" t="s">
        <v>1907</v>
      </c>
      <c r="B952" s="21" t="s">
        <v>1908</v>
      </c>
      <c r="C952" s="22" t="s">
        <v>1760</v>
      </c>
      <c r="D952" s="23" t="s">
        <v>1761</v>
      </c>
      <c r="E952" s="24" t="s">
        <v>301</v>
      </c>
      <c r="F952" s="28" t="n">
        <f>125</f>
        <v>125.0</v>
      </c>
      <c r="G952" s="25" t="n">
        <f>8228</f>
        <v>8228.0</v>
      </c>
      <c r="H952" s="25"/>
      <c r="I952" s="25" t="str">
        <f>"－"</f>
        <v>－</v>
      </c>
      <c r="J952" s="25" t="n">
        <f>66</f>
        <v>66.0</v>
      </c>
      <c r="K952" s="25" t="str">
        <f>"－"</f>
        <v>－</v>
      </c>
      <c r="L952" s="2" t="s">
        <v>720</v>
      </c>
      <c r="M952" s="26" t="n">
        <f>180</f>
        <v>180.0</v>
      </c>
      <c r="N952" s="3" t="s">
        <v>1379</v>
      </c>
      <c r="O952" s="27" t="n">
        <f>40</f>
        <v>40.0</v>
      </c>
      <c r="P952" s="29" t="s">
        <v>1937</v>
      </c>
      <c r="Q952" s="25"/>
      <c r="R952" s="29" t="s">
        <v>262</v>
      </c>
      <c r="S952" s="25" t="n">
        <f>13870000</f>
        <v>1.387E7</v>
      </c>
      <c r="T952" s="25" t="str">
        <f>"－"</f>
        <v>－</v>
      </c>
      <c r="U952" s="3" t="s">
        <v>614</v>
      </c>
      <c r="V952" s="27" t="n">
        <f>43450000</f>
        <v>4.345E7</v>
      </c>
      <c r="W952" s="3" t="s">
        <v>1331</v>
      </c>
      <c r="X952" s="27" t="n">
        <f>2800000</f>
        <v>2800000.0</v>
      </c>
      <c r="Y952" s="27" t="n">
        <f>1</f>
        <v>1.0</v>
      </c>
      <c r="Z952" s="25" t="str">
        <f>"－"</f>
        <v>－</v>
      </c>
      <c r="AA952" s="25" t="n">
        <f>20</f>
        <v>20.0</v>
      </c>
      <c r="AB952" s="2" t="s">
        <v>532</v>
      </c>
      <c r="AC952" s="26" t="n">
        <f>96</f>
        <v>96.0</v>
      </c>
      <c r="AD952" s="3" t="s">
        <v>1415</v>
      </c>
      <c r="AE952" s="27" t="str">
        <f>"－"</f>
        <v>－</v>
      </c>
    </row>
    <row r="953">
      <c r="A953" s="20" t="s">
        <v>1907</v>
      </c>
      <c r="B953" s="21" t="s">
        <v>1908</v>
      </c>
      <c r="C953" s="22" t="s">
        <v>1764</v>
      </c>
      <c r="D953" s="23" t="s">
        <v>1765</v>
      </c>
      <c r="E953" s="24" t="s">
        <v>301</v>
      </c>
      <c r="F953" s="28" t="n">
        <f>125</f>
        <v>125.0</v>
      </c>
      <c r="G953" s="25" t="n">
        <f>8361</f>
        <v>8361.0</v>
      </c>
      <c r="H953" s="25"/>
      <c r="I953" s="25" t="str">
        <f>"－"</f>
        <v>－</v>
      </c>
      <c r="J953" s="25" t="n">
        <f>67</f>
        <v>67.0</v>
      </c>
      <c r="K953" s="25" t="str">
        <f>"－"</f>
        <v>－</v>
      </c>
      <c r="L953" s="2" t="s">
        <v>1917</v>
      </c>
      <c r="M953" s="26" t="n">
        <f>292</f>
        <v>292.0</v>
      </c>
      <c r="N953" s="3" t="s">
        <v>1931</v>
      </c>
      <c r="O953" s="27" t="n">
        <f>30</f>
        <v>30.0</v>
      </c>
      <c r="P953" s="29" t="s">
        <v>1938</v>
      </c>
      <c r="Q953" s="25"/>
      <c r="R953" s="29" t="s">
        <v>262</v>
      </c>
      <c r="S953" s="25" t="n">
        <f>16641720</f>
        <v>1.664172E7</v>
      </c>
      <c r="T953" s="25" t="str">
        <f>"－"</f>
        <v>－</v>
      </c>
      <c r="U953" s="3" t="s">
        <v>1102</v>
      </c>
      <c r="V953" s="27" t="n">
        <f>307200000</f>
        <v>3.072E8</v>
      </c>
      <c r="W953" s="3" t="s">
        <v>350</v>
      </c>
      <c r="X953" s="27" t="n">
        <f>1850000</f>
        <v>1850000.0</v>
      </c>
      <c r="Y953" s="27" t="str">
        <f>"－"</f>
        <v>－</v>
      </c>
      <c r="Z953" s="25" t="str">
        <f>"－"</f>
        <v>－</v>
      </c>
      <c r="AA953" s="25" t="n">
        <f>20</f>
        <v>20.0</v>
      </c>
      <c r="AB953" s="2" t="s">
        <v>542</v>
      </c>
      <c r="AC953" s="26" t="n">
        <f>222</f>
        <v>222.0</v>
      </c>
      <c r="AD953" s="3" t="s">
        <v>215</v>
      </c>
      <c r="AE953" s="27" t="n">
        <f>10</f>
        <v>10.0</v>
      </c>
    </row>
    <row r="954">
      <c r="A954" s="20" t="s">
        <v>1907</v>
      </c>
      <c r="B954" s="21" t="s">
        <v>1908</v>
      </c>
      <c r="C954" s="22" t="s">
        <v>1768</v>
      </c>
      <c r="D954" s="23" t="s">
        <v>1769</v>
      </c>
      <c r="E954" s="24" t="s">
        <v>301</v>
      </c>
      <c r="F954" s="28" t="n">
        <f>125</f>
        <v>125.0</v>
      </c>
      <c r="G954" s="25" t="n">
        <f>16589</f>
        <v>16589.0</v>
      </c>
      <c r="H954" s="25"/>
      <c r="I954" s="25" t="str">
        <f>"－"</f>
        <v>－</v>
      </c>
      <c r="J954" s="25" t="n">
        <f>133</f>
        <v>133.0</v>
      </c>
      <c r="K954" s="25" t="str">
        <f>"－"</f>
        <v>－</v>
      </c>
      <c r="L954" s="2" t="s">
        <v>1917</v>
      </c>
      <c r="M954" s="26" t="n">
        <f>422</f>
        <v>422.0</v>
      </c>
      <c r="N954" s="3" t="s">
        <v>1415</v>
      </c>
      <c r="O954" s="27" t="n">
        <f>70</f>
        <v>70.0</v>
      </c>
      <c r="P954" s="29" t="s">
        <v>1939</v>
      </c>
      <c r="Q954" s="25"/>
      <c r="R954" s="29" t="s">
        <v>262</v>
      </c>
      <c r="S954" s="25" t="n">
        <f>30511720</f>
        <v>3.051172E7</v>
      </c>
      <c r="T954" s="25" t="str">
        <f>"－"</f>
        <v>－</v>
      </c>
      <c r="U954" s="3" t="s">
        <v>1102</v>
      </c>
      <c r="V954" s="27" t="n">
        <f>328300000</f>
        <v>3.283E8</v>
      </c>
      <c r="W954" s="3" t="s">
        <v>536</v>
      </c>
      <c r="X954" s="27" t="n">
        <f>9550000</f>
        <v>9550000.0</v>
      </c>
      <c r="Y954" s="27" t="n">
        <f>1</f>
        <v>1.0</v>
      </c>
      <c r="Z954" s="25" t="str">
        <f>"－"</f>
        <v>－</v>
      </c>
      <c r="AA954" s="25" t="n">
        <f>40</f>
        <v>40.0</v>
      </c>
      <c r="AB954" s="2" t="s">
        <v>542</v>
      </c>
      <c r="AC954" s="26" t="n">
        <f>282</f>
        <v>282.0</v>
      </c>
      <c r="AD954" s="3" t="s">
        <v>215</v>
      </c>
      <c r="AE954" s="27" t="n">
        <f>20</f>
        <v>20.0</v>
      </c>
    </row>
    <row r="955">
      <c r="A955" s="20" t="s">
        <v>1907</v>
      </c>
      <c r="B955" s="21" t="s">
        <v>1908</v>
      </c>
      <c r="C955" s="22" t="s">
        <v>1760</v>
      </c>
      <c r="D955" s="23" t="s">
        <v>1761</v>
      </c>
      <c r="E955" s="24" t="s">
        <v>304</v>
      </c>
      <c r="F955" s="28" t="n">
        <f>122</f>
        <v>122.0</v>
      </c>
      <c r="G955" s="25" t="n">
        <f>4309</f>
        <v>4309.0</v>
      </c>
      <c r="H955" s="25"/>
      <c r="I955" s="25" t="str">
        <f>"－"</f>
        <v>－</v>
      </c>
      <c r="J955" s="25" t="n">
        <f>35</f>
        <v>35.0</v>
      </c>
      <c r="K955" s="25" t="str">
        <f>"－"</f>
        <v>－</v>
      </c>
      <c r="L955" s="2" t="s">
        <v>147</v>
      </c>
      <c r="M955" s="26" t="n">
        <f>60</f>
        <v>60.0</v>
      </c>
      <c r="N955" s="3" t="s">
        <v>243</v>
      </c>
      <c r="O955" s="27" t="n">
        <f>22</f>
        <v>22.0</v>
      </c>
      <c r="P955" s="29" t="s">
        <v>1940</v>
      </c>
      <c r="Q955" s="25"/>
      <c r="R955" s="29" t="s">
        <v>262</v>
      </c>
      <c r="S955" s="25" t="n">
        <f>6614918</f>
        <v>6614918.0</v>
      </c>
      <c r="T955" s="25" t="str">
        <f>"－"</f>
        <v>－</v>
      </c>
      <c r="U955" s="3" t="s">
        <v>741</v>
      </c>
      <c r="V955" s="27" t="n">
        <f>23900000</f>
        <v>2.39E7</v>
      </c>
      <c r="W955" s="3" t="s">
        <v>468</v>
      </c>
      <c r="X955" s="27" t="n">
        <f>1490000</f>
        <v>1490000.0</v>
      </c>
      <c r="Y955" s="27" t="str">
        <f>"－"</f>
        <v>－</v>
      </c>
      <c r="Z955" s="25" t="str">
        <f>"－"</f>
        <v>－</v>
      </c>
      <c r="AA955" s="25" t="n">
        <f>23</f>
        <v>23.0</v>
      </c>
      <c r="AB955" s="2" t="s">
        <v>754</v>
      </c>
      <c r="AC955" s="26" t="n">
        <f>23</f>
        <v>23.0</v>
      </c>
      <c r="AD955" s="3" t="s">
        <v>1941</v>
      </c>
      <c r="AE955" s="27" t="n">
        <f>1</f>
        <v>1.0</v>
      </c>
    </row>
    <row r="956">
      <c r="A956" s="20" t="s">
        <v>1907</v>
      </c>
      <c r="B956" s="21" t="s">
        <v>1908</v>
      </c>
      <c r="C956" s="22" t="s">
        <v>1764</v>
      </c>
      <c r="D956" s="23" t="s">
        <v>1765</v>
      </c>
      <c r="E956" s="24" t="s">
        <v>304</v>
      </c>
      <c r="F956" s="28" t="n">
        <f>122</f>
        <v>122.0</v>
      </c>
      <c r="G956" s="25" t="n">
        <f>5678</f>
        <v>5678.0</v>
      </c>
      <c r="H956" s="25"/>
      <c r="I956" s="25" t="str">
        <f>"－"</f>
        <v>－</v>
      </c>
      <c r="J956" s="25" t="n">
        <f>47</f>
        <v>47.0</v>
      </c>
      <c r="K956" s="25" t="str">
        <f>"－"</f>
        <v>－</v>
      </c>
      <c r="L956" s="2" t="s">
        <v>1016</v>
      </c>
      <c r="M956" s="26" t="n">
        <f>237</f>
        <v>237.0</v>
      </c>
      <c r="N956" s="3" t="s">
        <v>1941</v>
      </c>
      <c r="O956" s="27" t="n">
        <f>32</f>
        <v>32.0</v>
      </c>
      <c r="P956" s="29" t="s">
        <v>1942</v>
      </c>
      <c r="Q956" s="25"/>
      <c r="R956" s="29" t="s">
        <v>262</v>
      </c>
      <c r="S956" s="25" t="n">
        <f>8275697</f>
        <v>8275697.0</v>
      </c>
      <c r="T956" s="25" t="str">
        <f>"－"</f>
        <v>－</v>
      </c>
      <c r="U956" s="3" t="s">
        <v>1016</v>
      </c>
      <c r="V956" s="27" t="n">
        <f>32295000</f>
        <v>3.2295E7</v>
      </c>
      <c r="W956" s="3" t="s">
        <v>400</v>
      </c>
      <c r="X956" s="27" t="n">
        <f>550000</f>
        <v>550000.0</v>
      </c>
      <c r="Y956" s="27" t="str">
        <f>"－"</f>
        <v>－</v>
      </c>
      <c r="Z956" s="25" t="str">
        <f>"－"</f>
        <v>－</v>
      </c>
      <c r="AA956" s="25" t="n">
        <f>71</f>
        <v>71.0</v>
      </c>
      <c r="AB956" s="2" t="s">
        <v>1943</v>
      </c>
      <c r="AC956" s="26" t="n">
        <f>429</f>
        <v>429.0</v>
      </c>
      <c r="AD956" s="3" t="s">
        <v>209</v>
      </c>
      <c r="AE956" s="27" t="n">
        <f>1</f>
        <v>1.0</v>
      </c>
    </row>
    <row r="957">
      <c r="A957" s="20" t="s">
        <v>1907</v>
      </c>
      <c r="B957" s="21" t="s">
        <v>1908</v>
      </c>
      <c r="C957" s="22" t="s">
        <v>1768</v>
      </c>
      <c r="D957" s="23" t="s">
        <v>1769</v>
      </c>
      <c r="E957" s="24" t="s">
        <v>304</v>
      </c>
      <c r="F957" s="28" t="n">
        <f>122</f>
        <v>122.0</v>
      </c>
      <c r="G957" s="25" t="n">
        <f>9987</f>
        <v>9987.0</v>
      </c>
      <c r="H957" s="25"/>
      <c r="I957" s="25" t="str">
        <f>"－"</f>
        <v>－</v>
      </c>
      <c r="J957" s="25" t="n">
        <f>82</f>
        <v>82.0</v>
      </c>
      <c r="K957" s="25" t="str">
        <f>"－"</f>
        <v>－</v>
      </c>
      <c r="L957" s="2" t="s">
        <v>1016</v>
      </c>
      <c r="M957" s="26" t="n">
        <f>269</f>
        <v>269.0</v>
      </c>
      <c r="N957" s="3" t="s">
        <v>243</v>
      </c>
      <c r="O957" s="27" t="n">
        <f>58</f>
        <v>58.0</v>
      </c>
      <c r="P957" s="29" t="s">
        <v>1944</v>
      </c>
      <c r="Q957" s="25"/>
      <c r="R957" s="29" t="s">
        <v>262</v>
      </c>
      <c r="S957" s="25" t="n">
        <f>14890615</f>
        <v>1.4890615E7</v>
      </c>
      <c r="T957" s="25" t="str">
        <f>"－"</f>
        <v>－</v>
      </c>
      <c r="U957" s="3" t="s">
        <v>1401</v>
      </c>
      <c r="V957" s="27" t="n">
        <f>40050000</f>
        <v>4.005E7</v>
      </c>
      <c r="W957" s="3" t="s">
        <v>539</v>
      </c>
      <c r="X957" s="27" t="n">
        <f>4325000</f>
        <v>4325000.0</v>
      </c>
      <c r="Y957" s="27" t="str">
        <f>"－"</f>
        <v>－</v>
      </c>
      <c r="Z957" s="25" t="str">
        <f>"－"</f>
        <v>－</v>
      </c>
      <c r="AA957" s="25" t="n">
        <f>94</f>
        <v>94.0</v>
      </c>
      <c r="AB957" s="2" t="s">
        <v>1943</v>
      </c>
      <c r="AC957" s="26" t="n">
        <f>450</f>
        <v>450.0</v>
      </c>
      <c r="AD957" s="3" t="s">
        <v>209</v>
      </c>
      <c r="AE957" s="27" t="n">
        <f>2</f>
        <v>2.0</v>
      </c>
    </row>
    <row r="958">
      <c r="A958" s="20" t="s">
        <v>1907</v>
      </c>
      <c r="B958" s="21" t="s">
        <v>1908</v>
      </c>
      <c r="C958" s="22" t="s">
        <v>1760</v>
      </c>
      <c r="D958" s="23" t="s">
        <v>1761</v>
      </c>
      <c r="E958" s="24" t="s">
        <v>308</v>
      </c>
      <c r="F958" s="28" t="n">
        <f>125</f>
        <v>125.0</v>
      </c>
      <c r="G958" s="25" t="n">
        <f>4449</f>
        <v>4449.0</v>
      </c>
      <c r="H958" s="25"/>
      <c r="I958" s="25" t="str">
        <f>"－"</f>
        <v>－</v>
      </c>
      <c r="J958" s="25" t="n">
        <f>36</f>
        <v>36.0</v>
      </c>
      <c r="K958" s="25" t="str">
        <f>"－"</f>
        <v>－</v>
      </c>
      <c r="L958" s="2" t="s">
        <v>64</v>
      </c>
      <c r="M958" s="26" t="n">
        <f>633</f>
        <v>633.0</v>
      </c>
      <c r="N958" s="3" t="s">
        <v>53</v>
      </c>
      <c r="O958" s="27" t="n">
        <f>12</f>
        <v>12.0</v>
      </c>
      <c r="P958" s="29" t="s">
        <v>1945</v>
      </c>
      <c r="Q958" s="25"/>
      <c r="R958" s="29" t="s">
        <v>262</v>
      </c>
      <c r="S958" s="25" t="n">
        <f>6573640</f>
        <v>6573640.0</v>
      </c>
      <c r="T958" s="25" t="str">
        <f>"－"</f>
        <v>－</v>
      </c>
      <c r="U958" s="3" t="s">
        <v>64</v>
      </c>
      <c r="V958" s="27" t="n">
        <f>227480000</f>
        <v>2.2748E8</v>
      </c>
      <c r="W958" s="3" t="s">
        <v>129</v>
      </c>
      <c r="X958" s="27" t="n">
        <f>320000</f>
        <v>320000.0</v>
      </c>
      <c r="Y958" s="27" t="str">
        <f>"－"</f>
        <v>－</v>
      </c>
      <c r="Z958" s="25" t="str">
        <f>"－"</f>
        <v>－</v>
      </c>
      <c r="AA958" s="25" t="n">
        <f>612</f>
        <v>612.0</v>
      </c>
      <c r="AB958" s="2" t="s">
        <v>64</v>
      </c>
      <c r="AC958" s="26" t="n">
        <f>622</f>
        <v>622.0</v>
      </c>
      <c r="AD958" s="3" t="s">
        <v>68</v>
      </c>
      <c r="AE958" s="27" t="n">
        <f>1</f>
        <v>1.0</v>
      </c>
    </row>
    <row r="959">
      <c r="A959" s="20" t="s">
        <v>1907</v>
      </c>
      <c r="B959" s="21" t="s">
        <v>1908</v>
      </c>
      <c r="C959" s="22" t="s">
        <v>1764</v>
      </c>
      <c r="D959" s="23" t="s">
        <v>1765</v>
      </c>
      <c r="E959" s="24" t="s">
        <v>308</v>
      </c>
      <c r="F959" s="28" t="n">
        <f>125</f>
        <v>125.0</v>
      </c>
      <c r="G959" s="25" t="n">
        <f>5642</f>
        <v>5642.0</v>
      </c>
      <c r="H959" s="25"/>
      <c r="I959" s="25" t="str">
        <f>"－"</f>
        <v>－</v>
      </c>
      <c r="J959" s="25" t="n">
        <f>45</f>
        <v>45.0</v>
      </c>
      <c r="K959" s="25" t="str">
        <f>"－"</f>
        <v>－</v>
      </c>
      <c r="L959" s="2" t="s">
        <v>64</v>
      </c>
      <c r="M959" s="26" t="n">
        <f>634</f>
        <v>634.0</v>
      </c>
      <c r="N959" s="3" t="s">
        <v>53</v>
      </c>
      <c r="O959" s="27" t="n">
        <f>12</f>
        <v>12.0</v>
      </c>
      <c r="P959" s="29" t="s">
        <v>1946</v>
      </c>
      <c r="Q959" s="25"/>
      <c r="R959" s="29" t="s">
        <v>262</v>
      </c>
      <c r="S959" s="25" t="n">
        <f>6063920</f>
        <v>6063920.0</v>
      </c>
      <c r="T959" s="25" t="str">
        <f>"－"</f>
        <v>－</v>
      </c>
      <c r="U959" s="3" t="s">
        <v>64</v>
      </c>
      <c r="V959" s="27" t="n">
        <f>131030000</f>
        <v>1.3103E8</v>
      </c>
      <c r="W959" s="3" t="s">
        <v>288</v>
      </c>
      <c r="X959" s="27" t="n">
        <f>200000</f>
        <v>200000.0</v>
      </c>
      <c r="Y959" s="27" t="n">
        <f>6</f>
        <v>6.0</v>
      </c>
      <c r="Z959" s="25" t="str">
        <f>"－"</f>
        <v>－</v>
      </c>
      <c r="AA959" s="25" t="n">
        <f>71</f>
        <v>71.0</v>
      </c>
      <c r="AB959" s="2" t="s">
        <v>64</v>
      </c>
      <c r="AC959" s="26" t="n">
        <f>693</f>
        <v>693.0</v>
      </c>
      <c r="AD959" s="3" t="s">
        <v>82</v>
      </c>
      <c r="AE959" s="27" t="n">
        <f>1</f>
        <v>1.0</v>
      </c>
    </row>
    <row r="960">
      <c r="A960" s="20" t="s">
        <v>1907</v>
      </c>
      <c r="B960" s="21" t="s">
        <v>1908</v>
      </c>
      <c r="C960" s="22" t="s">
        <v>1768</v>
      </c>
      <c r="D960" s="23" t="s">
        <v>1769</v>
      </c>
      <c r="E960" s="24" t="s">
        <v>308</v>
      </c>
      <c r="F960" s="28" t="n">
        <f>125</f>
        <v>125.0</v>
      </c>
      <c r="G960" s="25" t="n">
        <f>10091</f>
        <v>10091.0</v>
      </c>
      <c r="H960" s="25"/>
      <c r="I960" s="25" t="str">
        <f>"－"</f>
        <v>－</v>
      </c>
      <c r="J960" s="25" t="n">
        <f>81</f>
        <v>81.0</v>
      </c>
      <c r="K960" s="25" t="str">
        <f>"－"</f>
        <v>－</v>
      </c>
      <c r="L960" s="2" t="s">
        <v>64</v>
      </c>
      <c r="M960" s="26" t="n">
        <f>1267</f>
        <v>1267.0</v>
      </c>
      <c r="N960" s="3" t="s">
        <v>53</v>
      </c>
      <c r="O960" s="27" t="n">
        <f>24</f>
        <v>24.0</v>
      </c>
      <c r="P960" s="29" t="s">
        <v>1947</v>
      </c>
      <c r="Q960" s="25"/>
      <c r="R960" s="29" t="s">
        <v>262</v>
      </c>
      <c r="S960" s="25" t="n">
        <f>12637560</f>
        <v>1.263756E7</v>
      </c>
      <c r="T960" s="25" t="str">
        <f>"－"</f>
        <v>－</v>
      </c>
      <c r="U960" s="3" t="s">
        <v>64</v>
      </c>
      <c r="V960" s="27" t="n">
        <f>358510000</f>
        <v>3.5851E8</v>
      </c>
      <c r="W960" s="3" t="s">
        <v>53</v>
      </c>
      <c r="X960" s="27" t="n">
        <f>1510000</f>
        <v>1510000.0</v>
      </c>
      <c r="Y960" s="27" t="n">
        <f>6</f>
        <v>6.0</v>
      </c>
      <c r="Z960" s="25" t="str">
        <f>"－"</f>
        <v>－</v>
      </c>
      <c r="AA960" s="25" t="n">
        <f>683</f>
        <v>683.0</v>
      </c>
      <c r="AB960" s="2" t="s">
        <v>64</v>
      </c>
      <c r="AC960" s="26" t="n">
        <f>1315</f>
        <v>1315.0</v>
      </c>
      <c r="AD960" s="3" t="s">
        <v>82</v>
      </c>
      <c r="AE960" s="27" t="n">
        <f>2</f>
        <v>2.0</v>
      </c>
    </row>
    <row r="961">
      <c r="A961" s="20" t="s">
        <v>1907</v>
      </c>
      <c r="B961" s="21" t="s">
        <v>1908</v>
      </c>
      <c r="C961" s="22" t="s">
        <v>1760</v>
      </c>
      <c r="D961" s="23" t="s">
        <v>1761</v>
      </c>
      <c r="E961" s="24" t="s">
        <v>311</v>
      </c>
      <c r="F961" s="28" t="n">
        <f>123</f>
        <v>123.0</v>
      </c>
      <c r="G961" s="25" t="n">
        <f>3340</f>
        <v>3340.0</v>
      </c>
      <c r="H961" s="25"/>
      <c r="I961" s="25" t="str">
        <f>"－"</f>
        <v>－</v>
      </c>
      <c r="J961" s="25" t="n">
        <f>27</f>
        <v>27.0</v>
      </c>
      <c r="K961" s="25" t="str">
        <f>"－"</f>
        <v>－</v>
      </c>
      <c r="L961" s="2" t="s">
        <v>275</v>
      </c>
      <c r="M961" s="26" t="n">
        <f>622</f>
        <v>622.0</v>
      </c>
      <c r="N961" s="3" t="s">
        <v>156</v>
      </c>
      <c r="O961" s="27" t="n">
        <f>12</f>
        <v>12.0</v>
      </c>
      <c r="P961" s="29" t="s">
        <v>1948</v>
      </c>
      <c r="Q961" s="25"/>
      <c r="R961" s="29" t="s">
        <v>262</v>
      </c>
      <c r="S961" s="25" t="n">
        <f>8358089</f>
        <v>8358089.0</v>
      </c>
      <c r="T961" s="25" t="str">
        <f>"－"</f>
        <v>－</v>
      </c>
      <c r="U961" s="3" t="s">
        <v>275</v>
      </c>
      <c r="V961" s="27" t="n">
        <f>319650000</f>
        <v>3.1965E8</v>
      </c>
      <c r="W961" s="3" t="s">
        <v>156</v>
      </c>
      <c r="X961" s="27" t="n">
        <f>210000</f>
        <v>210000.0</v>
      </c>
      <c r="Y961" s="27" t="n">
        <f>1211</f>
        <v>1211.0</v>
      </c>
      <c r="Z961" s="25" t="str">
        <f>"－"</f>
        <v>－</v>
      </c>
      <c r="AA961" s="25" t="n">
        <f>11</f>
        <v>11.0</v>
      </c>
      <c r="AB961" s="2" t="s">
        <v>1121</v>
      </c>
      <c r="AC961" s="26" t="n">
        <f>1232</f>
        <v>1232.0</v>
      </c>
      <c r="AD961" s="3" t="s">
        <v>773</v>
      </c>
      <c r="AE961" s="27" t="n">
        <f>1</f>
        <v>1.0</v>
      </c>
    </row>
    <row r="962">
      <c r="A962" s="20" t="s">
        <v>1907</v>
      </c>
      <c r="B962" s="21" t="s">
        <v>1908</v>
      </c>
      <c r="C962" s="22" t="s">
        <v>1764</v>
      </c>
      <c r="D962" s="23" t="s">
        <v>1765</v>
      </c>
      <c r="E962" s="24" t="s">
        <v>311</v>
      </c>
      <c r="F962" s="28" t="n">
        <f>123</f>
        <v>123.0</v>
      </c>
      <c r="G962" s="25" t="n">
        <f>7190</f>
        <v>7190.0</v>
      </c>
      <c r="H962" s="25"/>
      <c r="I962" s="25" t="str">
        <f>"－"</f>
        <v>－</v>
      </c>
      <c r="J962" s="25" t="n">
        <f>58</f>
        <v>58.0</v>
      </c>
      <c r="K962" s="25" t="str">
        <f>"－"</f>
        <v>－</v>
      </c>
      <c r="L962" s="2" t="s">
        <v>1943</v>
      </c>
      <c r="M962" s="26" t="n">
        <f>4388</f>
        <v>4388.0</v>
      </c>
      <c r="N962" s="3" t="s">
        <v>156</v>
      </c>
      <c r="O962" s="27" t="n">
        <f>12</f>
        <v>12.0</v>
      </c>
      <c r="P962" s="29" t="s">
        <v>1949</v>
      </c>
      <c r="Q962" s="25"/>
      <c r="R962" s="29" t="s">
        <v>262</v>
      </c>
      <c r="S962" s="25" t="n">
        <f>51111870</f>
        <v>5.111187E7</v>
      </c>
      <c r="T962" s="25" t="str">
        <f>"－"</f>
        <v>－</v>
      </c>
      <c r="U962" s="3" t="s">
        <v>1943</v>
      </c>
      <c r="V962" s="27" t="n">
        <f>5689780000</f>
        <v>5.68978E9</v>
      </c>
      <c r="W962" s="3" t="s">
        <v>706</v>
      </c>
      <c r="X962" s="27" t="n">
        <f>255000</f>
        <v>255000.0</v>
      </c>
      <c r="Y962" s="27" t="n">
        <f>4366</f>
        <v>4366.0</v>
      </c>
      <c r="Z962" s="25" t="str">
        <f>"－"</f>
        <v>－</v>
      </c>
      <c r="AA962" s="25" t="n">
        <f>11</f>
        <v>11.0</v>
      </c>
      <c r="AB962" s="2" t="s">
        <v>171</v>
      </c>
      <c r="AC962" s="26" t="n">
        <f>81</f>
        <v>81.0</v>
      </c>
      <c r="AD962" s="3" t="s">
        <v>120</v>
      </c>
      <c r="AE962" s="27" t="n">
        <f>1</f>
        <v>1.0</v>
      </c>
    </row>
    <row r="963">
      <c r="A963" s="20" t="s">
        <v>1907</v>
      </c>
      <c r="B963" s="21" t="s">
        <v>1908</v>
      </c>
      <c r="C963" s="22" t="s">
        <v>1768</v>
      </c>
      <c r="D963" s="23" t="s">
        <v>1769</v>
      </c>
      <c r="E963" s="24" t="s">
        <v>311</v>
      </c>
      <c r="F963" s="28" t="n">
        <f>123</f>
        <v>123.0</v>
      </c>
      <c r="G963" s="25" t="n">
        <f>10530</f>
        <v>10530.0</v>
      </c>
      <c r="H963" s="25"/>
      <c r="I963" s="25" t="str">
        <f>"－"</f>
        <v>－</v>
      </c>
      <c r="J963" s="25" t="n">
        <f>86</f>
        <v>86.0</v>
      </c>
      <c r="K963" s="25" t="str">
        <f>"－"</f>
        <v>－</v>
      </c>
      <c r="L963" s="2" t="s">
        <v>1943</v>
      </c>
      <c r="M963" s="26" t="n">
        <f>4410</f>
        <v>4410.0</v>
      </c>
      <c r="N963" s="3" t="s">
        <v>156</v>
      </c>
      <c r="O963" s="27" t="n">
        <f>24</f>
        <v>24.0</v>
      </c>
      <c r="P963" s="29" t="s">
        <v>1950</v>
      </c>
      <c r="Q963" s="25"/>
      <c r="R963" s="29" t="s">
        <v>262</v>
      </c>
      <c r="S963" s="25" t="n">
        <f>59469959</f>
        <v>5.9469959E7</v>
      </c>
      <c r="T963" s="25" t="str">
        <f>"－"</f>
        <v>－</v>
      </c>
      <c r="U963" s="3" t="s">
        <v>1943</v>
      </c>
      <c r="V963" s="27" t="n">
        <f>5696650000</f>
        <v>5.69665E9</v>
      </c>
      <c r="W963" s="3" t="s">
        <v>156</v>
      </c>
      <c r="X963" s="27" t="n">
        <f>610000</f>
        <v>610000.0</v>
      </c>
      <c r="Y963" s="27" t="n">
        <f>5577</f>
        <v>5577.0</v>
      </c>
      <c r="Z963" s="25" t="str">
        <f>"－"</f>
        <v>－</v>
      </c>
      <c r="AA963" s="25" t="n">
        <f>22</f>
        <v>22.0</v>
      </c>
      <c r="AB963" s="2" t="s">
        <v>1121</v>
      </c>
      <c r="AC963" s="26" t="n">
        <f>1253</f>
        <v>1253.0</v>
      </c>
      <c r="AD963" s="3" t="s">
        <v>773</v>
      </c>
      <c r="AE963" s="27" t="n">
        <f>2</f>
        <v>2.0</v>
      </c>
    </row>
    <row r="964">
      <c r="A964" s="20" t="s">
        <v>1907</v>
      </c>
      <c r="B964" s="21" t="s">
        <v>1908</v>
      </c>
      <c r="C964" s="22" t="s">
        <v>1760</v>
      </c>
      <c r="D964" s="23" t="s">
        <v>1761</v>
      </c>
      <c r="E964" s="24" t="s">
        <v>317</v>
      </c>
      <c r="F964" s="28" t="n">
        <f>126</f>
        <v>126.0</v>
      </c>
      <c r="G964" s="25" t="n">
        <f>3098</f>
        <v>3098.0</v>
      </c>
      <c r="H964" s="25"/>
      <c r="I964" s="25" t="str">
        <f>"－"</f>
        <v>－</v>
      </c>
      <c r="J964" s="25" t="n">
        <f>25</f>
        <v>25.0</v>
      </c>
      <c r="K964" s="25" t="str">
        <f>"－"</f>
        <v>－</v>
      </c>
      <c r="L964" s="2" t="s">
        <v>373</v>
      </c>
      <c r="M964" s="26" t="n">
        <f>42</f>
        <v>42.0</v>
      </c>
      <c r="N964" s="3" t="s">
        <v>1082</v>
      </c>
      <c r="O964" s="27" t="n">
        <f>21</f>
        <v>21.0</v>
      </c>
      <c r="P964" s="29" t="s">
        <v>1951</v>
      </c>
      <c r="Q964" s="25"/>
      <c r="R964" s="29" t="s">
        <v>262</v>
      </c>
      <c r="S964" s="25" t="n">
        <f>5932579</f>
        <v>5932579.0</v>
      </c>
      <c r="T964" s="25" t="str">
        <f>"－"</f>
        <v>－</v>
      </c>
      <c r="U964" s="3" t="s">
        <v>864</v>
      </c>
      <c r="V964" s="27" t="n">
        <f>12260000</f>
        <v>1.226E7</v>
      </c>
      <c r="W964" s="3" t="s">
        <v>296</v>
      </c>
      <c r="X964" s="27" t="n">
        <f>1260000</f>
        <v>1260000.0</v>
      </c>
      <c r="Y964" s="27" t="str">
        <f>"－"</f>
        <v>－</v>
      </c>
      <c r="Z964" s="25" t="str">
        <f>"－"</f>
        <v>－</v>
      </c>
      <c r="AA964" s="25" t="n">
        <f>1</f>
        <v>1.0</v>
      </c>
      <c r="AB964" s="2" t="s">
        <v>972</v>
      </c>
      <c r="AC964" s="26" t="n">
        <f>21</f>
        <v>21.0</v>
      </c>
      <c r="AD964" s="3" t="s">
        <v>633</v>
      </c>
      <c r="AE964" s="27" t="n">
        <f>1</f>
        <v>1.0</v>
      </c>
    </row>
    <row r="965">
      <c r="A965" s="20" t="s">
        <v>1907</v>
      </c>
      <c r="B965" s="21" t="s">
        <v>1908</v>
      </c>
      <c r="C965" s="22" t="s">
        <v>1764</v>
      </c>
      <c r="D965" s="23" t="s">
        <v>1765</v>
      </c>
      <c r="E965" s="24" t="s">
        <v>317</v>
      </c>
      <c r="F965" s="28" t="n">
        <f>126</f>
        <v>126.0</v>
      </c>
      <c r="G965" s="25" t="n">
        <f>3114</f>
        <v>3114.0</v>
      </c>
      <c r="H965" s="25"/>
      <c r="I965" s="25" t="str">
        <f>"－"</f>
        <v>－</v>
      </c>
      <c r="J965" s="25" t="n">
        <f>25</f>
        <v>25.0</v>
      </c>
      <c r="K965" s="25" t="str">
        <f>"－"</f>
        <v>－</v>
      </c>
      <c r="L965" s="2" t="s">
        <v>373</v>
      </c>
      <c r="M965" s="26" t="n">
        <f>42</f>
        <v>42.0</v>
      </c>
      <c r="N965" s="3" t="s">
        <v>1082</v>
      </c>
      <c r="O965" s="27" t="n">
        <f>21</f>
        <v>21.0</v>
      </c>
      <c r="P965" s="29" t="s">
        <v>1952</v>
      </c>
      <c r="Q965" s="25"/>
      <c r="R965" s="29" t="s">
        <v>262</v>
      </c>
      <c r="S965" s="25" t="n">
        <f>7149048</f>
        <v>7149048.0</v>
      </c>
      <c r="T965" s="25" t="str">
        <f>"－"</f>
        <v>－</v>
      </c>
      <c r="U965" s="3" t="s">
        <v>545</v>
      </c>
      <c r="V965" s="27" t="n">
        <f>23365000</f>
        <v>2.3365E7</v>
      </c>
      <c r="W965" s="3" t="s">
        <v>529</v>
      </c>
      <c r="X965" s="27" t="n">
        <f>1865000</f>
        <v>1865000.0</v>
      </c>
      <c r="Y965" s="27" t="str">
        <f>"－"</f>
        <v>－</v>
      </c>
      <c r="Z965" s="25" t="str">
        <f>"－"</f>
        <v>－</v>
      </c>
      <c r="AA965" s="25" t="n">
        <f>1</f>
        <v>1.0</v>
      </c>
      <c r="AB965" s="2" t="s">
        <v>972</v>
      </c>
      <c r="AC965" s="26" t="n">
        <f>21</f>
        <v>21.0</v>
      </c>
      <c r="AD965" s="3" t="s">
        <v>633</v>
      </c>
      <c r="AE965" s="27" t="n">
        <f>1</f>
        <v>1.0</v>
      </c>
    </row>
    <row r="966">
      <c r="A966" s="20" t="s">
        <v>1907</v>
      </c>
      <c r="B966" s="21" t="s">
        <v>1908</v>
      </c>
      <c r="C966" s="22" t="s">
        <v>1768</v>
      </c>
      <c r="D966" s="23" t="s">
        <v>1769</v>
      </c>
      <c r="E966" s="24" t="s">
        <v>317</v>
      </c>
      <c r="F966" s="28" t="n">
        <f>126</f>
        <v>126.0</v>
      </c>
      <c r="G966" s="25" t="n">
        <f>6212</f>
        <v>6212.0</v>
      </c>
      <c r="H966" s="25"/>
      <c r="I966" s="25" t="str">
        <f>"－"</f>
        <v>－</v>
      </c>
      <c r="J966" s="25" t="n">
        <f>49</f>
        <v>49.0</v>
      </c>
      <c r="K966" s="25" t="str">
        <f>"－"</f>
        <v>－</v>
      </c>
      <c r="L966" s="2" t="s">
        <v>373</v>
      </c>
      <c r="M966" s="26" t="n">
        <f>84</f>
        <v>84.0</v>
      </c>
      <c r="N966" s="3" t="s">
        <v>1082</v>
      </c>
      <c r="O966" s="27" t="n">
        <f>42</f>
        <v>42.0</v>
      </c>
      <c r="P966" s="29" t="s">
        <v>1953</v>
      </c>
      <c r="Q966" s="25"/>
      <c r="R966" s="29" t="s">
        <v>262</v>
      </c>
      <c r="S966" s="25" t="n">
        <f>13081627</f>
        <v>1.3081627E7</v>
      </c>
      <c r="T966" s="25" t="str">
        <f>"－"</f>
        <v>－</v>
      </c>
      <c r="U966" s="3" t="s">
        <v>373</v>
      </c>
      <c r="V966" s="27" t="n">
        <f>30190000</f>
        <v>3.019E7</v>
      </c>
      <c r="W966" s="3" t="s">
        <v>582</v>
      </c>
      <c r="X966" s="27" t="n">
        <f>6625000</f>
        <v>6625000.0</v>
      </c>
      <c r="Y966" s="27" t="str">
        <f>"－"</f>
        <v>－</v>
      </c>
      <c r="Z966" s="25" t="str">
        <f>"－"</f>
        <v>－</v>
      </c>
      <c r="AA966" s="25" t="n">
        <f>2</f>
        <v>2.0</v>
      </c>
      <c r="AB966" s="2" t="s">
        <v>972</v>
      </c>
      <c r="AC966" s="26" t="n">
        <f>42</f>
        <v>42.0</v>
      </c>
      <c r="AD966" s="3" t="s">
        <v>633</v>
      </c>
      <c r="AE966" s="27" t="n">
        <f>2</f>
        <v>2.0</v>
      </c>
    </row>
    <row r="967">
      <c r="A967" s="20" t="s">
        <v>1907</v>
      </c>
      <c r="B967" s="21" t="s">
        <v>1908</v>
      </c>
      <c r="C967" s="22" t="s">
        <v>1760</v>
      </c>
      <c r="D967" s="23" t="s">
        <v>1761</v>
      </c>
      <c r="E967" s="24" t="s">
        <v>322</v>
      </c>
      <c r="F967" s="28" t="n">
        <f>121</f>
        <v>121.0</v>
      </c>
      <c r="G967" s="25" t="n">
        <f>3245</f>
        <v>3245.0</v>
      </c>
      <c r="H967" s="25"/>
      <c r="I967" s="25" t="str">
        <f>"－"</f>
        <v>－</v>
      </c>
      <c r="J967" s="25" t="n">
        <f>27</f>
        <v>27.0</v>
      </c>
      <c r="K967" s="25" t="str">
        <f>"－"</f>
        <v>－</v>
      </c>
      <c r="L967" s="2" t="s">
        <v>876</v>
      </c>
      <c r="M967" s="26" t="n">
        <f>37</f>
        <v>37.0</v>
      </c>
      <c r="N967" s="3" t="s">
        <v>111</v>
      </c>
      <c r="O967" s="27" t="n">
        <f>25</f>
        <v>25.0</v>
      </c>
      <c r="P967" s="29" t="s">
        <v>1954</v>
      </c>
      <c r="Q967" s="25"/>
      <c r="R967" s="29" t="s">
        <v>262</v>
      </c>
      <c r="S967" s="25" t="n">
        <f>6051818</f>
        <v>6051818.0</v>
      </c>
      <c r="T967" s="25" t="str">
        <f>"－"</f>
        <v>－</v>
      </c>
      <c r="U967" s="3" t="s">
        <v>546</v>
      </c>
      <c r="V967" s="27" t="n">
        <f>15000000</f>
        <v>1.5E7</v>
      </c>
      <c r="W967" s="3" t="s">
        <v>1130</v>
      </c>
      <c r="X967" s="27" t="n">
        <f>1840000</f>
        <v>1840000.0</v>
      </c>
      <c r="Y967" s="27" t="str">
        <f>"－"</f>
        <v>－</v>
      </c>
      <c r="Z967" s="25" t="str">
        <f>"－"</f>
        <v>－</v>
      </c>
      <c r="AA967" s="25" t="n">
        <f>10</f>
        <v>10.0</v>
      </c>
      <c r="AB967" s="2" t="s">
        <v>1153</v>
      </c>
      <c r="AC967" s="26" t="n">
        <f>25</f>
        <v>25.0</v>
      </c>
      <c r="AD967" s="3" t="s">
        <v>733</v>
      </c>
      <c r="AE967" s="27" t="str">
        <f>"－"</f>
        <v>－</v>
      </c>
    </row>
    <row r="968">
      <c r="A968" s="20" t="s">
        <v>1907</v>
      </c>
      <c r="B968" s="21" t="s">
        <v>1908</v>
      </c>
      <c r="C968" s="22" t="s">
        <v>1764</v>
      </c>
      <c r="D968" s="23" t="s">
        <v>1765</v>
      </c>
      <c r="E968" s="24" t="s">
        <v>322</v>
      </c>
      <c r="F968" s="28" t="n">
        <f>121</f>
        <v>121.0</v>
      </c>
      <c r="G968" s="25" t="n">
        <f>3677</f>
        <v>3677.0</v>
      </c>
      <c r="H968" s="25"/>
      <c r="I968" s="25" t="str">
        <f>"－"</f>
        <v>－</v>
      </c>
      <c r="J968" s="25" t="n">
        <f>30</f>
        <v>30.0</v>
      </c>
      <c r="K968" s="25" t="str">
        <f>"－"</f>
        <v>－</v>
      </c>
      <c r="L968" s="2" t="s">
        <v>1079</v>
      </c>
      <c r="M968" s="26" t="n">
        <f>446</f>
        <v>446.0</v>
      </c>
      <c r="N968" s="3" t="s">
        <v>111</v>
      </c>
      <c r="O968" s="27" t="n">
        <f>25</f>
        <v>25.0</v>
      </c>
      <c r="P968" s="29" t="s">
        <v>1955</v>
      </c>
      <c r="Q968" s="25"/>
      <c r="R968" s="29" t="s">
        <v>262</v>
      </c>
      <c r="S968" s="25" t="n">
        <f>9150744</f>
        <v>9150744.0</v>
      </c>
      <c r="T968" s="25" t="str">
        <f>"－"</f>
        <v>－</v>
      </c>
      <c r="U968" s="3" t="s">
        <v>1079</v>
      </c>
      <c r="V968" s="27" t="n">
        <f>287660000</f>
        <v>2.8766E8</v>
      </c>
      <c r="W968" s="3" t="s">
        <v>767</v>
      </c>
      <c r="X968" s="27" t="n">
        <f>2475000</f>
        <v>2475000.0</v>
      </c>
      <c r="Y968" s="27" t="n">
        <f>422</f>
        <v>422.0</v>
      </c>
      <c r="Z968" s="25" t="str">
        <f>"－"</f>
        <v>－</v>
      </c>
      <c r="AA968" s="25" t="n">
        <f>10</f>
        <v>10.0</v>
      </c>
      <c r="AB968" s="2" t="s">
        <v>1153</v>
      </c>
      <c r="AC968" s="26" t="n">
        <f>25</f>
        <v>25.0</v>
      </c>
      <c r="AD968" s="3" t="s">
        <v>733</v>
      </c>
      <c r="AE968" s="27" t="str">
        <f>"－"</f>
        <v>－</v>
      </c>
    </row>
    <row r="969">
      <c r="A969" s="20" t="s">
        <v>1907</v>
      </c>
      <c r="B969" s="21" t="s">
        <v>1908</v>
      </c>
      <c r="C969" s="22" t="s">
        <v>1768</v>
      </c>
      <c r="D969" s="23" t="s">
        <v>1769</v>
      </c>
      <c r="E969" s="24" t="s">
        <v>322</v>
      </c>
      <c r="F969" s="28" t="n">
        <f>121</f>
        <v>121.0</v>
      </c>
      <c r="G969" s="25" t="n">
        <f>6922</f>
        <v>6922.0</v>
      </c>
      <c r="H969" s="25"/>
      <c r="I969" s="25" t="str">
        <f>"－"</f>
        <v>－</v>
      </c>
      <c r="J969" s="25" t="n">
        <f>57</f>
        <v>57.0</v>
      </c>
      <c r="K969" s="25" t="str">
        <f>"－"</f>
        <v>－</v>
      </c>
      <c r="L969" s="2" t="s">
        <v>1079</v>
      </c>
      <c r="M969" s="26" t="n">
        <f>473</f>
        <v>473.0</v>
      </c>
      <c r="N969" s="3" t="s">
        <v>111</v>
      </c>
      <c r="O969" s="27" t="n">
        <f>50</f>
        <v>50.0</v>
      </c>
      <c r="P969" s="29" t="s">
        <v>1956</v>
      </c>
      <c r="Q969" s="25"/>
      <c r="R969" s="29" t="s">
        <v>262</v>
      </c>
      <c r="S969" s="25" t="n">
        <f>15202562</f>
        <v>1.5202562E7</v>
      </c>
      <c r="T969" s="25" t="str">
        <f>"－"</f>
        <v>－</v>
      </c>
      <c r="U969" s="3" t="s">
        <v>1079</v>
      </c>
      <c r="V969" s="27" t="n">
        <f>295860000</f>
        <v>2.9586E8</v>
      </c>
      <c r="W969" s="3" t="s">
        <v>533</v>
      </c>
      <c r="X969" s="27" t="n">
        <f>5975000</f>
        <v>5975000.0</v>
      </c>
      <c r="Y969" s="27" t="n">
        <f>422</f>
        <v>422.0</v>
      </c>
      <c r="Z969" s="25" t="str">
        <f>"－"</f>
        <v>－</v>
      </c>
      <c r="AA969" s="25" t="n">
        <f>20</f>
        <v>20.0</v>
      </c>
      <c r="AB969" s="2" t="s">
        <v>1153</v>
      </c>
      <c r="AC969" s="26" t="n">
        <f>50</f>
        <v>50.0</v>
      </c>
      <c r="AD969" s="3" t="s">
        <v>733</v>
      </c>
      <c r="AE969" s="27" t="str">
        <f>"－"</f>
        <v>－</v>
      </c>
    </row>
    <row r="970">
      <c r="A970" s="20" t="s">
        <v>1907</v>
      </c>
      <c r="B970" s="21" t="s">
        <v>1908</v>
      </c>
      <c r="C970" s="22" t="s">
        <v>1760</v>
      </c>
      <c r="D970" s="23" t="s">
        <v>1761</v>
      </c>
      <c r="E970" s="24" t="s">
        <v>325</v>
      </c>
      <c r="F970" s="28" t="n">
        <f>126</f>
        <v>126.0</v>
      </c>
      <c r="G970" s="25" t="n">
        <f>3260</f>
        <v>3260.0</v>
      </c>
      <c r="H970" s="25"/>
      <c r="I970" s="25" t="str">
        <f>"－"</f>
        <v>－</v>
      </c>
      <c r="J970" s="25" t="n">
        <f>26</f>
        <v>26.0</v>
      </c>
      <c r="K970" s="25" t="str">
        <f>"－"</f>
        <v>－</v>
      </c>
      <c r="L970" s="2" t="s">
        <v>106</v>
      </c>
      <c r="M970" s="26" t="n">
        <f>35</f>
        <v>35.0</v>
      </c>
      <c r="N970" s="3" t="s">
        <v>68</v>
      </c>
      <c r="O970" s="27" t="n">
        <f>25</f>
        <v>25.0</v>
      </c>
      <c r="P970" s="29" t="s">
        <v>1957</v>
      </c>
      <c r="Q970" s="25"/>
      <c r="R970" s="29" t="s">
        <v>262</v>
      </c>
      <c r="S970" s="25" t="n">
        <f>5300000</f>
        <v>5300000.0</v>
      </c>
      <c r="T970" s="25" t="str">
        <f>"－"</f>
        <v>－</v>
      </c>
      <c r="U970" s="3" t="s">
        <v>945</v>
      </c>
      <c r="V970" s="27" t="n">
        <f>11410000</f>
        <v>1.141E7</v>
      </c>
      <c r="W970" s="3" t="s">
        <v>719</v>
      </c>
      <c r="X970" s="27" t="n">
        <f>1075000</f>
        <v>1075000.0</v>
      </c>
      <c r="Y970" s="27" t="str">
        <f>"－"</f>
        <v>－</v>
      </c>
      <c r="Z970" s="25" t="str">
        <f>"－"</f>
        <v>－</v>
      </c>
      <c r="AA970" s="25" t="n">
        <f>10</f>
        <v>10.0</v>
      </c>
      <c r="AB970" s="2" t="s">
        <v>106</v>
      </c>
      <c r="AC970" s="26" t="n">
        <f>20</f>
        <v>20.0</v>
      </c>
      <c r="AD970" s="3" t="s">
        <v>838</v>
      </c>
      <c r="AE970" s="27" t="str">
        <f>"－"</f>
        <v>－</v>
      </c>
    </row>
    <row r="971">
      <c r="A971" s="20" t="s">
        <v>1907</v>
      </c>
      <c r="B971" s="21" t="s">
        <v>1908</v>
      </c>
      <c r="C971" s="22" t="s">
        <v>1764</v>
      </c>
      <c r="D971" s="23" t="s">
        <v>1765</v>
      </c>
      <c r="E971" s="24" t="s">
        <v>325</v>
      </c>
      <c r="F971" s="28" t="n">
        <f>126</f>
        <v>126.0</v>
      </c>
      <c r="G971" s="25" t="n">
        <f>3262</f>
        <v>3262.0</v>
      </c>
      <c r="H971" s="25"/>
      <c r="I971" s="25" t="str">
        <f>"－"</f>
        <v>－</v>
      </c>
      <c r="J971" s="25" t="n">
        <f>26</f>
        <v>26.0</v>
      </c>
      <c r="K971" s="25" t="str">
        <f>"－"</f>
        <v>－</v>
      </c>
      <c r="L971" s="2" t="s">
        <v>106</v>
      </c>
      <c r="M971" s="26" t="n">
        <f>35</f>
        <v>35.0</v>
      </c>
      <c r="N971" s="3" t="s">
        <v>68</v>
      </c>
      <c r="O971" s="27" t="n">
        <f>25</f>
        <v>25.0</v>
      </c>
      <c r="P971" s="29" t="s">
        <v>1958</v>
      </c>
      <c r="Q971" s="25"/>
      <c r="R971" s="29" t="s">
        <v>262</v>
      </c>
      <c r="S971" s="25" t="n">
        <f>4806865</f>
        <v>4806865.0</v>
      </c>
      <c r="T971" s="25" t="str">
        <f>"－"</f>
        <v>－</v>
      </c>
      <c r="U971" s="3" t="s">
        <v>864</v>
      </c>
      <c r="V971" s="27" t="n">
        <f>10400000</f>
        <v>1.04E7</v>
      </c>
      <c r="W971" s="3" t="s">
        <v>221</v>
      </c>
      <c r="X971" s="27" t="n">
        <f>1350000</f>
        <v>1350000.0</v>
      </c>
      <c r="Y971" s="27" t="str">
        <f>"－"</f>
        <v>－</v>
      </c>
      <c r="Z971" s="25" t="str">
        <f>"－"</f>
        <v>－</v>
      </c>
      <c r="AA971" s="25" t="n">
        <f>10</f>
        <v>10.0</v>
      </c>
      <c r="AB971" s="2" t="s">
        <v>106</v>
      </c>
      <c r="AC971" s="26" t="n">
        <f>20</f>
        <v>20.0</v>
      </c>
      <c r="AD971" s="3" t="s">
        <v>838</v>
      </c>
      <c r="AE971" s="27" t="str">
        <f>"－"</f>
        <v>－</v>
      </c>
    </row>
    <row r="972">
      <c r="A972" s="20" t="s">
        <v>1907</v>
      </c>
      <c r="B972" s="21" t="s">
        <v>1908</v>
      </c>
      <c r="C972" s="22" t="s">
        <v>1768</v>
      </c>
      <c r="D972" s="23" t="s">
        <v>1769</v>
      </c>
      <c r="E972" s="24" t="s">
        <v>325</v>
      </c>
      <c r="F972" s="28" t="n">
        <f>126</f>
        <v>126.0</v>
      </c>
      <c r="G972" s="25" t="n">
        <f>6522</f>
        <v>6522.0</v>
      </c>
      <c r="H972" s="25"/>
      <c r="I972" s="25" t="str">
        <f>"－"</f>
        <v>－</v>
      </c>
      <c r="J972" s="25" t="n">
        <f>52</f>
        <v>52.0</v>
      </c>
      <c r="K972" s="25" t="str">
        <f>"－"</f>
        <v>－</v>
      </c>
      <c r="L972" s="2" t="s">
        <v>106</v>
      </c>
      <c r="M972" s="26" t="n">
        <f>70</f>
        <v>70.0</v>
      </c>
      <c r="N972" s="3" t="s">
        <v>68</v>
      </c>
      <c r="O972" s="27" t="n">
        <f>50</f>
        <v>50.0</v>
      </c>
      <c r="P972" s="29" t="s">
        <v>1959</v>
      </c>
      <c r="Q972" s="25"/>
      <c r="R972" s="29" t="s">
        <v>262</v>
      </c>
      <c r="S972" s="25" t="n">
        <f>10106865</f>
        <v>1.0106865E7</v>
      </c>
      <c r="T972" s="25" t="str">
        <f>"－"</f>
        <v>－</v>
      </c>
      <c r="U972" s="3" t="s">
        <v>106</v>
      </c>
      <c r="V972" s="27" t="n">
        <f>16000000</f>
        <v>1.6E7</v>
      </c>
      <c r="W972" s="3" t="s">
        <v>254</v>
      </c>
      <c r="X972" s="27" t="n">
        <f>4950000</f>
        <v>4950000.0</v>
      </c>
      <c r="Y972" s="27" t="str">
        <f>"－"</f>
        <v>－</v>
      </c>
      <c r="Z972" s="25" t="str">
        <f>"－"</f>
        <v>－</v>
      </c>
      <c r="AA972" s="25" t="n">
        <f>20</f>
        <v>20.0</v>
      </c>
      <c r="AB972" s="2" t="s">
        <v>106</v>
      </c>
      <c r="AC972" s="26" t="n">
        <f>40</f>
        <v>40.0</v>
      </c>
      <c r="AD972" s="3" t="s">
        <v>838</v>
      </c>
      <c r="AE972" s="27" t="str">
        <f>"－"</f>
        <v>－</v>
      </c>
    </row>
    <row r="973">
      <c r="A973" s="20" t="s">
        <v>1907</v>
      </c>
      <c r="B973" s="21" t="s">
        <v>1908</v>
      </c>
      <c r="C973" s="22" t="s">
        <v>1760</v>
      </c>
      <c r="D973" s="23" t="s">
        <v>1761</v>
      </c>
      <c r="E973" s="24" t="s">
        <v>327</v>
      </c>
      <c r="F973" s="28" t="n">
        <f>121</f>
        <v>121.0</v>
      </c>
      <c r="G973" s="25" t="n">
        <f>3146</f>
        <v>3146.0</v>
      </c>
      <c r="H973" s="25"/>
      <c r="I973" s="25" t="str">
        <f>"－"</f>
        <v>－</v>
      </c>
      <c r="J973" s="25" t="n">
        <f>26</f>
        <v>26.0</v>
      </c>
      <c r="K973" s="25" t="str">
        <f>"－"</f>
        <v>－</v>
      </c>
      <c r="L973" s="2" t="s">
        <v>188</v>
      </c>
      <c r="M973" s="26" t="n">
        <f>40</f>
        <v>40.0</v>
      </c>
      <c r="N973" s="3" t="s">
        <v>328</v>
      </c>
      <c r="O973" s="27" t="n">
        <f>25</f>
        <v>25.0</v>
      </c>
      <c r="P973" s="29" t="s">
        <v>1960</v>
      </c>
      <c r="Q973" s="25"/>
      <c r="R973" s="29" t="s">
        <v>262</v>
      </c>
      <c r="S973" s="25" t="n">
        <f>7211983</f>
        <v>7211983.0</v>
      </c>
      <c r="T973" s="25" t="str">
        <f>"－"</f>
        <v>－</v>
      </c>
      <c r="U973" s="3" t="s">
        <v>188</v>
      </c>
      <c r="V973" s="27" t="n">
        <f>37800000</f>
        <v>3.78E7</v>
      </c>
      <c r="W973" s="3" t="s">
        <v>981</v>
      </c>
      <c r="X973" s="27" t="n">
        <f>2250000</f>
        <v>2250000.0</v>
      </c>
      <c r="Y973" s="27" t="str">
        <f>"－"</f>
        <v>－</v>
      </c>
      <c r="Z973" s="25" t="str">
        <f>"－"</f>
        <v>－</v>
      </c>
      <c r="AA973" s="25" t="str">
        <f>"－"</f>
        <v>－</v>
      </c>
      <c r="AB973" s="2" t="s">
        <v>706</v>
      </c>
      <c r="AC973" s="26" t="n">
        <f>30</f>
        <v>30.0</v>
      </c>
      <c r="AD973" s="3" t="s">
        <v>188</v>
      </c>
      <c r="AE973" s="27" t="str">
        <f>"－"</f>
        <v>－</v>
      </c>
    </row>
    <row r="974">
      <c r="A974" s="20" t="s">
        <v>1907</v>
      </c>
      <c r="B974" s="21" t="s">
        <v>1908</v>
      </c>
      <c r="C974" s="22" t="s">
        <v>1764</v>
      </c>
      <c r="D974" s="23" t="s">
        <v>1765</v>
      </c>
      <c r="E974" s="24" t="s">
        <v>327</v>
      </c>
      <c r="F974" s="28" t="n">
        <f>121</f>
        <v>121.0</v>
      </c>
      <c r="G974" s="25" t="n">
        <f>3298</f>
        <v>3298.0</v>
      </c>
      <c r="H974" s="25"/>
      <c r="I974" s="25" t="str">
        <f>"－"</f>
        <v>－</v>
      </c>
      <c r="J974" s="25" t="n">
        <f>27</f>
        <v>27.0</v>
      </c>
      <c r="K974" s="25" t="str">
        <f>"－"</f>
        <v>－</v>
      </c>
      <c r="L974" s="2" t="s">
        <v>97</v>
      </c>
      <c r="M974" s="26" t="n">
        <f>104</f>
        <v>104.0</v>
      </c>
      <c r="N974" s="3" t="s">
        <v>328</v>
      </c>
      <c r="O974" s="27" t="n">
        <f>25</f>
        <v>25.0</v>
      </c>
      <c r="P974" s="29" t="s">
        <v>1961</v>
      </c>
      <c r="Q974" s="25"/>
      <c r="R974" s="29" t="s">
        <v>262</v>
      </c>
      <c r="S974" s="25" t="n">
        <f>8219587</f>
        <v>8219587.0</v>
      </c>
      <c r="T974" s="25" t="str">
        <f>"－"</f>
        <v>－</v>
      </c>
      <c r="U974" s="3" t="s">
        <v>375</v>
      </c>
      <c r="V974" s="27" t="n">
        <f>54040000</f>
        <v>5.404E7</v>
      </c>
      <c r="W974" s="3" t="s">
        <v>746</v>
      </c>
      <c r="X974" s="27" t="n">
        <f>1700000</f>
        <v>1700000.0</v>
      </c>
      <c r="Y974" s="27" t="str">
        <f>"－"</f>
        <v>－</v>
      </c>
      <c r="Z974" s="25" t="str">
        <f>"－"</f>
        <v>－</v>
      </c>
      <c r="AA974" s="25" t="str">
        <f>"－"</f>
        <v>－</v>
      </c>
      <c r="AB974" s="2" t="s">
        <v>375</v>
      </c>
      <c r="AC974" s="26" t="n">
        <f>92</f>
        <v>92.0</v>
      </c>
      <c r="AD974" s="3" t="s">
        <v>188</v>
      </c>
      <c r="AE974" s="27" t="str">
        <f>"－"</f>
        <v>－</v>
      </c>
    </row>
    <row r="975">
      <c r="A975" s="20" t="s">
        <v>1907</v>
      </c>
      <c r="B975" s="21" t="s">
        <v>1908</v>
      </c>
      <c r="C975" s="22" t="s">
        <v>1768</v>
      </c>
      <c r="D975" s="23" t="s">
        <v>1769</v>
      </c>
      <c r="E975" s="24" t="s">
        <v>327</v>
      </c>
      <c r="F975" s="28" t="n">
        <f>121</f>
        <v>121.0</v>
      </c>
      <c r="G975" s="25" t="n">
        <f>6444</f>
        <v>6444.0</v>
      </c>
      <c r="H975" s="25"/>
      <c r="I975" s="25" t="str">
        <f>"－"</f>
        <v>－</v>
      </c>
      <c r="J975" s="25" t="n">
        <f>53</f>
        <v>53.0</v>
      </c>
      <c r="K975" s="25" t="str">
        <f>"－"</f>
        <v>－</v>
      </c>
      <c r="L975" s="2" t="s">
        <v>97</v>
      </c>
      <c r="M975" s="26" t="n">
        <f>131</f>
        <v>131.0</v>
      </c>
      <c r="N975" s="3" t="s">
        <v>328</v>
      </c>
      <c r="O975" s="27" t="n">
        <f>50</f>
        <v>50.0</v>
      </c>
      <c r="P975" s="29" t="s">
        <v>1962</v>
      </c>
      <c r="Q975" s="25"/>
      <c r="R975" s="29" t="s">
        <v>262</v>
      </c>
      <c r="S975" s="25" t="n">
        <f>15431570</f>
        <v>1.543157E7</v>
      </c>
      <c r="T975" s="25" t="str">
        <f>"－"</f>
        <v>－</v>
      </c>
      <c r="U975" s="3" t="s">
        <v>375</v>
      </c>
      <c r="V975" s="27" t="n">
        <f>64740000</f>
        <v>6.474E7</v>
      </c>
      <c r="W975" s="3" t="s">
        <v>746</v>
      </c>
      <c r="X975" s="27" t="n">
        <f>6350000</f>
        <v>6350000.0</v>
      </c>
      <c r="Y975" s="27" t="str">
        <f>"－"</f>
        <v>－</v>
      </c>
      <c r="Z975" s="25" t="str">
        <f>"－"</f>
        <v>－</v>
      </c>
      <c r="AA975" s="25" t="str">
        <f>"－"</f>
        <v>－</v>
      </c>
      <c r="AB975" s="2" t="s">
        <v>375</v>
      </c>
      <c r="AC975" s="26" t="n">
        <f>107</f>
        <v>107.0</v>
      </c>
      <c r="AD975" s="3" t="s">
        <v>188</v>
      </c>
      <c r="AE975" s="27" t="str">
        <f>"－"</f>
        <v>－</v>
      </c>
    </row>
    <row r="976">
      <c r="A976" s="20" t="s">
        <v>1907</v>
      </c>
      <c r="B976" s="21" t="s">
        <v>1908</v>
      </c>
      <c r="C976" s="22" t="s">
        <v>1760</v>
      </c>
      <c r="D976" s="23" t="s">
        <v>1761</v>
      </c>
      <c r="E976" s="24" t="s">
        <v>330</v>
      </c>
      <c r="F976" s="28" t="n">
        <f>124</f>
        <v>124.0</v>
      </c>
      <c r="G976" s="25" t="n">
        <f>1460</f>
        <v>1460.0</v>
      </c>
      <c r="H976" s="25"/>
      <c r="I976" s="25" t="str">
        <f>"－"</f>
        <v>－</v>
      </c>
      <c r="J976" s="25" t="n">
        <f>12</f>
        <v>12.0</v>
      </c>
      <c r="K976" s="25" t="str">
        <f>"－"</f>
        <v>－</v>
      </c>
      <c r="L976" s="2" t="s">
        <v>914</v>
      </c>
      <c r="M976" s="26" t="n">
        <f>27</f>
        <v>27.0</v>
      </c>
      <c r="N976" s="3" t="s">
        <v>285</v>
      </c>
      <c r="O976" s="27" t="n">
        <f>1</f>
        <v>1.0</v>
      </c>
      <c r="P976" s="29" t="s">
        <v>1963</v>
      </c>
      <c r="Q976" s="25"/>
      <c r="R976" s="29" t="s">
        <v>262</v>
      </c>
      <c r="S976" s="25" t="n">
        <f>3478629</f>
        <v>3478629.0</v>
      </c>
      <c r="T976" s="25" t="str">
        <f>"－"</f>
        <v>－</v>
      </c>
      <c r="U976" s="3" t="s">
        <v>254</v>
      </c>
      <c r="V976" s="27" t="n">
        <f>11350000</f>
        <v>1.135E7</v>
      </c>
      <c r="W976" s="3" t="s">
        <v>581</v>
      </c>
      <c r="X976" s="27" t="n">
        <f>240000</f>
        <v>240000.0</v>
      </c>
      <c r="Y976" s="27" t="n">
        <f>27</f>
        <v>27.0</v>
      </c>
      <c r="Z976" s="25" t="str">
        <f>"－"</f>
        <v>－</v>
      </c>
      <c r="AA976" s="25" t="n">
        <f>10</f>
        <v>10.0</v>
      </c>
      <c r="AB976" s="2" t="s">
        <v>302</v>
      </c>
      <c r="AC976" s="26" t="n">
        <f>60</f>
        <v>60.0</v>
      </c>
      <c r="AD976" s="3" t="s">
        <v>215</v>
      </c>
      <c r="AE976" s="27" t="str">
        <f>"－"</f>
        <v>－</v>
      </c>
    </row>
    <row r="977">
      <c r="A977" s="20" t="s">
        <v>1907</v>
      </c>
      <c r="B977" s="21" t="s">
        <v>1908</v>
      </c>
      <c r="C977" s="22" t="s">
        <v>1764</v>
      </c>
      <c r="D977" s="23" t="s">
        <v>1765</v>
      </c>
      <c r="E977" s="24" t="s">
        <v>330</v>
      </c>
      <c r="F977" s="28" t="n">
        <f>124</f>
        <v>124.0</v>
      </c>
      <c r="G977" s="25" t="n">
        <f>1452</f>
        <v>1452.0</v>
      </c>
      <c r="H977" s="25"/>
      <c r="I977" s="25" t="str">
        <f>"－"</f>
        <v>－</v>
      </c>
      <c r="J977" s="25" t="n">
        <f>12</f>
        <v>12.0</v>
      </c>
      <c r="K977" s="25" t="str">
        <f>"－"</f>
        <v>－</v>
      </c>
      <c r="L977" s="2" t="s">
        <v>914</v>
      </c>
      <c r="M977" s="26" t="n">
        <f>27</f>
        <v>27.0</v>
      </c>
      <c r="N977" s="3" t="s">
        <v>285</v>
      </c>
      <c r="O977" s="27" t="n">
        <f>1</f>
        <v>1.0</v>
      </c>
      <c r="P977" s="29" t="s">
        <v>1964</v>
      </c>
      <c r="Q977" s="25"/>
      <c r="R977" s="29" t="s">
        <v>262</v>
      </c>
      <c r="S977" s="25" t="n">
        <f>2747581</f>
        <v>2747581.0</v>
      </c>
      <c r="T977" s="25" t="str">
        <f>"－"</f>
        <v>－</v>
      </c>
      <c r="U977" s="3" t="s">
        <v>362</v>
      </c>
      <c r="V977" s="27" t="n">
        <f>9200000</f>
        <v>9200000.0</v>
      </c>
      <c r="W977" s="3" t="s">
        <v>1092</v>
      </c>
      <c r="X977" s="27" t="n">
        <f>220000</f>
        <v>220000.0</v>
      </c>
      <c r="Y977" s="27" t="n">
        <f>13</f>
        <v>13.0</v>
      </c>
      <c r="Z977" s="25" t="str">
        <f>"－"</f>
        <v>－</v>
      </c>
      <c r="AA977" s="25" t="str">
        <f>"－"</f>
        <v>－</v>
      </c>
      <c r="AB977" s="2" t="s">
        <v>94</v>
      </c>
      <c r="AC977" s="26" t="n">
        <f>42</f>
        <v>42.0</v>
      </c>
      <c r="AD977" s="3" t="s">
        <v>215</v>
      </c>
      <c r="AE977" s="27" t="str">
        <f>"－"</f>
        <v>－</v>
      </c>
    </row>
    <row r="978">
      <c r="A978" s="20" t="s">
        <v>1907</v>
      </c>
      <c r="B978" s="21" t="s">
        <v>1908</v>
      </c>
      <c r="C978" s="22" t="s">
        <v>1768</v>
      </c>
      <c r="D978" s="23" t="s">
        <v>1769</v>
      </c>
      <c r="E978" s="24" t="s">
        <v>330</v>
      </c>
      <c r="F978" s="28" t="n">
        <f>124</f>
        <v>124.0</v>
      </c>
      <c r="G978" s="25" t="n">
        <f>2912</f>
        <v>2912.0</v>
      </c>
      <c r="H978" s="25"/>
      <c r="I978" s="25" t="str">
        <f>"－"</f>
        <v>－</v>
      </c>
      <c r="J978" s="25" t="n">
        <f>23</f>
        <v>23.0</v>
      </c>
      <c r="K978" s="25" t="str">
        <f>"－"</f>
        <v>－</v>
      </c>
      <c r="L978" s="2" t="s">
        <v>914</v>
      </c>
      <c r="M978" s="26" t="n">
        <f>54</f>
        <v>54.0</v>
      </c>
      <c r="N978" s="3" t="s">
        <v>285</v>
      </c>
      <c r="O978" s="27" t="n">
        <f>2</f>
        <v>2.0</v>
      </c>
      <c r="P978" s="29" t="s">
        <v>1965</v>
      </c>
      <c r="Q978" s="25"/>
      <c r="R978" s="29" t="s">
        <v>262</v>
      </c>
      <c r="S978" s="25" t="n">
        <f>6226210</f>
        <v>6226210.0</v>
      </c>
      <c r="T978" s="25" t="str">
        <f>"－"</f>
        <v>－</v>
      </c>
      <c r="U978" s="3" t="s">
        <v>693</v>
      </c>
      <c r="V978" s="27" t="n">
        <f>18985000</f>
        <v>1.8985E7</v>
      </c>
      <c r="W978" s="3" t="s">
        <v>285</v>
      </c>
      <c r="X978" s="27" t="n">
        <f>640000</f>
        <v>640000.0</v>
      </c>
      <c r="Y978" s="27" t="n">
        <f>40</f>
        <v>40.0</v>
      </c>
      <c r="Z978" s="25" t="str">
        <f>"－"</f>
        <v>－</v>
      </c>
      <c r="AA978" s="25" t="n">
        <f>10</f>
        <v>10.0</v>
      </c>
      <c r="AB978" s="2" t="s">
        <v>94</v>
      </c>
      <c r="AC978" s="26" t="n">
        <f>102</f>
        <v>102.0</v>
      </c>
      <c r="AD978" s="3" t="s">
        <v>215</v>
      </c>
      <c r="AE978" s="27" t="str">
        <f>"－"</f>
        <v>－</v>
      </c>
    </row>
    <row r="979">
      <c r="A979" s="20" t="s">
        <v>1907</v>
      </c>
      <c r="B979" s="21" t="s">
        <v>1908</v>
      </c>
      <c r="C979" s="22" t="s">
        <v>1760</v>
      </c>
      <c r="D979" s="23" t="s">
        <v>1761</v>
      </c>
      <c r="E979" s="24" t="s">
        <v>336</v>
      </c>
      <c r="F979" s="28" t="n">
        <f>122</f>
        <v>122.0</v>
      </c>
      <c r="G979" s="25" t="n">
        <f>205</f>
        <v>205.0</v>
      </c>
      <c r="H979" s="25"/>
      <c r="I979" s="25" t="str">
        <f>"－"</f>
        <v>－</v>
      </c>
      <c r="J979" s="25" t="n">
        <f>2</f>
        <v>2.0</v>
      </c>
      <c r="K979" s="25" t="str">
        <f>"－"</f>
        <v>－</v>
      </c>
      <c r="L979" s="2" t="s">
        <v>482</v>
      </c>
      <c r="M979" s="26" t="n">
        <f>10</f>
        <v>10.0</v>
      </c>
      <c r="N979" s="3" t="s">
        <v>1292</v>
      </c>
      <c r="O979" s="27" t="str">
        <f>"－"</f>
        <v>－</v>
      </c>
      <c r="P979" s="29" t="s">
        <v>1966</v>
      </c>
      <c r="Q979" s="25"/>
      <c r="R979" s="29" t="s">
        <v>262</v>
      </c>
      <c r="S979" s="25" t="n">
        <f>487254</f>
        <v>487254.0</v>
      </c>
      <c r="T979" s="25" t="str">
        <f>"－"</f>
        <v>－</v>
      </c>
      <c r="U979" s="3" t="s">
        <v>482</v>
      </c>
      <c r="V979" s="27" t="n">
        <f>2850000</f>
        <v>2850000.0</v>
      </c>
      <c r="W979" s="3" t="s">
        <v>1292</v>
      </c>
      <c r="X979" s="27" t="str">
        <f>"－"</f>
        <v>－</v>
      </c>
      <c r="Y979" s="27" t="n">
        <f>16</f>
        <v>16.0</v>
      </c>
      <c r="Z979" s="25" t="str">
        <f>"－"</f>
        <v>－</v>
      </c>
      <c r="AA979" s="25" t="n">
        <f>15</f>
        <v>15.0</v>
      </c>
      <c r="AB979" s="2" t="s">
        <v>513</v>
      </c>
      <c r="AC979" s="26" t="n">
        <f>16</f>
        <v>16.0</v>
      </c>
      <c r="AD979" s="3" t="s">
        <v>863</v>
      </c>
      <c r="AE979" s="27" t="str">
        <f>"－"</f>
        <v>－</v>
      </c>
    </row>
    <row r="980">
      <c r="A980" s="20" t="s">
        <v>1907</v>
      </c>
      <c r="B980" s="21" t="s">
        <v>1908</v>
      </c>
      <c r="C980" s="22" t="s">
        <v>1764</v>
      </c>
      <c r="D980" s="23" t="s">
        <v>1765</v>
      </c>
      <c r="E980" s="24" t="s">
        <v>336</v>
      </c>
      <c r="F980" s="28" t="n">
        <f>122</f>
        <v>122.0</v>
      </c>
      <c r="G980" s="25" t="n">
        <f>202</f>
        <v>202.0</v>
      </c>
      <c r="H980" s="25"/>
      <c r="I980" s="25" t="str">
        <f>"－"</f>
        <v>－</v>
      </c>
      <c r="J980" s="25" t="n">
        <f>2</f>
        <v>2.0</v>
      </c>
      <c r="K980" s="25" t="str">
        <f>"－"</f>
        <v>－</v>
      </c>
      <c r="L980" s="2" t="s">
        <v>482</v>
      </c>
      <c r="M980" s="26" t="n">
        <f>9</f>
        <v>9.0</v>
      </c>
      <c r="N980" s="3" t="s">
        <v>1292</v>
      </c>
      <c r="O980" s="27" t="str">
        <f>"－"</f>
        <v>－</v>
      </c>
      <c r="P980" s="29" t="s">
        <v>1967</v>
      </c>
      <c r="Q980" s="25"/>
      <c r="R980" s="29" t="s">
        <v>262</v>
      </c>
      <c r="S980" s="25" t="n">
        <f>437172</f>
        <v>437172.0</v>
      </c>
      <c r="T980" s="25" t="str">
        <f>"－"</f>
        <v>－</v>
      </c>
      <c r="U980" s="3" t="s">
        <v>482</v>
      </c>
      <c r="V980" s="27" t="n">
        <f>3025000</f>
        <v>3025000.0</v>
      </c>
      <c r="W980" s="3" t="s">
        <v>1292</v>
      </c>
      <c r="X980" s="27" t="str">
        <f>"－"</f>
        <v>－</v>
      </c>
      <c r="Y980" s="27" t="str">
        <f>"－"</f>
        <v>－</v>
      </c>
      <c r="Z980" s="25" t="str">
        <f>"－"</f>
        <v>－</v>
      </c>
      <c r="AA980" s="25" t="n">
        <f>13</f>
        <v>13.0</v>
      </c>
      <c r="AB980" s="2" t="s">
        <v>739</v>
      </c>
      <c r="AC980" s="26" t="n">
        <f>14</f>
        <v>14.0</v>
      </c>
      <c r="AD980" s="3" t="s">
        <v>147</v>
      </c>
      <c r="AE980" s="27" t="str">
        <f>"－"</f>
        <v>－</v>
      </c>
    </row>
    <row r="981">
      <c r="A981" s="20" t="s">
        <v>1907</v>
      </c>
      <c r="B981" s="21" t="s">
        <v>1908</v>
      </c>
      <c r="C981" s="22" t="s">
        <v>1768</v>
      </c>
      <c r="D981" s="23" t="s">
        <v>1769</v>
      </c>
      <c r="E981" s="24" t="s">
        <v>336</v>
      </c>
      <c r="F981" s="28" t="n">
        <f>122</f>
        <v>122.0</v>
      </c>
      <c r="G981" s="25" t="n">
        <f>407</f>
        <v>407.0</v>
      </c>
      <c r="H981" s="25"/>
      <c r="I981" s="25" t="str">
        <f>"－"</f>
        <v>－</v>
      </c>
      <c r="J981" s="25" t="n">
        <f>3</f>
        <v>3.0</v>
      </c>
      <c r="K981" s="25" t="str">
        <f>"－"</f>
        <v>－</v>
      </c>
      <c r="L981" s="2" t="s">
        <v>482</v>
      </c>
      <c r="M981" s="26" t="n">
        <f>19</f>
        <v>19.0</v>
      </c>
      <c r="N981" s="3" t="s">
        <v>1292</v>
      </c>
      <c r="O981" s="27" t="str">
        <f>"－"</f>
        <v>－</v>
      </c>
      <c r="P981" s="29" t="s">
        <v>1968</v>
      </c>
      <c r="Q981" s="25"/>
      <c r="R981" s="29" t="s">
        <v>262</v>
      </c>
      <c r="S981" s="25" t="n">
        <f>924426</f>
        <v>924426.0</v>
      </c>
      <c r="T981" s="25" t="str">
        <f>"－"</f>
        <v>－</v>
      </c>
      <c r="U981" s="3" t="s">
        <v>482</v>
      </c>
      <c r="V981" s="27" t="n">
        <f>5875000</f>
        <v>5875000.0</v>
      </c>
      <c r="W981" s="3" t="s">
        <v>1292</v>
      </c>
      <c r="X981" s="27" t="str">
        <f>"－"</f>
        <v>－</v>
      </c>
      <c r="Y981" s="27" t="n">
        <f>16</f>
        <v>16.0</v>
      </c>
      <c r="Z981" s="25" t="str">
        <f>"－"</f>
        <v>－</v>
      </c>
      <c r="AA981" s="25" t="n">
        <f>28</f>
        <v>28.0</v>
      </c>
      <c r="AB981" s="2" t="s">
        <v>739</v>
      </c>
      <c r="AC981" s="26" t="n">
        <f>30</f>
        <v>30.0</v>
      </c>
      <c r="AD981" s="3" t="s">
        <v>863</v>
      </c>
      <c r="AE981" s="27" t="str">
        <f>"－"</f>
        <v>－</v>
      </c>
    </row>
    <row r="982">
      <c r="A982" s="20" t="s">
        <v>1907</v>
      </c>
      <c r="B982" s="21" t="s">
        <v>1908</v>
      </c>
      <c r="C982" s="22" t="s">
        <v>1760</v>
      </c>
      <c r="D982" s="23" t="s">
        <v>1761</v>
      </c>
      <c r="E982" s="24" t="s">
        <v>338</v>
      </c>
      <c r="F982" s="28" t="n">
        <f>125</f>
        <v>125.0</v>
      </c>
      <c r="G982" s="25" t="n">
        <f>125</f>
        <v>125.0</v>
      </c>
      <c r="H982" s="25"/>
      <c r="I982" s="25" t="str">
        <f>"－"</f>
        <v>－</v>
      </c>
      <c r="J982" s="25" t="n">
        <f>1</f>
        <v>1.0</v>
      </c>
      <c r="K982" s="25" t="str">
        <f>"－"</f>
        <v>－</v>
      </c>
      <c r="L982" s="2" t="s">
        <v>735</v>
      </c>
      <c r="M982" s="26" t="n">
        <f>3</f>
        <v>3.0</v>
      </c>
      <c r="N982" s="3" t="s">
        <v>923</v>
      </c>
      <c r="O982" s="27" t="str">
        <f>"－"</f>
        <v>－</v>
      </c>
      <c r="P982" s="29" t="s">
        <v>1969</v>
      </c>
      <c r="Q982" s="25"/>
      <c r="R982" s="29" t="s">
        <v>262</v>
      </c>
      <c r="S982" s="25" t="n">
        <f>268720</f>
        <v>268720.0</v>
      </c>
      <c r="T982" s="25" t="str">
        <f>"－"</f>
        <v>－</v>
      </c>
      <c r="U982" s="3" t="s">
        <v>529</v>
      </c>
      <c r="V982" s="27" t="n">
        <f>620000</f>
        <v>620000.0</v>
      </c>
      <c r="W982" s="3" t="s">
        <v>923</v>
      </c>
      <c r="X982" s="27" t="str">
        <f>"－"</f>
        <v>－</v>
      </c>
      <c r="Y982" s="27" t="n">
        <f>10</f>
        <v>10.0</v>
      </c>
      <c r="Z982" s="25" t="str">
        <f>"－"</f>
        <v>－</v>
      </c>
      <c r="AA982" s="25" t="n">
        <f>1</f>
        <v>1.0</v>
      </c>
      <c r="AB982" s="2" t="s">
        <v>68</v>
      </c>
      <c r="AC982" s="26" t="n">
        <f>16</f>
        <v>16.0</v>
      </c>
      <c r="AD982" s="3" t="s">
        <v>1300</v>
      </c>
      <c r="AE982" s="27" t="str">
        <f>"－"</f>
        <v>－</v>
      </c>
    </row>
    <row r="983">
      <c r="A983" s="20" t="s">
        <v>1907</v>
      </c>
      <c r="B983" s="21" t="s">
        <v>1908</v>
      </c>
      <c r="C983" s="22" t="s">
        <v>1764</v>
      </c>
      <c r="D983" s="23" t="s">
        <v>1765</v>
      </c>
      <c r="E983" s="24" t="s">
        <v>338</v>
      </c>
      <c r="F983" s="28" t="n">
        <f>125</f>
        <v>125.0</v>
      </c>
      <c r="G983" s="25" t="n">
        <f>123</f>
        <v>123.0</v>
      </c>
      <c r="H983" s="25"/>
      <c r="I983" s="25" t="str">
        <f>"－"</f>
        <v>－</v>
      </c>
      <c r="J983" s="25" t="n">
        <f>1</f>
        <v>1.0</v>
      </c>
      <c r="K983" s="25" t="str">
        <f>"－"</f>
        <v>－</v>
      </c>
      <c r="L983" s="2" t="s">
        <v>529</v>
      </c>
      <c r="M983" s="26" t="n">
        <f>2</f>
        <v>2.0</v>
      </c>
      <c r="N983" s="3" t="s">
        <v>923</v>
      </c>
      <c r="O983" s="27" t="str">
        <f>"－"</f>
        <v>－</v>
      </c>
      <c r="P983" s="29" t="s">
        <v>1970</v>
      </c>
      <c r="Q983" s="25"/>
      <c r="R983" s="29" t="s">
        <v>262</v>
      </c>
      <c r="S983" s="25" t="n">
        <f>231520</f>
        <v>231520.0</v>
      </c>
      <c r="T983" s="25" t="str">
        <f>"－"</f>
        <v>－</v>
      </c>
      <c r="U983" s="3" t="s">
        <v>1379</v>
      </c>
      <c r="V983" s="27" t="n">
        <f>600000</f>
        <v>600000.0</v>
      </c>
      <c r="W983" s="3" t="s">
        <v>923</v>
      </c>
      <c r="X983" s="27" t="str">
        <f>"－"</f>
        <v>－</v>
      </c>
      <c r="Y983" s="27" t="n">
        <f>4</f>
        <v>4.0</v>
      </c>
      <c r="Z983" s="25" t="str">
        <f>"－"</f>
        <v>－</v>
      </c>
      <c r="AA983" s="25" t="str">
        <f>"－"</f>
        <v>－</v>
      </c>
      <c r="AB983" s="2" t="s">
        <v>68</v>
      </c>
      <c r="AC983" s="26" t="n">
        <f>14</f>
        <v>14.0</v>
      </c>
      <c r="AD983" s="3" t="s">
        <v>280</v>
      </c>
      <c r="AE983" s="27" t="str">
        <f>"－"</f>
        <v>－</v>
      </c>
    </row>
    <row r="984">
      <c r="A984" s="20" t="s">
        <v>1907</v>
      </c>
      <c r="B984" s="21" t="s">
        <v>1908</v>
      </c>
      <c r="C984" s="22" t="s">
        <v>1768</v>
      </c>
      <c r="D984" s="23" t="s">
        <v>1769</v>
      </c>
      <c r="E984" s="24" t="s">
        <v>338</v>
      </c>
      <c r="F984" s="28" t="n">
        <f>125</f>
        <v>125.0</v>
      </c>
      <c r="G984" s="25" t="n">
        <f>248</f>
        <v>248.0</v>
      </c>
      <c r="H984" s="25"/>
      <c r="I984" s="25" t="str">
        <f>"－"</f>
        <v>－</v>
      </c>
      <c r="J984" s="25" t="n">
        <f>2</f>
        <v>2.0</v>
      </c>
      <c r="K984" s="25" t="str">
        <f>"－"</f>
        <v>－</v>
      </c>
      <c r="L984" s="2" t="s">
        <v>529</v>
      </c>
      <c r="M984" s="26" t="n">
        <f>4</f>
        <v>4.0</v>
      </c>
      <c r="N984" s="3" t="s">
        <v>923</v>
      </c>
      <c r="O984" s="27" t="str">
        <f>"－"</f>
        <v>－</v>
      </c>
      <c r="P984" s="29" t="s">
        <v>1971</v>
      </c>
      <c r="Q984" s="25"/>
      <c r="R984" s="29" t="s">
        <v>262</v>
      </c>
      <c r="S984" s="25" t="n">
        <f>500240</f>
        <v>500240.0</v>
      </c>
      <c r="T984" s="25" t="str">
        <f>"－"</f>
        <v>－</v>
      </c>
      <c r="U984" s="3" t="s">
        <v>529</v>
      </c>
      <c r="V984" s="27" t="n">
        <f>1010000</f>
        <v>1010000.0</v>
      </c>
      <c r="W984" s="3" t="s">
        <v>923</v>
      </c>
      <c r="X984" s="27" t="str">
        <f>"－"</f>
        <v>－</v>
      </c>
      <c r="Y984" s="27" t="n">
        <f>14</f>
        <v>14.0</v>
      </c>
      <c r="Z984" s="25" t="str">
        <f>"－"</f>
        <v>－</v>
      </c>
      <c r="AA984" s="25" t="n">
        <f>1</f>
        <v>1.0</v>
      </c>
      <c r="AB984" s="2" t="s">
        <v>68</v>
      </c>
      <c r="AC984" s="26" t="n">
        <f>30</f>
        <v>30.0</v>
      </c>
      <c r="AD984" s="3" t="s">
        <v>1300</v>
      </c>
      <c r="AE984" s="27" t="str">
        <f>"－"</f>
        <v>－</v>
      </c>
    </row>
    <row r="985">
      <c r="A985" s="20" t="s">
        <v>1907</v>
      </c>
      <c r="B985" s="21" t="s">
        <v>1908</v>
      </c>
      <c r="C985" s="22" t="s">
        <v>1760</v>
      </c>
      <c r="D985" s="23" t="s">
        <v>1761</v>
      </c>
      <c r="E985" s="24" t="s">
        <v>342</v>
      </c>
      <c r="F985" s="28" t="n">
        <f>121</f>
        <v>121.0</v>
      </c>
      <c r="G985" s="25" t="n">
        <f>120</f>
        <v>120.0</v>
      </c>
      <c r="H985" s="25"/>
      <c r="I985" s="25" t="str">
        <f>"－"</f>
        <v>－</v>
      </c>
      <c r="J985" s="25" t="n">
        <f>1</f>
        <v>1.0</v>
      </c>
      <c r="K985" s="25" t="str">
        <f>"－"</f>
        <v>－</v>
      </c>
      <c r="L985" s="2" t="s">
        <v>291</v>
      </c>
      <c r="M985" s="26" t="n">
        <f>3</f>
        <v>3.0</v>
      </c>
      <c r="N985" s="3" t="s">
        <v>369</v>
      </c>
      <c r="O985" s="27" t="str">
        <f>"－"</f>
        <v>－</v>
      </c>
      <c r="P985" s="29" t="s">
        <v>1972</v>
      </c>
      <c r="Q985" s="25"/>
      <c r="R985" s="29" t="s">
        <v>262</v>
      </c>
      <c r="S985" s="25" t="n">
        <f>231901</f>
        <v>231901.0</v>
      </c>
      <c r="T985" s="25" t="str">
        <f>"－"</f>
        <v>－</v>
      </c>
      <c r="U985" s="3" t="s">
        <v>188</v>
      </c>
      <c r="V985" s="27" t="n">
        <f>760000</f>
        <v>760000.0</v>
      </c>
      <c r="W985" s="3" t="s">
        <v>369</v>
      </c>
      <c r="X985" s="27" t="str">
        <f>"－"</f>
        <v>－</v>
      </c>
      <c r="Y985" s="27" t="n">
        <f>1</f>
        <v>1.0</v>
      </c>
      <c r="Z985" s="25" t="str">
        <f>"－"</f>
        <v>－</v>
      </c>
      <c r="AA985" s="25" t="str">
        <f>"－"</f>
        <v>－</v>
      </c>
      <c r="AB985" s="2" t="s">
        <v>180</v>
      </c>
      <c r="AC985" s="26" t="n">
        <f>5</f>
        <v>5.0</v>
      </c>
      <c r="AD985" s="3" t="s">
        <v>565</v>
      </c>
      <c r="AE985" s="27" t="str">
        <f>"－"</f>
        <v>－</v>
      </c>
    </row>
    <row r="986">
      <c r="A986" s="20" t="s">
        <v>1907</v>
      </c>
      <c r="B986" s="21" t="s">
        <v>1908</v>
      </c>
      <c r="C986" s="22" t="s">
        <v>1764</v>
      </c>
      <c r="D986" s="23" t="s">
        <v>1765</v>
      </c>
      <c r="E986" s="24" t="s">
        <v>342</v>
      </c>
      <c r="F986" s="28" t="n">
        <f>121</f>
        <v>121.0</v>
      </c>
      <c r="G986" s="25" t="n">
        <f>121</f>
        <v>121.0</v>
      </c>
      <c r="H986" s="25"/>
      <c r="I986" s="25" t="str">
        <f>"－"</f>
        <v>－</v>
      </c>
      <c r="J986" s="25" t="n">
        <f>1</f>
        <v>1.0</v>
      </c>
      <c r="K986" s="25" t="str">
        <f>"－"</f>
        <v>－</v>
      </c>
      <c r="L986" s="2" t="s">
        <v>217</v>
      </c>
      <c r="M986" s="26" t="n">
        <f>5</f>
        <v>5.0</v>
      </c>
      <c r="N986" s="3" t="s">
        <v>369</v>
      </c>
      <c r="O986" s="27" t="str">
        <f>"－"</f>
        <v>－</v>
      </c>
      <c r="P986" s="29" t="s">
        <v>1973</v>
      </c>
      <c r="Q986" s="25"/>
      <c r="R986" s="29" t="s">
        <v>262</v>
      </c>
      <c r="S986" s="25" t="n">
        <f>214628</f>
        <v>214628.0</v>
      </c>
      <c r="T986" s="25" t="str">
        <f>"－"</f>
        <v>－</v>
      </c>
      <c r="U986" s="3" t="s">
        <v>217</v>
      </c>
      <c r="V986" s="27" t="n">
        <f>800000</f>
        <v>800000.0</v>
      </c>
      <c r="W986" s="3" t="s">
        <v>369</v>
      </c>
      <c r="X986" s="27" t="str">
        <f>"－"</f>
        <v>－</v>
      </c>
      <c r="Y986" s="27" t="n">
        <f>1</f>
        <v>1.0</v>
      </c>
      <c r="Z986" s="25" t="str">
        <f>"－"</f>
        <v>－</v>
      </c>
      <c r="AA986" s="25" t="str">
        <f>"－"</f>
        <v>－</v>
      </c>
      <c r="AB986" s="2" t="s">
        <v>180</v>
      </c>
      <c r="AC986" s="26" t="n">
        <f>2</f>
        <v>2.0</v>
      </c>
      <c r="AD986" s="3" t="s">
        <v>147</v>
      </c>
      <c r="AE986" s="27" t="str">
        <f>"－"</f>
        <v>－</v>
      </c>
    </row>
    <row r="987">
      <c r="A987" s="20" t="s">
        <v>1907</v>
      </c>
      <c r="B987" s="21" t="s">
        <v>1908</v>
      </c>
      <c r="C987" s="22" t="s">
        <v>1768</v>
      </c>
      <c r="D987" s="23" t="s">
        <v>1769</v>
      </c>
      <c r="E987" s="24" t="s">
        <v>342</v>
      </c>
      <c r="F987" s="28" t="n">
        <f>121</f>
        <v>121.0</v>
      </c>
      <c r="G987" s="25" t="n">
        <f>241</f>
        <v>241.0</v>
      </c>
      <c r="H987" s="25"/>
      <c r="I987" s="25" t="str">
        <f>"－"</f>
        <v>－</v>
      </c>
      <c r="J987" s="25" t="n">
        <f>2</f>
        <v>2.0</v>
      </c>
      <c r="K987" s="25" t="str">
        <f>"－"</f>
        <v>－</v>
      </c>
      <c r="L987" s="2" t="s">
        <v>217</v>
      </c>
      <c r="M987" s="26" t="n">
        <f>6</f>
        <v>6.0</v>
      </c>
      <c r="N987" s="3" t="s">
        <v>369</v>
      </c>
      <c r="O987" s="27" t="str">
        <f>"－"</f>
        <v>－</v>
      </c>
      <c r="P987" s="29" t="s">
        <v>1974</v>
      </c>
      <c r="Q987" s="25"/>
      <c r="R987" s="29" t="s">
        <v>262</v>
      </c>
      <c r="S987" s="25" t="n">
        <f>446529</f>
        <v>446529.0</v>
      </c>
      <c r="T987" s="25" t="str">
        <f>"－"</f>
        <v>－</v>
      </c>
      <c r="U987" s="3" t="s">
        <v>217</v>
      </c>
      <c r="V987" s="27" t="n">
        <f>1280000</f>
        <v>1280000.0</v>
      </c>
      <c r="W987" s="3" t="s">
        <v>369</v>
      </c>
      <c r="X987" s="27" t="str">
        <f>"－"</f>
        <v>－</v>
      </c>
      <c r="Y987" s="27" t="n">
        <f>2</f>
        <v>2.0</v>
      </c>
      <c r="Z987" s="25" t="str">
        <f>"－"</f>
        <v>－</v>
      </c>
      <c r="AA987" s="25" t="str">
        <f>"－"</f>
        <v>－</v>
      </c>
      <c r="AB987" s="2" t="s">
        <v>180</v>
      </c>
      <c r="AC987" s="26" t="n">
        <f>7</f>
        <v>7.0</v>
      </c>
      <c r="AD987" s="3" t="s">
        <v>565</v>
      </c>
      <c r="AE987" s="27" t="str">
        <f>"－"</f>
        <v>－</v>
      </c>
    </row>
    <row r="988">
      <c r="A988" s="20" t="s">
        <v>1907</v>
      </c>
      <c r="B988" s="21" t="s">
        <v>1908</v>
      </c>
      <c r="C988" s="22" t="s">
        <v>1760</v>
      </c>
      <c r="D988" s="23" t="s">
        <v>1761</v>
      </c>
      <c r="E988" s="24" t="s">
        <v>347</v>
      </c>
      <c r="F988" s="28" t="n">
        <f>124</f>
        <v>124.0</v>
      </c>
      <c r="G988" s="25" t="n">
        <f>1357</f>
        <v>1357.0</v>
      </c>
      <c r="H988" s="25"/>
      <c r="I988" s="25" t="str">
        <f>"－"</f>
        <v>－</v>
      </c>
      <c r="J988" s="25" t="n">
        <f>11</f>
        <v>11.0</v>
      </c>
      <c r="K988" s="25" t="str">
        <f>"－"</f>
        <v>－</v>
      </c>
      <c r="L988" s="2" t="s">
        <v>976</v>
      </c>
      <c r="M988" s="26" t="n">
        <f>501</f>
        <v>501.0</v>
      </c>
      <c r="N988" s="3" t="s">
        <v>332</v>
      </c>
      <c r="O988" s="27" t="str">
        <f>"－"</f>
        <v>－</v>
      </c>
      <c r="P988" s="29" t="s">
        <v>1975</v>
      </c>
      <c r="Q988" s="25"/>
      <c r="R988" s="29" t="s">
        <v>262</v>
      </c>
      <c r="S988" s="25" t="n">
        <f>3305887</f>
        <v>3305887.0</v>
      </c>
      <c r="T988" s="25" t="str">
        <f>"－"</f>
        <v>－</v>
      </c>
      <c r="U988" s="3" t="s">
        <v>64</v>
      </c>
      <c r="V988" s="27" t="n">
        <f>139520000</f>
        <v>1.3952E8</v>
      </c>
      <c r="W988" s="3" t="s">
        <v>332</v>
      </c>
      <c r="X988" s="27" t="str">
        <f>"－"</f>
        <v>－</v>
      </c>
      <c r="Y988" s="27" t="str">
        <f>"－"</f>
        <v>－</v>
      </c>
      <c r="Z988" s="25" t="str">
        <f>"－"</f>
        <v>－</v>
      </c>
      <c r="AA988" s="25" t="n">
        <f>1239</f>
        <v>1239.0</v>
      </c>
      <c r="AB988" s="2" t="s">
        <v>269</v>
      </c>
      <c r="AC988" s="26" t="n">
        <f>1239</f>
        <v>1239.0</v>
      </c>
      <c r="AD988" s="3" t="s">
        <v>215</v>
      </c>
      <c r="AE988" s="27" t="str">
        <f>"－"</f>
        <v>－</v>
      </c>
    </row>
    <row r="989">
      <c r="A989" s="20" t="s">
        <v>1907</v>
      </c>
      <c r="B989" s="21" t="s">
        <v>1908</v>
      </c>
      <c r="C989" s="22" t="s">
        <v>1764</v>
      </c>
      <c r="D989" s="23" t="s">
        <v>1765</v>
      </c>
      <c r="E989" s="24" t="s">
        <v>347</v>
      </c>
      <c r="F989" s="28" t="n">
        <f>124</f>
        <v>124.0</v>
      </c>
      <c r="G989" s="25" t="n">
        <f>432</f>
        <v>432.0</v>
      </c>
      <c r="H989" s="25"/>
      <c r="I989" s="25" t="str">
        <f>"－"</f>
        <v>－</v>
      </c>
      <c r="J989" s="25" t="n">
        <f>3</f>
        <v>3.0</v>
      </c>
      <c r="K989" s="25" t="str">
        <f>"－"</f>
        <v>－</v>
      </c>
      <c r="L989" s="2" t="s">
        <v>269</v>
      </c>
      <c r="M989" s="26" t="n">
        <f>301</f>
        <v>301.0</v>
      </c>
      <c r="N989" s="3" t="s">
        <v>332</v>
      </c>
      <c r="O989" s="27" t="str">
        <f>"－"</f>
        <v>－</v>
      </c>
      <c r="P989" s="29" t="s">
        <v>1976</v>
      </c>
      <c r="Q989" s="25"/>
      <c r="R989" s="29" t="s">
        <v>262</v>
      </c>
      <c r="S989" s="25" t="n">
        <f>1123306</f>
        <v>1123306.0</v>
      </c>
      <c r="T989" s="25" t="str">
        <f>"－"</f>
        <v>－</v>
      </c>
      <c r="U989" s="3" t="s">
        <v>269</v>
      </c>
      <c r="V989" s="27" t="n">
        <f>106750000</f>
        <v>1.0675E8</v>
      </c>
      <c r="W989" s="3" t="s">
        <v>332</v>
      </c>
      <c r="X989" s="27" t="str">
        <f>"－"</f>
        <v>－</v>
      </c>
      <c r="Y989" s="27" t="str">
        <f>"－"</f>
        <v>－</v>
      </c>
      <c r="Z989" s="25" t="str">
        <f>"－"</f>
        <v>－</v>
      </c>
      <c r="AA989" s="25" t="n">
        <f>320</f>
        <v>320.0</v>
      </c>
      <c r="AB989" s="2" t="s">
        <v>269</v>
      </c>
      <c r="AC989" s="26" t="n">
        <f>320</f>
        <v>320.0</v>
      </c>
      <c r="AD989" s="3" t="s">
        <v>215</v>
      </c>
      <c r="AE989" s="27" t="str">
        <f>"－"</f>
        <v>－</v>
      </c>
    </row>
    <row r="990">
      <c r="A990" s="20" t="s">
        <v>1907</v>
      </c>
      <c r="B990" s="21" t="s">
        <v>1908</v>
      </c>
      <c r="C990" s="22" t="s">
        <v>1768</v>
      </c>
      <c r="D990" s="23" t="s">
        <v>1769</v>
      </c>
      <c r="E990" s="24" t="s">
        <v>347</v>
      </c>
      <c r="F990" s="28" t="n">
        <f>124</f>
        <v>124.0</v>
      </c>
      <c r="G990" s="25" t="n">
        <f>1789</f>
        <v>1789.0</v>
      </c>
      <c r="H990" s="25"/>
      <c r="I990" s="25" t="str">
        <f>"－"</f>
        <v>－</v>
      </c>
      <c r="J990" s="25" t="n">
        <f>14</f>
        <v>14.0</v>
      </c>
      <c r="K990" s="25" t="str">
        <f>"－"</f>
        <v>－</v>
      </c>
      <c r="L990" s="2" t="s">
        <v>269</v>
      </c>
      <c r="M990" s="26" t="n">
        <f>502</f>
        <v>502.0</v>
      </c>
      <c r="N990" s="3" t="s">
        <v>332</v>
      </c>
      <c r="O990" s="27" t="str">
        <f>"－"</f>
        <v>－</v>
      </c>
      <c r="P990" s="29" t="s">
        <v>1977</v>
      </c>
      <c r="Q990" s="25"/>
      <c r="R990" s="29" t="s">
        <v>262</v>
      </c>
      <c r="S990" s="25" t="n">
        <f>4429194</f>
        <v>4429194.0</v>
      </c>
      <c r="T990" s="25" t="str">
        <f>"－"</f>
        <v>－</v>
      </c>
      <c r="U990" s="3" t="s">
        <v>269</v>
      </c>
      <c r="V990" s="27" t="n">
        <f>167600000</f>
        <v>1.676E8</v>
      </c>
      <c r="W990" s="3" t="s">
        <v>332</v>
      </c>
      <c r="X990" s="27" t="str">
        <f>"－"</f>
        <v>－</v>
      </c>
      <c r="Y990" s="27" t="str">
        <f>"－"</f>
        <v>－</v>
      </c>
      <c r="Z990" s="25" t="str">
        <f>"－"</f>
        <v>－</v>
      </c>
      <c r="AA990" s="25" t="n">
        <f>1559</f>
        <v>1559.0</v>
      </c>
      <c r="AB990" s="2" t="s">
        <v>269</v>
      </c>
      <c r="AC990" s="26" t="n">
        <f>1559</f>
        <v>1559.0</v>
      </c>
      <c r="AD990" s="3" t="s">
        <v>215</v>
      </c>
      <c r="AE990" s="27" t="str">
        <f>"－"</f>
        <v>－</v>
      </c>
    </row>
    <row r="991">
      <c r="A991" s="20" t="s">
        <v>1907</v>
      </c>
      <c r="B991" s="21" t="s">
        <v>1908</v>
      </c>
      <c r="C991" s="22" t="s">
        <v>1760</v>
      </c>
      <c r="D991" s="23" t="s">
        <v>1761</v>
      </c>
      <c r="E991" s="24" t="s">
        <v>351</v>
      </c>
      <c r="F991" s="28" t="n">
        <f>123</f>
        <v>123.0</v>
      </c>
      <c r="G991" s="25" t="n">
        <f>1125</f>
        <v>1125.0</v>
      </c>
      <c r="H991" s="25"/>
      <c r="I991" s="25" t="str">
        <f>"－"</f>
        <v>－</v>
      </c>
      <c r="J991" s="25" t="n">
        <f>9</f>
        <v>9.0</v>
      </c>
      <c r="K991" s="25" t="str">
        <f>"－"</f>
        <v>－</v>
      </c>
      <c r="L991" s="2" t="s">
        <v>369</v>
      </c>
      <c r="M991" s="26" t="n">
        <f>500</f>
        <v>500.0</v>
      </c>
      <c r="N991" s="3" t="s">
        <v>156</v>
      </c>
      <c r="O991" s="27" t="str">
        <f>"－"</f>
        <v>－</v>
      </c>
      <c r="P991" s="29" t="s">
        <v>1978</v>
      </c>
      <c r="Q991" s="25"/>
      <c r="R991" s="29" t="s">
        <v>262</v>
      </c>
      <c r="S991" s="25" t="n">
        <f>3149959</f>
        <v>3149959.0</v>
      </c>
      <c r="T991" s="25" t="str">
        <f>"－"</f>
        <v>－</v>
      </c>
      <c r="U991" s="3" t="s">
        <v>369</v>
      </c>
      <c r="V991" s="27" t="n">
        <f>137500000</f>
        <v>1.375E8</v>
      </c>
      <c r="W991" s="3" t="s">
        <v>156</v>
      </c>
      <c r="X991" s="27" t="str">
        <f>"－"</f>
        <v>－</v>
      </c>
      <c r="Y991" s="27" t="n">
        <f>45</f>
        <v>45.0</v>
      </c>
      <c r="Z991" s="25" t="str">
        <f>"－"</f>
        <v>－</v>
      </c>
      <c r="AA991" s="25" t="n">
        <f>15</f>
        <v>15.0</v>
      </c>
      <c r="AB991" s="2" t="s">
        <v>328</v>
      </c>
      <c r="AC991" s="26" t="n">
        <f>1280</f>
        <v>1280.0</v>
      </c>
      <c r="AD991" s="3" t="s">
        <v>950</v>
      </c>
      <c r="AE991" s="27" t="n">
        <f>10</f>
        <v>10.0</v>
      </c>
    </row>
    <row r="992">
      <c r="A992" s="20" t="s">
        <v>1907</v>
      </c>
      <c r="B992" s="21" t="s">
        <v>1908</v>
      </c>
      <c r="C992" s="22" t="s">
        <v>1764</v>
      </c>
      <c r="D992" s="23" t="s">
        <v>1765</v>
      </c>
      <c r="E992" s="24" t="s">
        <v>351</v>
      </c>
      <c r="F992" s="28" t="n">
        <f>123</f>
        <v>123.0</v>
      </c>
      <c r="G992" s="25" t="n">
        <f>1039</f>
        <v>1039.0</v>
      </c>
      <c r="H992" s="25"/>
      <c r="I992" s="25" t="str">
        <f>"－"</f>
        <v>－</v>
      </c>
      <c r="J992" s="25" t="n">
        <f>8</f>
        <v>8.0</v>
      </c>
      <c r="K992" s="25" t="str">
        <f>"－"</f>
        <v>－</v>
      </c>
      <c r="L992" s="2" t="s">
        <v>873</v>
      </c>
      <c r="M992" s="26" t="n">
        <f>345</f>
        <v>345.0</v>
      </c>
      <c r="N992" s="3" t="s">
        <v>156</v>
      </c>
      <c r="O992" s="27" t="str">
        <f>"－"</f>
        <v>－</v>
      </c>
      <c r="P992" s="29" t="s">
        <v>1979</v>
      </c>
      <c r="Q992" s="25"/>
      <c r="R992" s="29" t="s">
        <v>262</v>
      </c>
      <c r="S992" s="25" t="n">
        <f>4280813</f>
        <v>4280813.0</v>
      </c>
      <c r="T992" s="25" t="str">
        <f>"－"</f>
        <v>－</v>
      </c>
      <c r="U992" s="3" t="s">
        <v>193</v>
      </c>
      <c r="V992" s="27" t="n">
        <f>276000000</f>
        <v>2.76E8</v>
      </c>
      <c r="W992" s="3" t="s">
        <v>156</v>
      </c>
      <c r="X992" s="27" t="str">
        <f>"－"</f>
        <v>－</v>
      </c>
      <c r="Y992" s="27" t="n">
        <f>16</f>
        <v>16.0</v>
      </c>
      <c r="Z992" s="25" t="str">
        <f>"－"</f>
        <v>－</v>
      </c>
      <c r="AA992" s="25" t="str">
        <f>"－"</f>
        <v>－</v>
      </c>
      <c r="AB992" s="2" t="s">
        <v>448</v>
      </c>
      <c r="AC992" s="26" t="n">
        <f>667</f>
        <v>667.0</v>
      </c>
      <c r="AD992" s="3" t="s">
        <v>1283</v>
      </c>
      <c r="AE992" s="27" t="str">
        <f>"－"</f>
        <v>－</v>
      </c>
    </row>
    <row r="993">
      <c r="A993" s="20" t="s">
        <v>1907</v>
      </c>
      <c r="B993" s="21" t="s">
        <v>1908</v>
      </c>
      <c r="C993" s="22" t="s">
        <v>1768</v>
      </c>
      <c r="D993" s="23" t="s">
        <v>1769</v>
      </c>
      <c r="E993" s="24" t="s">
        <v>351</v>
      </c>
      <c r="F993" s="28" t="n">
        <f>123</f>
        <v>123.0</v>
      </c>
      <c r="G993" s="25" t="n">
        <f>2164</f>
        <v>2164.0</v>
      </c>
      <c r="H993" s="25"/>
      <c r="I993" s="25" t="str">
        <f>"－"</f>
        <v>－</v>
      </c>
      <c r="J993" s="25" t="n">
        <f>18</f>
        <v>18.0</v>
      </c>
      <c r="K993" s="25" t="str">
        <f>"－"</f>
        <v>－</v>
      </c>
      <c r="L993" s="2" t="s">
        <v>369</v>
      </c>
      <c r="M993" s="26" t="n">
        <f>500</f>
        <v>500.0</v>
      </c>
      <c r="N993" s="3" t="s">
        <v>156</v>
      </c>
      <c r="O993" s="27" t="str">
        <f>"－"</f>
        <v>－</v>
      </c>
      <c r="P993" s="29" t="s">
        <v>1980</v>
      </c>
      <c r="Q993" s="25"/>
      <c r="R993" s="29" t="s">
        <v>262</v>
      </c>
      <c r="S993" s="25" t="n">
        <f>7430772</f>
        <v>7430772.0</v>
      </c>
      <c r="T993" s="25" t="str">
        <f>"－"</f>
        <v>－</v>
      </c>
      <c r="U993" s="3" t="s">
        <v>193</v>
      </c>
      <c r="V993" s="27" t="n">
        <f>276740000</f>
        <v>2.7674E8</v>
      </c>
      <c r="W993" s="3" t="s">
        <v>156</v>
      </c>
      <c r="X993" s="27" t="str">
        <f>"－"</f>
        <v>－</v>
      </c>
      <c r="Y993" s="27" t="n">
        <f>61</f>
        <v>61.0</v>
      </c>
      <c r="Z993" s="25" t="str">
        <f>"－"</f>
        <v>－</v>
      </c>
      <c r="AA993" s="25" t="n">
        <f>15</f>
        <v>15.0</v>
      </c>
      <c r="AB993" s="2" t="s">
        <v>328</v>
      </c>
      <c r="AC993" s="26" t="n">
        <f>1601</f>
        <v>1601.0</v>
      </c>
      <c r="AD993" s="3" t="s">
        <v>950</v>
      </c>
      <c r="AE993" s="27" t="n">
        <f>10</f>
        <v>10.0</v>
      </c>
    </row>
    <row r="994">
      <c r="A994" s="20" t="s">
        <v>1907</v>
      </c>
      <c r="B994" s="21" t="s">
        <v>1908</v>
      </c>
      <c r="C994" s="22" t="s">
        <v>1760</v>
      </c>
      <c r="D994" s="23" t="s">
        <v>1761</v>
      </c>
      <c r="E994" s="24" t="s">
        <v>354</v>
      </c>
      <c r="F994" s="28" t="n">
        <f>125</f>
        <v>125.0</v>
      </c>
      <c r="G994" s="25" t="n">
        <f>110</f>
        <v>110.0</v>
      </c>
      <c r="H994" s="25"/>
      <c r="I994" s="25" t="str">
        <f>"－"</f>
        <v>－</v>
      </c>
      <c r="J994" s="25" t="n">
        <f>1</f>
        <v>1.0</v>
      </c>
      <c r="K994" s="25" t="str">
        <f>"－"</f>
        <v>－</v>
      </c>
      <c r="L994" s="2" t="s">
        <v>968</v>
      </c>
      <c r="M994" s="26" t="n">
        <f>21</f>
        <v>21.0</v>
      </c>
      <c r="N994" s="3" t="s">
        <v>972</v>
      </c>
      <c r="O994" s="27" t="str">
        <f>"－"</f>
        <v>－</v>
      </c>
      <c r="P994" s="29" t="s">
        <v>1981</v>
      </c>
      <c r="Q994" s="25"/>
      <c r="R994" s="29" t="s">
        <v>262</v>
      </c>
      <c r="S994" s="25" t="n">
        <f>415000</f>
        <v>415000.0</v>
      </c>
      <c r="T994" s="25" t="str">
        <f>"－"</f>
        <v>－</v>
      </c>
      <c r="U994" s="3" t="s">
        <v>1331</v>
      </c>
      <c r="V994" s="27" t="n">
        <f>10780000</f>
        <v>1.078E7</v>
      </c>
      <c r="W994" s="3" t="s">
        <v>972</v>
      </c>
      <c r="X994" s="27" t="str">
        <f>"－"</f>
        <v>－</v>
      </c>
      <c r="Y994" s="27" t="str">
        <f>"－"</f>
        <v>－</v>
      </c>
      <c r="Z994" s="25" t="str">
        <f>"－"</f>
        <v>－</v>
      </c>
      <c r="AA994" s="25" t="str">
        <f>"－"</f>
        <v>－</v>
      </c>
      <c r="AB994" s="2" t="s">
        <v>1408</v>
      </c>
      <c r="AC994" s="26" t="n">
        <f>22</f>
        <v>22.0</v>
      </c>
      <c r="AD994" s="3" t="s">
        <v>298</v>
      </c>
      <c r="AE994" s="27" t="str">
        <f>"－"</f>
        <v>－</v>
      </c>
    </row>
    <row r="995">
      <c r="A995" s="20" t="s">
        <v>1907</v>
      </c>
      <c r="B995" s="21" t="s">
        <v>1908</v>
      </c>
      <c r="C995" s="22" t="s">
        <v>1764</v>
      </c>
      <c r="D995" s="23" t="s">
        <v>1765</v>
      </c>
      <c r="E995" s="24" t="s">
        <v>354</v>
      </c>
      <c r="F995" s="28" t="n">
        <f>125</f>
        <v>125.0</v>
      </c>
      <c r="G995" s="25" t="n">
        <f>356</f>
        <v>356.0</v>
      </c>
      <c r="H995" s="25"/>
      <c r="I995" s="25" t="str">
        <f>"－"</f>
        <v>－</v>
      </c>
      <c r="J995" s="25" t="n">
        <f>3</f>
        <v>3.0</v>
      </c>
      <c r="K995" s="25" t="str">
        <f>"－"</f>
        <v>－</v>
      </c>
      <c r="L995" s="2" t="s">
        <v>82</v>
      </c>
      <c r="M995" s="26" t="n">
        <f>145</f>
        <v>145.0</v>
      </c>
      <c r="N995" s="3" t="s">
        <v>972</v>
      </c>
      <c r="O995" s="27" t="str">
        <f>"－"</f>
        <v>－</v>
      </c>
      <c r="P995" s="29" t="s">
        <v>1982</v>
      </c>
      <c r="Q995" s="25"/>
      <c r="R995" s="29" t="s">
        <v>262</v>
      </c>
      <c r="S995" s="25" t="n">
        <f>343400</f>
        <v>343400.0</v>
      </c>
      <c r="T995" s="25" t="str">
        <f>"－"</f>
        <v>－</v>
      </c>
      <c r="U995" s="3" t="s">
        <v>82</v>
      </c>
      <c r="V995" s="27" t="n">
        <f>21025000</f>
        <v>2.1025E7</v>
      </c>
      <c r="W995" s="3" t="s">
        <v>972</v>
      </c>
      <c r="X995" s="27" t="str">
        <f>"－"</f>
        <v>－</v>
      </c>
      <c r="Y995" s="27" t="str">
        <f>"－"</f>
        <v>－</v>
      </c>
      <c r="Z995" s="25" t="str">
        <f>"－"</f>
        <v>－</v>
      </c>
      <c r="AA995" s="25" t="str">
        <f>"－"</f>
        <v>－</v>
      </c>
      <c r="AB995" s="2" t="s">
        <v>82</v>
      </c>
      <c r="AC995" s="26" t="n">
        <f>145</f>
        <v>145.0</v>
      </c>
      <c r="AD995" s="3" t="s">
        <v>254</v>
      </c>
      <c r="AE995" s="27" t="str">
        <f>"－"</f>
        <v>－</v>
      </c>
    </row>
    <row r="996">
      <c r="A996" s="20" t="s">
        <v>1907</v>
      </c>
      <c r="B996" s="21" t="s">
        <v>1908</v>
      </c>
      <c r="C996" s="22" t="s">
        <v>1768</v>
      </c>
      <c r="D996" s="23" t="s">
        <v>1769</v>
      </c>
      <c r="E996" s="24" t="s">
        <v>354</v>
      </c>
      <c r="F996" s="28" t="n">
        <f>125</f>
        <v>125.0</v>
      </c>
      <c r="G996" s="25" t="n">
        <f>466</f>
        <v>466.0</v>
      </c>
      <c r="H996" s="25"/>
      <c r="I996" s="25" t="str">
        <f>"－"</f>
        <v>－</v>
      </c>
      <c r="J996" s="25" t="n">
        <f>4</f>
        <v>4.0</v>
      </c>
      <c r="K996" s="25" t="str">
        <f>"－"</f>
        <v>－</v>
      </c>
      <c r="L996" s="2" t="s">
        <v>82</v>
      </c>
      <c r="M996" s="26" t="n">
        <f>145</f>
        <v>145.0</v>
      </c>
      <c r="N996" s="3" t="s">
        <v>972</v>
      </c>
      <c r="O996" s="27" t="str">
        <f>"－"</f>
        <v>－</v>
      </c>
      <c r="P996" s="29" t="s">
        <v>1983</v>
      </c>
      <c r="Q996" s="25"/>
      <c r="R996" s="29" t="s">
        <v>262</v>
      </c>
      <c r="S996" s="25" t="n">
        <f>758400</f>
        <v>758400.0</v>
      </c>
      <c r="T996" s="25" t="str">
        <f>"－"</f>
        <v>－</v>
      </c>
      <c r="U996" s="3" t="s">
        <v>82</v>
      </c>
      <c r="V996" s="27" t="n">
        <f>21025000</f>
        <v>2.1025E7</v>
      </c>
      <c r="W996" s="3" t="s">
        <v>972</v>
      </c>
      <c r="X996" s="27" t="str">
        <f>"－"</f>
        <v>－</v>
      </c>
      <c r="Y996" s="27" t="str">
        <f>"－"</f>
        <v>－</v>
      </c>
      <c r="Z996" s="25" t="str">
        <f>"－"</f>
        <v>－</v>
      </c>
      <c r="AA996" s="25" t="str">
        <f>"－"</f>
        <v>－</v>
      </c>
      <c r="AB996" s="2" t="s">
        <v>968</v>
      </c>
      <c r="AC996" s="26" t="n">
        <f>166</f>
        <v>166.0</v>
      </c>
      <c r="AD996" s="3" t="s">
        <v>298</v>
      </c>
      <c r="AE996" s="27" t="str">
        <f>"－"</f>
        <v>－</v>
      </c>
    </row>
    <row r="997">
      <c r="A997" s="20" t="s">
        <v>1907</v>
      </c>
      <c r="B997" s="21" t="s">
        <v>1908</v>
      </c>
      <c r="C997" s="22" t="s">
        <v>1760</v>
      </c>
      <c r="D997" s="23" t="s">
        <v>1761</v>
      </c>
      <c r="E997" s="24" t="s">
        <v>357</v>
      </c>
      <c r="F997" s="28" t="n">
        <f>121</f>
        <v>121.0</v>
      </c>
      <c r="G997" s="25" t="n">
        <f>429</f>
        <v>429.0</v>
      </c>
      <c r="H997" s="25"/>
      <c r="I997" s="25" t="str">
        <f>"－"</f>
        <v>－</v>
      </c>
      <c r="J997" s="25" t="n">
        <f>4</f>
        <v>4.0</v>
      </c>
      <c r="K997" s="25" t="str">
        <f>"－"</f>
        <v>－</v>
      </c>
      <c r="L997" s="2" t="s">
        <v>1094</v>
      </c>
      <c r="M997" s="26" t="n">
        <f>210</f>
        <v>210.0</v>
      </c>
      <c r="N997" s="3" t="s">
        <v>156</v>
      </c>
      <c r="O997" s="27" t="str">
        <f>"－"</f>
        <v>－</v>
      </c>
      <c r="P997" s="29" t="s">
        <v>1984</v>
      </c>
      <c r="Q997" s="25"/>
      <c r="R997" s="29" t="s">
        <v>262</v>
      </c>
      <c r="S997" s="25" t="n">
        <f>1745992</f>
        <v>1745992.0</v>
      </c>
      <c r="T997" s="25" t="str">
        <f>"－"</f>
        <v>－</v>
      </c>
      <c r="U997" s="3" t="s">
        <v>1094</v>
      </c>
      <c r="V997" s="27" t="n">
        <f>119200000</f>
        <v>1.192E8</v>
      </c>
      <c r="W997" s="3" t="s">
        <v>156</v>
      </c>
      <c r="X997" s="27" t="str">
        <f>"－"</f>
        <v>－</v>
      </c>
      <c r="Y997" s="27" t="str">
        <f>"－"</f>
        <v>－</v>
      </c>
      <c r="Z997" s="25" t="str">
        <f>"－"</f>
        <v>－</v>
      </c>
      <c r="AA997" s="25" t="str">
        <f>"－"</f>
        <v>－</v>
      </c>
      <c r="AB997" s="2" t="s">
        <v>1094</v>
      </c>
      <c r="AC997" s="26" t="n">
        <f>211</f>
        <v>211.0</v>
      </c>
      <c r="AD997" s="3" t="s">
        <v>156</v>
      </c>
      <c r="AE997" s="27" t="str">
        <f>"－"</f>
        <v>－</v>
      </c>
    </row>
    <row r="998">
      <c r="A998" s="20" t="s">
        <v>1907</v>
      </c>
      <c r="B998" s="21" t="s">
        <v>1908</v>
      </c>
      <c r="C998" s="22" t="s">
        <v>1764</v>
      </c>
      <c r="D998" s="23" t="s">
        <v>1765</v>
      </c>
      <c r="E998" s="24" t="s">
        <v>357</v>
      </c>
      <c r="F998" s="28" t="n">
        <f>121</f>
        <v>121.0</v>
      </c>
      <c r="G998" s="25" t="n">
        <f>424</f>
        <v>424.0</v>
      </c>
      <c r="H998" s="25"/>
      <c r="I998" s="25" t="str">
        <f>"－"</f>
        <v>－</v>
      </c>
      <c r="J998" s="25" t="n">
        <f>4</f>
        <v>4.0</v>
      </c>
      <c r="K998" s="25" t="str">
        <f>"－"</f>
        <v>－</v>
      </c>
      <c r="L998" s="2" t="s">
        <v>1094</v>
      </c>
      <c r="M998" s="26" t="n">
        <f>210</f>
        <v>210.0</v>
      </c>
      <c r="N998" s="3" t="s">
        <v>156</v>
      </c>
      <c r="O998" s="27" t="str">
        <f>"－"</f>
        <v>－</v>
      </c>
      <c r="P998" s="29" t="s">
        <v>1985</v>
      </c>
      <c r="Q998" s="25"/>
      <c r="R998" s="29" t="s">
        <v>262</v>
      </c>
      <c r="S998" s="25" t="n">
        <f>1805826</f>
        <v>1805826.0</v>
      </c>
      <c r="T998" s="25" t="str">
        <f>"－"</f>
        <v>－</v>
      </c>
      <c r="U998" s="3" t="s">
        <v>293</v>
      </c>
      <c r="V998" s="27" t="n">
        <f>122850000</f>
        <v>1.2285E8</v>
      </c>
      <c r="W998" s="3" t="s">
        <v>156</v>
      </c>
      <c r="X998" s="27" t="str">
        <f>"－"</f>
        <v>－</v>
      </c>
      <c r="Y998" s="27" t="str">
        <f>"－"</f>
        <v>－</v>
      </c>
      <c r="Z998" s="25" t="str">
        <f>"－"</f>
        <v>－</v>
      </c>
      <c r="AA998" s="25" t="str">
        <f>"－"</f>
        <v>－</v>
      </c>
      <c r="AB998" s="2" t="s">
        <v>1094</v>
      </c>
      <c r="AC998" s="26" t="n">
        <f>210</f>
        <v>210.0</v>
      </c>
      <c r="AD998" s="3" t="s">
        <v>156</v>
      </c>
      <c r="AE998" s="27" t="str">
        <f>"－"</f>
        <v>－</v>
      </c>
    </row>
    <row r="999">
      <c r="A999" s="20" t="s">
        <v>1907</v>
      </c>
      <c r="B999" s="21" t="s">
        <v>1908</v>
      </c>
      <c r="C999" s="22" t="s">
        <v>1768</v>
      </c>
      <c r="D999" s="23" t="s">
        <v>1769</v>
      </c>
      <c r="E999" s="24" t="s">
        <v>357</v>
      </c>
      <c r="F999" s="28" t="n">
        <f>121</f>
        <v>121.0</v>
      </c>
      <c r="G999" s="25" t="n">
        <f>853</f>
        <v>853.0</v>
      </c>
      <c r="H999" s="25"/>
      <c r="I999" s="25" t="str">
        <f>"－"</f>
        <v>－</v>
      </c>
      <c r="J999" s="25" t="n">
        <f>7</f>
        <v>7.0</v>
      </c>
      <c r="K999" s="25" t="str">
        <f>"－"</f>
        <v>－</v>
      </c>
      <c r="L999" s="2" t="s">
        <v>1094</v>
      </c>
      <c r="M999" s="26" t="n">
        <f>420</f>
        <v>420.0</v>
      </c>
      <c r="N999" s="3" t="s">
        <v>156</v>
      </c>
      <c r="O999" s="27" t="str">
        <f>"－"</f>
        <v>－</v>
      </c>
      <c r="P999" s="29" t="s">
        <v>1986</v>
      </c>
      <c r="Q999" s="25"/>
      <c r="R999" s="29" t="s">
        <v>262</v>
      </c>
      <c r="S999" s="25" t="n">
        <f>3551818</f>
        <v>3551818.0</v>
      </c>
      <c r="T999" s="25" t="str">
        <f>"－"</f>
        <v>－</v>
      </c>
      <c r="U999" s="3" t="s">
        <v>1094</v>
      </c>
      <c r="V999" s="27" t="n">
        <f>213700000</f>
        <v>2.137E8</v>
      </c>
      <c r="W999" s="3" t="s">
        <v>156</v>
      </c>
      <c r="X999" s="27" t="str">
        <f>"－"</f>
        <v>－</v>
      </c>
      <c r="Y999" s="27" t="str">
        <f>"－"</f>
        <v>－</v>
      </c>
      <c r="Z999" s="25" t="str">
        <f>"－"</f>
        <v>－</v>
      </c>
      <c r="AA999" s="25" t="str">
        <f>"－"</f>
        <v>－</v>
      </c>
      <c r="AB999" s="2" t="s">
        <v>1094</v>
      </c>
      <c r="AC999" s="26" t="n">
        <f>421</f>
        <v>421.0</v>
      </c>
      <c r="AD999" s="3" t="s">
        <v>156</v>
      </c>
      <c r="AE999" s="27" t="str">
        <f>"－"</f>
        <v>－</v>
      </c>
    </row>
    <row r="1000">
      <c r="A1000" s="20" t="s">
        <v>1907</v>
      </c>
      <c r="B1000" s="21" t="s">
        <v>1908</v>
      </c>
      <c r="C1000" s="22" t="s">
        <v>1760</v>
      </c>
      <c r="D1000" s="23" t="s">
        <v>1761</v>
      </c>
      <c r="E1000" s="24" t="s">
        <v>361</v>
      </c>
      <c r="F1000" s="28" t="n">
        <f>125</f>
        <v>125.0</v>
      </c>
      <c r="G1000" s="25" t="n">
        <f>4017</f>
        <v>4017.0</v>
      </c>
      <c r="H1000" s="25"/>
      <c r="I1000" s="25" t="str">
        <f>"－"</f>
        <v>－</v>
      </c>
      <c r="J1000" s="25" t="n">
        <f>32</f>
        <v>32.0</v>
      </c>
      <c r="K1000" s="25" t="str">
        <f>"－"</f>
        <v>－</v>
      </c>
      <c r="L1000" s="2" t="s">
        <v>750</v>
      </c>
      <c r="M1000" s="26" t="n">
        <f>976</f>
        <v>976.0</v>
      </c>
      <c r="N1000" s="3" t="s">
        <v>215</v>
      </c>
      <c r="O1000" s="27" t="str">
        <f>"－"</f>
        <v>－</v>
      </c>
      <c r="P1000" s="29" t="s">
        <v>1987</v>
      </c>
      <c r="Q1000" s="25"/>
      <c r="R1000" s="29" t="s">
        <v>262</v>
      </c>
      <c r="S1000" s="25" t="n">
        <f>14661920</f>
        <v>1.466192E7</v>
      </c>
      <c r="T1000" s="25" t="str">
        <f>"－"</f>
        <v>－</v>
      </c>
      <c r="U1000" s="3" t="s">
        <v>750</v>
      </c>
      <c r="V1000" s="27" t="n">
        <f>422040000</f>
        <v>4.2204E8</v>
      </c>
      <c r="W1000" s="3" t="s">
        <v>215</v>
      </c>
      <c r="X1000" s="27" t="str">
        <f>"－"</f>
        <v>－</v>
      </c>
      <c r="Y1000" s="27" t="str">
        <f>"－"</f>
        <v>－</v>
      </c>
      <c r="Z1000" s="25" t="str">
        <f>"－"</f>
        <v>－</v>
      </c>
      <c r="AA1000" s="25" t="n">
        <f>644</f>
        <v>644.0</v>
      </c>
      <c r="AB1000" s="2" t="s">
        <v>197</v>
      </c>
      <c r="AC1000" s="26" t="n">
        <f>1286</f>
        <v>1286.0</v>
      </c>
      <c r="AD1000" s="3" t="s">
        <v>215</v>
      </c>
      <c r="AE1000" s="27" t="str">
        <f>"－"</f>
        <v>－</v>
      </c>
    </row>
    <row r="1001">
      <c r="A1001" s="20" t="s">
        <v>1907</v>
      </c>
      <c r="B1001" s="21" t="s">
        <v>1908</v>
      </c>
      <c r="C1001" s="22" t="s">
        <v>1764</v>
      </c>
      <c r="D1001" s="23" t="s">
        <v>1765</v>
      </c>
      <c r="E1001" s="24" t="s">
        <v>361</v>
      </c>
      <c r="F1001" s="28" t="n">
        <f>125</f>
        <v>125.0</v>
      </c>
      <c r="G1001" s="25" t="n">
        <f>2753</f>
        <v>2753.0</v>
      </c>
      <c r="H1001" s="25"/>
      <c r="I1001" s="25" t="str">
        <f>"－"</f>
        <v>－</v>
      </c>
      <c r="J1001" s="25" t="n">
        <f>22</f>
        <v>22.0</v>
      </c>
      <c r="K1001" s="25" t="str">
        <f>"－"</f>
        <v>－</v>
      </c>
      <c r="L1001" s="2" t="s">
        <v>750</v>
      </c>
      <c r="M1001" s="26" t="n">
        <f>976</f>
        <v>976.0</v>
      </c>
      <c r="N1001" s="3" t="s">
        <v>215</v>
      </c>
      <c r="O1001" s="27" t="str">
        <f>"－"</f>
        <v>－</v>
      </c>
      <c r="P1001" s="29" t="s">
        <v>1988</v>
      </c>
      <c r="Q1001" s="25"/>
      <c r="R1001" s="29" t="s">
        <v>262</v>
      </c>
      <c r="S1001" s="25" t="n">
        <f>11954720</f>
        <v>1.195472E7</v>
      </c>
      <c r="T1001" s="25" t="str">
        <f>"－"</f>
        <v>－</v>
      </c>
      <c r="U1001" s="3" t="s">
        <v>750</v>
      </c>
      <c r="V1001" s="27" t="n">
        <f>732000000</f>
        <v>7.32E8</v>
      </c>
      <c r="W1001" s="3" t="s">
        <v>215</v>
      </c>
      <c r="X1001" s="27" t="str">
        <f>"－"</f>
        <v>－</v>
      </c>
      <c r="Y1001" s="27" t="str">
        <f>"－"</f>
        <v>－</v>
      </c>
      <c r="Z1001" s="25" t="str">
        <f>"－"</f>
        <v>－</v>
      </c>
      <c r="AA1001" s="25" t="str">
        <f>"－"</f>
        <v>－</v>
      </c>
      <c r="AB1001" s="2" t="s">
        <v>197</v>
      </c>
      <c r="AC1001" s="26" t="n">
        <f>976</f>
        <v>976.0</v>
      </c>
      <c r="AD1001" s="3" t="s">
        <v>215</v>
      </c>
      <c r="AE1001" s="27" t="str">
        <f>"－"</f>
        <v>－</v>
      </c>
    </row>
    <row r="1002">
      <c r="A1002" s="20" t="s">
        <v>1907</v>
      </c>
      <c r="B1002" s="21" t="s">
        <v>1908</v>
      </c>
      <c r="C1002" s="22" t="s">
        <v>1768</v>
      </c>
      <c r="D1002" s="23" t="s">
        <v>1769</v>
      </c>
      <c r="E1002" s="24" t="s">
        <v>361</v>
      </c>
      <c r="F1002" s="28" t="n">
        <f>125</f>
        <v>125.0</v>
      </c>
      <c r="G1002" s="25" t="n">
        <f>6770</f>
        <v>6770.0</v>
      </c>
      <c r="H1002" s="25"/>
      <c r="I1002" s="25" t="str">
        <f>"－"</f>
        <v>－</v>
      </c>
      <c r="J1002" s="25" t="n">
        <f>54</f>
        <v>54.0</v>
      </c>
      <c r="K1002" s="25" t="str">
        <f>"－"</f>
        <v>－</v>
      </c>
      <c r="L1002" s="2" t="s">
        <v>750</v>
      </c>
      <c r="M1002" s="26" t="n">
        <f>1952</f>
        <v>1952.0</v>
      </c>
      <c r="N1002" s="3" t="s">
        <v>215</v>
      </c>
      <c r="O1002" s="27" t="str">
        <f>"－"</f>
        <v>－</v>
      </c>
      <c r="P1002" s="29" t="s">
        <v>1989</v>
      </c>
      <c r="Q1002" s="25"/>
      <c r="R1002" s="29" t="s">
        <v>262</v>
      </c>
      <c r="S1002" s="25" t="n">
        <f>26616640</f>
        <v>2.661664E7</v>
      </c>
      <c r="T1002" s="25" t="str">
        <f>"－"</f>
        <v>－</v>
      </c>
      <c r="U1002" s="3" t="s">
        <v>750</v>
      </c>
      <c r="V1002" s="27" t="n">
        <f>1154040000</f>
        <v>1.15404E9</v>
      </c>
      <c r="W1002" s="3" t="s">
        <v>215</v>
      </c>
      <c r="X1002" s="27" t="str">
        <f>"－"</f>
        <v>－</v>
      </c>
      <c r="Y1002" s="27" t="str">
        <f>"－"</f>
        <v>－</v>
      </c>
      <c r="Z1002" s="25" t="str">
        <f>"－"</f>
        <v>－</v>
      </c>
      <c r="AA1002" s="25" t="n">
        <f>644</f>
        <v>644.0</v>
      </c>
      <c r="AB1002" s="2" t="s">
        <v>197</v>
      </c>
      <c r="AC1002" s="26" t="n">
        <f>2262</f>
        <v>2262.0</v>
      </c>
      <c r="AD1002" s="3" t="s">
        <v>215</v>
      </c>
      <c r="AE1002" s="27" t="str">
        <f>"－"</f>
        <v>－</v>
      </c>
    </row>
    <row r="1003">
      <c r="A1003" s="20" t="s">
        <v>1907</v>
      </c>
      <c r="B1003" s="21" t="s">
        <v>1908</v>
      </c>
      <c r="C1003" s="22" t="s">
        <v>1760</v>
      </c>
      <c r="D1003" s="23" t="s">
        <v>1761</v>
      </c>
      <c r="E1003" s="24" t="s">
        <v>365</v>
      </c>
      <c r="F1003" s="28" t="n">
        <f>120</f>
        <v>120.0</v>
      </c>
      <c r="G1003" s="25" t="n">
        <f>12532</f>
        <v>12532.0</v>
      </c>
      <c r="H1003" s="25"/>
      <c r="I1003" s="25" t="str">
        <f>"－"</f>
        <v>－</v>
      </c>
      <c r="J1003" s="25" t="n">
        <f>104</f>
        <v>104.0</v>
      </c>
      <c r="K1003" s="25" t="str">
        <f>"－"</f>
        <v>－</v>
      </c>
      <c r="L1003" s="2" t="s">
        <v>233</v>
      </c>
      <c r="M1003" s="26" t="n">
        <f>1951</f>
        <v>1951.0</v>
      </c>
      <c r="N1003" s="3" t="s">
        <v>156</v>
      </c>
      <c r="O1003" s="27" t="str">
        <f>"－"</f>
        <v>－</v>
      </c>
      <c r="P1003" s="29" t="s">
        <v>1990</v>
      </c>
      <c r="Q1003" s="25"/>
      <c r="R1003" s="29" t="s">
        <v>262</v>
      </c>
      <c r="S1003" s="25" t="n">
        <f>28837958</f>
        <v>2.8837958E7</v>
      </c>
      <c r="T1003" s="25" t="str">
        <f>"－"</f>
        <v>－</v>
      </c>
      <c r="U1003" s="3" t="s">
        <v>233</v>
      </c>
      <c r="V1003" s="27" t="n">
        <f>477995000</f>
        <v>4.77995E8</v>
      </c>
      <c r="W1003" s="3" t="s">
        <v>156</v>
      </c>
      <c r="X1003" s="27" t="str">
        <f>"－"</f>
        <v>－</v>
      </c>
      <c r="Y1003" s="27" t="n">
        <f>630</f>
        <v>630.0</v>
      </c>
      <c r="Z1003" s="25" t="str">
        <f>"－"</f>
        <v>－</v>
      </c>
      <c r="AA1003" s="25" t="n">
        <f>10137</f>
        <v>10137.0</v>
      </c>
      <c r="AB1003" s="2" t="s">
        <v>513</v>
      </c>
      <c r="AC1003" s="26" t="n">
        <f>10138</f>
        <v>10138.0</v>
      </c>
      <c r="AD1003" s="3" t="s">
        <v>156</v>
      </c>
      <c r="AE1003" s="27" t="n">
        <f>644</f>
        <v>644.0</v>
      </c>
    </row>
    <row r="1004">
      <c r="A1004" s="20" t="s">
        <v>1907</v>
      </c>
      <c r="B1004" s="21" t="s">
        <v>1908</v>
      </c>
      <c r="C1004" s="22" t="s">
        <v>1764</v>
      </c>
      <c r="D1004" s="23" t="s">
        <v>1765</v>
      </c>
      <c r="E1004" s="24" t="s">
        <v>365</v>
      </c>
      <c r="F1004" s="28" t="n">
        <f>120</f>
        <v>120.0</v>
      </c>
      <c r="G1004" s="25" t="n">
        <f>8447</f>
        <v>8447.0</v>
      </c>
      <c r="H1004" s="25"/>
      <c r="I1004" s="25" t="str">
        <f>"－"</f>
        <v>－</v>
      </c>
      <c r="J1004" s="25" t="n">
        <f>70</f>
        <v>70.0</v>
      </c>
      <c r="K1004" s="25" t="str">
        <f>"－"</f>
        <v>－</v>
      </c>
      <c r="L1004" s="2" t="s">
        <v>233</v>
      </c>
      <c r="M1004" s="26" t="n">
        <f>1666</f>
        <v>1666.0</v>
      </c>
      <c r="N1004" s="3" t="s">
        <v>156</v>
      </c>
      <c r="O1004" s="27" t="str">
        <f>"－"</f>
        <v>－</v>
      </c>
      <c r="P1004" s="29" t="s">
        <v>1991</v>
      </c>
      <c r="Q1004" s="25"/>
      <c r="R1004" s="29" t="s">
        <v>262</v>
      </c>
      <c r="S1004" s="25" t="n">
        <f>6412567</f>
        <v>6412567.0</v>
      </c>
      <c r="T1004" s="25" t="str">
        <f>"－"</f>
        <v>－</v>
      </c>
      <c r="U1004" s="3" t="s">
        <v>566</v>
      </c>
      <c r="V1004" s="27" t="n">
        <f>149940000</f>
        <v>1.4994E8</v>
      </c>
      <c r="W1004" s="3" t="s">
        <v>156</v>
      </c>
      <c r="X1004" s="27" t="str">
        <f>"－"</f>
        <v>－</v>
      </c>
      <c r="Y1004" s="27" t="str">
        <f>"－"</f>
        <v>－</v>
      </c>
      <c r="Z1004" s="25" t="str">
        <f>"－"</f>
        <v>－</v>
      </c>
      <c r="AA1004" s="25" t="n">
        <f>8351</f>
        <v>8351.0</v>
      </c>
      <c r="AB1004" s="2" t="s">
        <v>315</v>
      </c>
      <c r="AC1004" s="26" t="n">
        <f>8351</f>
        <v>8351.0</v>
      </c>
      <c r="AD1004" s="3" t="s">
        <v>156</v>
      </c>
      <c r="AE1004" s="27" t="str">
        <f>"－"</f>
        <v>－</v>
      </c>
    </row>
    <row r="1005">
      <c r="A1005" s="20" t="s">
        <v>1907</v>
      </c>
      <c r="B1005" s="21" t="s">
        <v>1908</v>
      </c>
      <c r="C1005" s="22" t="s">
        <v>1768</v>
      </c>
      <c r="D1005" s="23" t="s">
        <v>1769</v>
      </c>
      <c r="E1005" s="24" t="s">
        <v>365</v>
      </c>
      <c r="F1005" s="28" t="n">
        <f>120</f>
        <v>120.0</v>
      </c>
      <c r="G1005" s="25" t="n">
        <f>20979</f>
        <v>20979.0</v>
      </c>
      <c r="H1005" s="25"/>
      <c r="I1005" s="25" t="str">
        <f>"－"</f>
        <v>－</v>
      </c>
      <c r="J1005" s="25" t="n">
        <f>175</f>
        <v>175.0</v>
      </c>
      <c r="K1005" s="25" t="str">
        <f>"－"</f>
        <v>－</v>
      </c>
      <c r="L1005" s="2" t="s">
        <v>233</v>
      </c>
      <c r="M1005" s="26" t="n">
        <f>3617</f>
        <v>3617.0</v>
      </c>
      <c r="N1005" s="3" t="s">
        <v>156</v>
      </c>
      <c r="O1005" s="27" t="str">
        <f>"－"</f>
        <v>－</v>
      </c>
      <c r="P1005" s="29" t="s">
        <v>1992</v>
      </c>
      <c r="Q1005" s="25"/>
      <c r="R1005" s="29" t="s">
        <v>262</v>
      </c>
      <c r="S1005" s="25" t="n">
        <f>35250525</f>
        <v>3.5250525E7</v>
      </c>
      <c r="T1005" s="25" t="str">
        <f>"－"</f>
        <v>－</v>
      </c>
      <c r="U1005" s="3" t="s">
        <v>233</v>
      </c>
      <c r="V1005" s="27" t="n">
        <f>602945000</f>
        <v>6.02945E8</v>
      </c>
      <c r="W1005" s="3" t="s">
        <v>156</v>
      </c>
      <c r="X1005" s="27" t="str">
        <f>"－"</f>
        <v>－</v>
      </c>
      <c r="Y1005" s="27" t="n">
        <f>630</f>
        <v>630.0</v>
      </c>
      <c r="Z1005" s="25" t="str">
        <f>"－"</f>
        <v>－</v>
      </c>
      <c r="AA1005" s="25" t="n">
        <f>18488</f>
        <v>18488.0</v>
      </c>
      <c r="AB1005" s="2" t="s">
        <v>513</v>
      </c>
      <c r="AC1005" s="26" t="n">
        <f>18489</f>
        <v>18489.0</v>
      </c>
      <c r="AD1005" s="3" t="s">
        <v>156</v>
      </c>
      <c r="AE1005" s="27" t="n">
        <f>644</f>
        <v>644.0</v>
      </c>
    </row>
    <row r="1006">
      <c r="A1006" s="20" t="s">
        <v>1907</v>
      </c>
      <c r="B1006" s="21" t="s">
        <v>1908</v>
      </c>
      <c r="C1006" s="22" t="s">
        <v>1760</v>
      </c>
      <c r="D1006" s="23" t="s">
        <v>1761</v>
      </c>
      <c r="E1006" s="24" t="s">
        <v>370</v>
      </c>
      <c r="F1006" s="28" t="n">
        <f>126</f>
        <v>126.0</v>
      </c>
      <c r="G1006" s="25" t="n">
        <f>35605</f>
        <v>35605.0</v>
      </c>
      <c r="H1006" s="25"/>
      <c r="I1006" s="25" t="str">
        <f>"－"</f>
        <v>－</v>
      </c>
      <c r="J1006" s="25" t="n">
        <f>283</f>
        <v>283.0</v>
      </c>
      <c r="K1006" s="25" t="str">
        <f>"－"</f>
        <v>－</v>
      </c>
      <c r="L1006" s="2" t="s">
        <v>879</v>
      </c>
      <c r="M1006" s="26" t="n">
        <f>7929</f>
        <v>7929.0</v>
      </c>
      <c r="N1006" s="3" t="s">
        <v>68</v>
      </c>
      <c r="O1006" s="27" t="str">
        <f>"－"</f>
        <v>－</v>
      </c>
      <c r="P1006" s="29" t="s">
        <v>1993</v>
      </c>
      <c r="Q1006" s="25"/>
      <c r="R1006" s="29" t="s">
        <v>262</v>
      </c>
      <c r="S1006" s="25" t="n">
        <f>124911492</f>
        <v>1.24911492E8</v>
      </c>
      <c r="T1006" s="25" t="str">
        <f>"－"</f>
        <v>－</v>
      </c>
      <c r="U1006" s="3" t="s">
        <v>1469</v>
      </c>
      <c r="V1006" s="27" t="n">
        <f>3545850000</f>
        <v>3.54585E9</v>
      </c>
      <c r="W1006" s="3" t="s">
        <v>68</v>
      </c>
      <c r="X1006" s="27" t="str">
        <f>"－"</f>
        <v>－</v>
      </c>
      <c r="Y1006" s="27" t="n">
        <f>2352</f>
        <v>2352.0</v>
      </c>
      <c r="Z1006" s="25" t="str">
        <f>"－"</f>
        <v>－</v>
      </c>
      <c r="AA1006" s="25" t="n">
        <f>7233</f>
        <v>7233.0</v>
      </c>
      <c r="AB1006" s="2" t="s">
        <v>68</v>
      </c>
      <c r="AC1006" s="26" t="n">
        <f>10137</f>
        <v>10137.0</v>
      </c>
      <c r="AD1006" s="3" t="s">
        <v>103</v>
      </c>
      <c r="AE1006" s="27" t="n">
        <f>6409</f>
        <v>6409.0</v>
      </c>
    </row>
    <row r="1007">
      <c r="A1007" s="20" t="s">
        <v>1907</v>
      </c>
      <c r="B1007" s="21" t="s">
        <v>1908</v>
      </c>
      <c r="C1007" s="22" t="s">
        <v>1764</v>
      </c>
      <c r="D1007" s="23" t="s">
        <v>1765</v>
      </c>
      <c r="E1007" s="24" t="s">
        <v>370</v>
      </c>
      <c r="F1007" s="28" t="n">
        <f>126</f>
        <v>126.0</v>
      </c>
      <c r="G1007" s="25" t="n">
        <f>36665</f>
        <v>36665.0</v>
      </c>
      <c r="H1007" s="25"/>
      <c r="I1007" s="25" t="str">
        <f>"－"</f>
        <v>－</v>
      </c>
      <c r="J1007" s="25" t="n">
        <f>291</f>
        <v>291.0</v>
      </c>
      <c r="K1007" s="25" t="str">
        <f>"－"</f>
        <v>－</v>
      </c>
      <c r="L1007" s="2" t="s">
        <v>879</v>
      </c>
      <c r="M1007" s="26" t="n">
        <f>6814</f>
        <v>6814.0</v>
      </c>
      <c r="N1007" s="3" t="s">
        <v>68</v>
      </c>
      <c r="O1007" s="27" t="str">
        <f>"－"</f>
        <v>－</v>
      </c>
      <c r="P1007" s="29" t="s">
        <v>1994</v>
      </c>
      <c r="Q1007" s="25"/>
      <c r="R1007" s="29" t="s">
        <v>262</v>
      </c>
      <c r="S1007" s="25" t="n">
        <f>28433262</f>
        <v>2.8433262E7</v>
      </c>
      <c r="T1007" s="25" t="str">
        <f>"－"</f>
        <v>－</v>
      </c>
      <c r="U1007" s="3" t="s">
        <v>879</v>
      </c>
      <c r="V1007" s="27" t="n">
        <f>618142000</f>
        <v>6.18142E8</v>
      </c>
      <c r="W1007" s="3" t="s">
        <v>68</v>
      </c>
      <c r="X1007" s="27" t="str">
        <f>"－"</f>
        <v>－</v>
      </c>
      <c r="Y1007" s="27" t="str">
        <f>"－"</f>
        <v>－</v>
      </c>
      <c r="Z1007" s="25" t="str">
        <f>"－"</f>
        <v>－</v>
      </c>
      <c r="AA1007" s="25" t="n">
        <f>1500</f>
        <v>1500.0</v>
      </c>
      <c r="AB1007" s="2" t="s">
        <v>68</v>
      </c>
      <c r="AC1007" s="26" t="n">
        <f>8351</f>
        <v>8351.0</v>
      </c>
      <c r="AD1007" s="3" t="s">
        <v>894</v>
      </c>
      <c r="AE1007" s="27" t="n">
        <f>1500</f>
        <v>1500.0</v>
      </c>
    </row>
    <row r="1008">
      <c r="A1008" s="20" t="s">
        <v>1907</v>
      </c>
      <c r="B1008" s="21" t="s">
        <v>1908</v>
      </c>
      <c r="C1008" s="22" t="s">
        <v>1768</v>
      </c>
      <c r="D1008" s="23" t="s">
        <v>1769</v>
      </c>
      <c r="E1008" s="24" t="s">
        <v>370</v>
      </c>
      <c r="F1008" s="28" t="n">
        <f>126</f>
        <v>126.0</v>
      </c>
      <c r="G1008" s="25" t="n">
        <f>72270</f>
        <v>72270.0</v>
      </c>
      <c r="H1008" s="25"/>
      <c r="I1008" s="25" t="str">
        <f>"－"</f>
        <v>－</v>
      </c>
      <c r="J1008" s="25" t="n">
        <f>574</f>
        <v>574.0</v>
      </c>
      <c r="K1008" s="25" t="str">
        <f>"－"</f>
        <v>－</v>
      </c>
      <c r="L1008" s="2" t="s">
        <v>879</v>
      </c>
      <c r="M1008" s="26" t="n">
        <f>14743</f>
        <v>14743.0</v>
      </c>
      <c r="N1008" s="3" t="s">
        <v>68</v>
      </c>
      <c r="O1008" s="27" t="str">
        <f>"－"</f>
        <v>－</v>
      </c>
      <c r="P1008" s="29" t="s">
        <v>1995</v>
      </c>
      <c r="Q1008" s="25"/>
      <c r="R1008" s="29" t="s">
        <v>262</v>
      </c>
      <c r="S1008" s="25" t="n">
        <f>153344754</f>
        <v>1.53344754E8</v>
      </c>
      <c r="T1008" s="25" t="str">
        <f>"－"</f>
        <v>－</v>
      </c>
      <c r="U1008" s="3" t="s">
        <v>1469</v>
      </c>
      <c r="V1008" s="27" t="n">
        <f>3978381000</f>
        <v>3.978381E9</v>
      </c>
      <c r="W1008" s="3" t="s">
        <v>68</v>
      </c>
      <c r="X1008" s="27" t="str">
        <f>"－"</f>
        <v>－</v>
      </c>
      <c r="Y1008" s="27" t="n">
        <f>2352</f>
        <v>2352.0</v>
      </c>
      <c r="Z1008" s="25" t="str">
        <f>"－"</f>
        <v>－</v>
      </c>
      <c r="AA1008" s="25" t="n">
        <f>8733</f>
        <v>8733.0</v>
      </c>
      <c r="AB1008" s="2" t="s">
        <v>68</v>
      </c>
      <c r="AC1008" s="26" t="n">
        <f>18488</f>
        <v>18488.0</v>
      </c>
      <c r="AD1008" s="3" t="s">
        <v>894</v>
      </c>
      <c r="AE1008" s="27" t="n">
        <f>8415</f>
        <v>8415.0</v>
      </c>
    </row>
    <row r="1009">
      <c r="A1009" s="20" t="s">
        <v>1907</v>
      </c>
      <c r="B1009" s="21" t="s">
        <v>1908</v>
      </c>
      <c r="C1009" s="22" t="s">
        <v>1760</v>
      </c>
      <c r="D1009" s="23" t="s">
        <v>1761</v>
      </c>
      <c r="E1009" s="24" t="s">
        <v>374</v>
      </c>
      <c r="F1009" s="28" t="n">
        <f>121</f>
        <v>121.0</v>
      </c>
      <c r="G1009" s="25" t="n">
        <f>43206</f>
        <v>43206.0</v>
      </c>
      <c r="H1009" s="25"/>
      <c r="I1009" s="25" t="str">
        <f>"－"</f>
        <v>－</v>
      </c>
      <c r="J1009" s="25" t="n">
        <f>357</f>
        <v>357.0</v>
      </c>
      <c r="K1009" s="25" t="str">
        <f>"－"</f>
        <v>－</v>
      </c>
      <c r="L1009" s="2" t="s">
        <v>307</v>
      </c>
      <c r="M1009" s="26" t="n">
        <f>7184</f>
        <v>7184.0</v>
      </c>
      <c r="N1009" s="3" t="s">
        <v>328</v>
      </c>
      <c r="O1009" s="27" t="str">
        <f>"－"</f>
        <v>－</v>
      </c>
      <c r="P1009" s="29" t="s">
        <v>1996</v>
      </c>
      <c r="Q1009" s="25"/>
      <c r="R1009" s="29" t="s">
        <v>262</v>
      </c>
      <c r="S1009" s="25" t="n">
        <f>39132256</f>
        <v>3.9132256E7</v>
      </c>
      <c r="T1009" s="25" t="str">
        <f>"－"</f>
        <v>－</v>
      </c>
      <c r="U1009" s="3" t="s">
        <v>193</v>
      </c>
      <c r="V1009" s="27" t="n">
        <f>796318000</f>
        <v>7.96318E8</v>
      </c>
      <c r="W1009" s="3" t="s">
        <v>328</v>
      </c>
      <c r="X1009" s="27" t="str">
        <f>"－"</f>
        <v>－</v>
      </c>
      <c r="Y1009" s="27" t="n">
        <f>3481</f>
        <v>3481.0</v>
      </c>
      <c r="Z1009" s="25" t="str">
        <f>"－"</f>
        <v>－</v>
      </c>
      <c r="AA1009" s="25" t="n">
        <f>6305</f>
        <v>6305.0</v>
      </c>
      <c r="AB1009" s="2" t="s">
        <v>275</v>
      </c>
      <c r="AC1009" s="26" t="n">
        <f>12842</f>
        <v>12842.0</v>
      </c>
      <c r="AD1009" s="3" t="s">
        <v>61</v>
      </c>
      <c r="AE1009" s="27" t="n">
        <f>6305</f>
        <v>6305.0</v>
      </c>
    </row>
    <row r="1010">
      <c r="A1010" s="20" t="s">
        <v>1907</v>
      </c>
      <c r="B1010" s="21" t="s">
        <v>1908</v>
      </c>
      <c r="C1010" s="22" t="s">
        <v>1764</v>
      </c>
      <c r="D1010" s="23" t="s">
        <v>1765</v>
      </c>
      <c r="E1010" s="24" t="s">
        <v>374</v>
      </c>
      <c r="F1010" s="28" t="n">
        <f>121</f>
        <v>121.0</v>
      </c>
      <c r="G1010" s="25" t="n">
        <f>33821</f>
        <v>33821.0</v>
      </c>
      <c r="H1010" s="25"/>
      <c r="I1010" s="25" t="str">
        <f>"－"</f>
        <v>－</v>
      </c>
      <c r="J1010" s="25" t="n">
        <f>280</f>
        <v>280.0</v>
      </c>
      <c r="K1010" s="25" t="str">
        <f>"－"</f>
        <v>－</v>
      </c>
      <c r="L1010" s="2" t="s">
        <v>307</v>
      </c>
      <c r="M1010" s="26" t="n">
        <f>6341</f>
        <v>6341.0</v>
      </c>
      <c r="N1010" s="3" t="s">
        <v>328</v>
      </c>
      <c r="O1010" s="27" t="str">
        <f>"－"</f>
        <v>－</v>
      </c>
      <c r="P1010" s="29" t="s">
        <v>1997</v>
      </c>
      <c r="Q1010" s="25"/>
      <c r="R1010" s="29" t="s">
        <v>262</v>
      </c>
      <c r="S1010" s="25" t="n">
        <f>33238975</f>
        <v>3.3238975E7</v>
      </c>
      <c r="T1010" s="25" t="str">
        <f>"－"</f>
        <v>－</v>
      </c>
      <c r="U1010" s="3" t="s">
        <v>343</v>
      </c>
      <c r="V1010" s="27" t="n">
        <f>1259055000</f>
        <v>1.259055E9</v>
      </c>
      <c r="W1010" s="3" t="s">
        <v>328</v>
      </c>
      <c r="X1010" s="27" t="str">
        <f>"－"</f>
        <v>－</v>
      </c>
      <c r="Y1010" s="27" t="n">
        <f>5102</f>
        <v>5102.0</v>
      </c>
      <c r="Z1010" s="25" t="str">
        <f>"－"</f>
        <v>－</v>
      </c>
      <c r="AA1010" s="25" t="n">
        <f>3901</f>
        <v>3901.0</v>
      </c>
      <c r="AB1010" s="2" t="s">
        <v>1208</v>
      </c>
      <c r="AC1010" s="26" t="n">
        <f>9408</f>
        <v>9408.0</v>
      </c>
      <c r="AD1010" s="3" t="s">
        <v>328</v>
      </c>
      <c r="AE1010" s="27" t="n">
        <f>1500</f>
        <v>1500.0</v>
      </c>
    </row>
    <row r="1011">
      <c r="A1011" s="20" t="s">
        <v>1907</v>
      </c>
      <c r="B1011" s="21" t="s">
        <v>1908</v>
      </c>
      <c r="C1011" s="22" t="s">
        <v>1768</v>
      </c>
      <c r="D1011" s="23" t="s">
        <v>1769</v>
      </c>
      <c r="E1011" s="24" t="s">
        <v>374</v>
      </c>
      <c r="F1011" s="28" t="n">
        <f>121</f>
        <v>121.0</v>
      </c>
      <c r="G1011" s="25" t="n">
        <f>77027</f>
        <v>77027.0</v>
      </c>
      <c r="H1011" s="25"/>
      <c r="I1011" s="25" t="str">
        <f>"－"</f>
        <v>－</v>
      </c>
      <c r="J1011" s="25" t="n">
        <f>637</f>
        <v>637.0</v>
      </c>
      <c r="K1011" s="25" t="str">
        <f>"－"</f>
        <v>－</v>
      </c>
      <c r="L1011" s="2" t="s">
        <v>307</v>
      </c>
      <c r="M1011" s="26" t="n">
        <f>13525</f>
        <v>13525.0</v>
      </c>
      <c r="N1011" s="3" t="s">
        <v>328</v>
      </c>
      <c r="O1011" s="27" t="str">
        <f>"－"</f>
        <v>－</v>
      </c>
      <c r="P1011" s="29" t="s">
        <v>1998</v>
      </c>
      <c r="Q1011" s="25"/>
      <c r="R1011" s="29" t="s">
        <v>262</v>
      </c>
      <c r="S1011" s="25" t="n">
        <f>72371231</f>
        <v>7.2371231E7</v>
      </c>
      <c r="T1011" s="25" t="str">
        <f>"－"</f>
        <v>－</v>
      </c>
      <c r="U1011" s="3" t="s">
        <v>307</v>
      </c>
      <c r="V1011" s="27" t="n">
        <f>1647884000</f>
        <v>1.647884E9</v>
      </c>
      <c r="W1011" s="3" t="s">
        <v>328</v>
      </c>
      <c r="X1011" s="27" t="str">
        <f>"－"</f>
        <v>－</v>
      </c>
      <c r="Y1011" s="27" t="n">
        <f>8583</f>
        <v>8583.0</v>
      </c>
      <c r="Z1011" s="25" t="str">
        <f>"－"</f>
        <v>－</v>
      </c>
      <c r="AA1011" s="25" t="n">
        <f>10206</f>
        <v>10206.0</v>
      </c>
      <c r="AB1011" s="2" t="s">
        <v>275</v>
      </c>
      <c r="AC1011" s="26" t="n">
        <f>21125</f>
        <v>21125.0</v>
      </c>
      <c r="AD1011" s="3" t="s">
        <v>328</v>
      </c>
      <c r="AE1011" s="27" t="n">
        <f>8733</f>
        <v>8733.0</v>
      </c>
    </row>
    <row r="1012">
      <c r="A1012" s="20" t="s">
        <v>1907</v>
      </c>
      <c r="B1012" s="21" t="s">
        <v>1908</v>
      </c>
      <c r="C1012" s="22" t="s">
        <v>1760</v>
      </c>
      <c r="D1012" s="23" t="s">
        <v>1761</v>
      </c>
      <c r="E1012" s="24" t="s">
        <v>379</v>
      </c>
      <c r="F1012" s="28" t="n">
        <f>124</f>
        <v>124.0</v>
      </c>
      <c r="G1012" s="25" t="n">
        <f>7576</f>
        <v>7576.0</v>
      </c>
      <c r="H1012" s="25"/>
      <c r="I1012" s="25" t="str">
        <f>"－"</f>
        <v>－</v>
      </c>
      <c r="J1012" s="25" t="n">
        <f>61</f>
        <v>61.0</v>
      </c>
      <c r="K1012" s="25" t="str">
        <f>"－"</f>
        <v>－</v>
      </c>
      <c r="L1012" s="2" t="s">
        <v>241</v>
      </c>
      <c r="M1012" s="26" t="n">
        <f>5731</f>
        <v>5731.0</v>
      </c>
      <c r="N1012" s="3" t="s">
        <v>68</v>
      </c>
      <c r="O1012" s="27" t="str">
        <f>"－"</f>
        <v>－</v>
      </c>
      <c r="P1012" s="29" t="s">
        <v>1999</v>
      </c>
      <c r="Q1012" s="25"/>
      <c r="R1012" s="29" t="s">
        <v>262</v>
      </c>
      <c r="S1012" s="25" t="n">
        <f>5195645</f>
        <v>5195645.0</v>
      </c>
      <c r="T1012" s="25" t="str">
        <f>"－"</f>
        <v>－</v>
      </c>
      <c r="U1012" s="3" t="s">
        <v>241</v>
      </c>
      <c r="V1012" s="27" t="n">
        <f>362260000</f>
        <v>3.6226E8</v>
      </c>
      <c r="W1012" s="3" t="s">
        <v>68</v>
      </c>
      <c r="X1012" s="27" t="str">
        <f>"－"</f>
        <v>－</v>
      </c>
      <c r="Y1012" s="27" t="n">
        <f>1000</f>
        <v>1000.0</v>
      </c>
      <c r="Z1012" s="25" t="str">
        <f>"－"</f>
        <v>－</v>
      </c>
      <c r="AA1012" s="25" t="n">
        <f>245</f>
        <v>245.0</v>
      </c>
      <c r="AB1012" s="2" t="s">
        <v>838</v>
      </c>
      <c r="AC1012" s="26" t="n">
        <f>7295</f>
        <v>7295.0</v>
      </c>
      <c r="AD1012" s="3" t="s">
        <v>54</v>
      </c>
      <c r="AE1012" s="27" t="n">
        <f>230</f>
        <v>230.0</v>
      </c>
    </row>
    <row r="1013">
      <c r="A1013" s="20" t="s">
        <v>1907</v>
      </c>
      <c r="B1013" s="21" t="s">
        <v>1908</v>
      </c>
      <c r="C1013" s="22" t="s">
        <v>1764</v>
      </c>
      <c r="D1013" s="23" t="s">
        <v>1765</v>
      </c>
      <c r="E1013" s="24" t="s">
        <v>379</v>
      </c>
      <c r="F1013" s="28" t="n">
        <f>124</f>
        <v>124.0</v>
      </c>
      <c r="G1013" s="25" t="n">
        <f>13534</f>
        <v>13534.0</v>
      </c>
      <c r="H1013" s="25"/>
      <c r="I1013" s="25" t="str">
        <f>"－"</f>
        <v>－</v>
      </c>
      <c r="J1013" s="25" t="n">
        <f>109</f>
        <v>109.0</v>
      </c>
      <c r="K1013" s="25" t="str">
        <f>"－"</f>
        <v>－</v>
      </c>
      <c r="L1013" s="2" t="s">
        <v>215</v>
      </c>
      <c r="M1013" s="26" t="n">
        <f>2649</f>
        <v>2649.0</v>
      </c>
      <c r="N1013" s="3" t="s">
        <v>68</v>
      </c>
      <c r="O1013" s="27" t="str">
        <f>"－"</f>
        <v>－</v>
      </c>
      <c r="P1013" s="29" t="s">
        <v>2000</v>
      </c>
      <c r="Q1013" s="25"/>
      <c r="R1013" s="29" t="s">
        <v>262</v>
      </c>
      <c r="S1013" s="25" t="n">
        <f>36380202</f>
        <v>3.6380202E7</v>
      </c>
      <c r="T1013" s="25" t="str">
        <f>"－"</f>
        <v>－</v>
      </c>
      <c r="U1013" s="3" t="s">
        <v>215</v>
      </c>
      <c r="V1013" s="27" t="n">
        <f>896965000</f>
        <v>8.96965E8</v>
      </c>
      <c r="W1013" s="3" t="s">
        <v>68</v>
      </c>
      <c r="X1013" s="27" t="str">
        <f>"－"</f>
        <v>－</v>
      </c>
      <c r="Y1013" s="27" t="n">
        <f>4519</f>
        <v>4519.0</v>
      </c>
      <c r="Z1013" s="25" t="str">
        <f>"－"</f>
        <v>－</v>
      </c>
      <c r="AA1013" s="25" t="n">
        <f>245</f>
        <v>245.0</v>
      </c>
      <c r="AB1013" s="2" t="s">
        <v>838</v>
      </c>
      <c r="AC1013" s="26" t="n">
        <f>5224</f>
        <v>5224.0</v>
      </c>
      <c r="AD1013" s="3" t="s">
        <v>54</v>
      </c>
      <c r="AE1013" s="27" t="n">
        <f>230</f>
        <v>230.0</v>
      </c>
    </row>
    <row r="1014">
      <c r="A1014" s="20" t="s">
        <v>1907</v>
      </c>
      <c r="B1014" s="21" t="s">
        <v>1908</v>
      </c>
      <c r="C1014" s="22" t="s">
        <v>1768</v>
      </c>
      <c r="D1014" s="23" t="s">
        <v>1769</v>
      </c>
      <c r="E1014" s="24" t="s">
        <v>379</v>
      </c>
      <c r="F1014" s="28" t="n">
        <f>124</f>
        <v>124.0</v>
      </c>
      <c r="G1014" s="25" t="n">
        <f>21110</f>
        <v>21110.0</v>
      </c>
      <c r="H1014" s="25"/>
      <c r="I1014" s="25" t="str">
        <f>"－"</f>
        <v>－</v>
      </c>
      <c r="J1014" s="25" t="n">
        <f>170</f>
        <v>170.0</v>
      </c>
      <c r="K1014" s="25" t="str">
        <f>"－"</f>
        <v>－</v>
      </c>
      <c r="L1014" s="2" t="s">
        <v>241</v>
      </c>
      <c r="M1014" s="26" t="n">
        <f>5731</f>
        <v>5731.0</v>
      </c>
      <c r="N1014" s="3" t="s">
        <v>68</v>
      </c>
      <c r="O1014" s="27" t="str">
        <f>"－"</f>
        <v>－</v>
      </c>
      <c r="P1014" s="29" t="s">
        <v>2001</v>
      </c>
      <c r="Q1014" s="25"/>
      <c r="R1014" s="29" t="s">
        <v>262</v>
      </c>
      <c r="S1014" s="25" t="n">
        <f>41575847</f>
        <v>4.1575847E7</v>
      </c>
      <c r="T1014" s="25" t="str">
        <f>"－"</f>
        <v>－</v>
      </c>
      <c r="U1014" s="3" t="s">
        <v>215</v>
      </c>
      <c r="V1014" s="27" t="n">
        <f>896965000</f>
        <v>8.96965E8</v>
      </c>
      <c r="W1014" s="3" t="s">
        <v>68</v>
      </c>
      <c r="X1014" s="27" t="str">
        <f>"－"</f>
        <v>－</v>
      </c>
      <c r="Y1014" s="27" t="n">
        <f>5519</f>
        <v>5519.0</v>
      </c>
      <c r="Z1014" s="25" t="str">
        <f>"－"</f>
        <v>－</v>
      </c>
      <c r="AA1014" s="25" t="n">
        <f>490</f>
        <v>490.0</v>
      </c>
      <c r="AB1014" s="2" t="s">
        <v>838</v>
      </c>
      <c r="AC1014" s="26" t="n">
        <f>12519</f>
        <v>12519.0</v>
      </c>
      <c r="AD1014" s="3" t="s">
        <v>54</v>
      </c>
      <c r="AE1014" s="27" t="n">
        <f>460</f>
        <v>460.0</v>
      </c>
    </row>
    <row r="1015">
      <c r="A1015" s="20" t="s">
        <v>1907</v>
      </c>
      <c r="B1015" s="21" t="s">
        <v>1908</v>
      </c>
      <c r="C1015" s="22" t="s">
        <v>1760</v>
      </c>
      <c r="D1015" s="23" t="s">
        <v>1761</v>
      </c>
      <c r="E1015" s="24" t="s">
        <v>382</v>
      </c>
      <c r="F1015" s="28" t="n">
        <f>122</f>
        <v>122.0</v>
      </c>
      <c r="G1015" s="25" t="n">
        <f>2358</f>
        <v>2358.0</v>
      </c>
      <c r="H1015" s="25"/>
      <c r="I1015" s="25" t="str">
        <f>"－"</f>
        <v>－</v>
      </c>
      <c r="J1015" s="25" t="n">
        <f>19</f>
        <v>19.0</v>
      </c>
      <c r="K1015" s="25" t="str">
        <f>"－"</f>
        <v>－</v>
      </c>
      <c r="L1015" s="2" t="s">
        <v>343</v>
      </c>
      <c r="M1015" s="26" t="n">
        <f>1000</f>
        <v>1000.0</v>
      </c>
      <c r="N1015" s="3" t="s">
        <v>147</v>
      </c>
      <c r="O1015" s="27" t="str">
        <f>"－"</f>
        <v>－</v>
      </c>
      <c r="P1015" s="29" t="s">
        <v>2002</v>
      </c>
      <c r="Q1015" s="25"/>
      <c r="R1015" s="29" t="s">
        <v>262</v>
      </c>
      <c r="S1015" s="25" t="n">
        <f>2233975</f>
        <v>2233975.0</v>
      </c>
      <c r="T1015" s="25" t="str">
        <f>"－"</f>
        <v>－</v>
      </c>
      <c r="U1015" s="3" t="s">
        <v>343</v>
      </c>
      <c r="V1015" s="27" t="n">
        <f>195000000</f>
        <v>1.95E8</v>
      </c>
      <c r="W1015" s="3" t="s">
        <v>147</v>
      </c>
      <c r="X1015" s="27" t="str">
        <f>"－"</f>
        <v>－</v>
      </c>
      <c r="Y1015" s="27" t="str">
        <f>"－"</f>
        <v>－</v>
      </c>
      <c r="Z1015" s="25" t="str">
        <f>"－"</f>
        <v>－</v>
      </c>
      <c r="AA1015" s="25" t="n">
        <f>1433</f>
        <v>1433.0</v>
      </c>
      <c r="AB1015" s="2" t="s">
        <v>343</v>
      </c>
      <c r="AC1015" s="26" t="n">
        <f>1433</f>
        <v>1433.0</v>
      </c>
      <c r="AD1015" s="3" t="s">
        <v>2003</v>
      </c>
      <c r="AE1015" s="27" t="n">
        <f>240</f>
        <v>240.0</v>
      </c>
    </row>
    <row r="1016">
      <c r="A1016" s="20" t="s">
        <v>1907</v>
      </c>
      <c r="B1016" s="21" t="s">
        <v>1908</v>
      </c>
      <c r="C1016" s="22" t="s">
        <v>1764</v>
      </c>
      <c r="D1016" s="23" t="s">
        <v>1765</v>
      </c>
      <c r="E1016" s="24" t="s">
        <v>382</v>
      </c>
      <c r="F1016" s="28" t="n">
        <f>122</f>
        <v>122.0</v>
      </c>
      <c r="G1016" s="25" t="n">
        <f>7735</f>
        <v>7735.0</v>
      </c>
      <c r="H1016" s="25"/>
      <c r="I1016" s="25" t="str">
        <f>"－"</f>
        <v>－</v>
      </c>
      <c r="J1016" s="25" t="n">
        <f>63</f>
        <v>63.0</v>
      </c>
      <c r="K1016" s="25" t="str">
        <f>"－"</f>
        <v>－</v>
      </c>
      <c r="L1016" s="2" t="s">
        <v>733</v>
      </c>
      <c r="M1016" s="26" t="n">
        <f>2413</f>
        <v>2413.0</v>
      </c>
      <c r="N1016" s="3" t="s">
        <v>369</v>
      </c>
      <c r="O1016" s="27" t="str">
        <f>"－"</f>
        <v>－</v>
      </c>
      <c r="P1016" s="29" t="s">
        <v>2004</v>
      </c>
      <c r="Q1016" s="25"/>
      <c r="R1016" s="29" t="s">
        <v>262</v>
      </c>
      <c r="S1016" s="25" t="n">
        <f>26462992</f>
        <v>2.6462992E7</v>
      </c>
      <c r="T1016" s="25" t="str">
        <f>"－"</f>
        <v>－</v>
      </c>
      <c r="U1016" s="3" t="s">
        <v>88</v>
      </c>
      <c r="V1016" s="27" t="n">
        <f>932495000</f>
        <v>9.32495E8</v>
      </c>
      <c r="W1016" s="3" t="s">
        <v>369</v>
      </c>
      <c r="X1016" s="27" t="str">
        <f>"－"</f>
        <v>－</v>
      </c>
      <c r="Y1016" s="27" t="str">
        <f>"－"</f>
        <v>－</v>
      </c>
      <c r="Z1016" s="25" t="str">
        <f>"－"</f>
        <v>－</v>
      </c>
      <c r="AA1016" s="25" t="n">
        <f>1345</f>
        <v>1345.0</v>
      </c>
      <c r="AB1016" s="2" t="s">
        <v>273</v>
      </c>
      <c r="AC1016" s="26" t="n">
        <f>2683</f>
        <v>2683.0</v>
      </c>
      <c r="AD1016" s="3" t="s">
        <v>733</v>
      </c>
      <c r="AE1016" s="27" t="n">
        <f>265</f>
        <v>265.0</v>
      </c>
    </row>
    <row r="1017">
      <c r="A1017" s="20" t="s">
        <v>1907</v>
      </c>
      <c r="B1017" s="21" t="s">
        <v>1908</v>
      </c>
      <c r="C1017" s="22" t="s">
        <v>1768</v>
      </c>
      <c r="D1017" s="23" t="s">
        <v>1769</v>
      </c>
      <c r="E1017" s="24" t="s">
        <v>382</v>
      </c>
      <c r="F1017" s="28" t="n">
        <f>122</f>
        <v>122.0</v>
      </c>
      <c r="G1017" s="25" t="n">
        <f>10093</f>
        <v>10093.0</v>
      </c>
      <c r="H1017" s="25"/>
      <c r="I1017" s="25" t="str">
        <f>"－"</f>
        <v>－</v>
      </c>
      <c r="J1017" s="25" t="n">
        <f>83</f>
        <v>83.0</v>
      </c>
      <c r="K1017" s="25" t="str">
        <f>"－"</f>
        <v>－</v>
      </c>
      <c r="L1017" s="2" t="s">
        <v>733</v>
      </c>
      <c r="M1017" s="26" t="n">
        <f>2413</f>
        <v>2413.0</v>
      </c>
      <c r="N1017" s="3" t="s">
        <v>369</v>
      </c>
      <c r="O1017" s="27" t="str">
        <f>"－"</f>
        <v>－</v>
      </c>
      <c r="P1017" s="29" t="s">
        <v>2005</v>
      </c>
      <c r="Q1017" s="25"/>
      <c r="R1017" s="29" t="s">
        <v>262</v>
      </c>
      <c r="S1017" s="25" t="n">
        <f>28696967</f>
        <v>2.8696967E7</v>
      </c>
      <c r="T1017" s="25" t="str">
        <f>"－"</f>
        <v>－</v>
      </c>
      <c r="U1017" s="3" t="s">
        <v>88</v>
      </c>
      <c r="V1017" s="27" t="n">
        <f>953440000</f>
        <v>9.5344E8</v>
      </c>
      <c r="W1017" s="3" t="s">
        <v>369</v>
      </c>
      <c r="X1017" s="27" t="str">
        <f>"－"</f>
        <v>－</v>
      </c>
      <c r="Y1017" s="27" t="str">
        <f>"－"</f>
        <v>－</v>
      </c>
      <c r="Z1017" s="25" t="str">
        <f>"－"</f>
        <v>－</v>
      </c>
      <c r="AA1017" s="25" t="n">
        <f>2778</f>
        <v>2778.0</v>
      </c>
      <c r="AB1017" s="2" t="s">
        <v>273</v>
      </c>
      <c r="AC1017" s="26" t="n">
        <f>2953</f>
        <v>2953.0</v>
      </c>
      <c r="AD1017" s="3" t="s">
        <v>733</v>
      </c>
      <c r="AE1017" s="27" t="n">
        <f>530</f>
        <v>530.0</v>
      </c>
    </row>
    <row r="1018">
      <c r="A1018" s="20" t="s">
        <v>1907</v>
      </c>
      <c r="B1018" s="21" t="s">
        <v>1908</v>
      </c>
      <c r="C1018" s="22" t="s">
        <v>1760</v>
      </c>
      <c r="D1018" s="23" t="s">
        <v>1761</v>
      </c>
      <c r="E1018" s="24" t="s">
        <v>385</v>
      </c>
      <c r="F1018" s="28" t="n">
        <f>124</f>
        <v>124.0</v>
      </c>
      <c r="G1018" s="25" t="n">
        <f>4475</f>
        <v>4475.0</v>
      </c>
      <c r="H1018" s="25"/>
      <c r="I1018" s="25" t="str">
        <f>"－"</f>
        <v>－</v>
      </c>
      <c r="J1018" s="25" t="n">
        <f>36</f>
        <v>36.0</v>
      </c>
      <c r="K1018" s="25" t="str">
        <f>"－"</f>
        <v>－</v>
      </c>
      <c r="L1018" s="2" t="s">
        <v>81</v>
      </c>
      <c r="M1018" s="26" t="n">
        <f>1440</f>
        <v>1440.0</v>
      </c>
      <c r="N1018" s="3" t="s">
        <v>68</v>
      </c>
      <c r="O1018" s="27" t="str">
        <f>"－"</f>
        <v>－</v>
      </c>
      <c r="P1018" s="29" t="s">
        <v>2006</v>
      </c>
      <c r="Q1018" s="25"/>
      <c r="R1018" s="29" t="s">
        <v>262</v>
      </c>
      <c r="S1018" s="25" t="n">
        <f>3027056</f>
        <v>3027056.0</v>
      </c>
      <c r="T1018" s="25" t="str">
        <f>"－"</f>
        <v>－</v>
      </c>
      <c r="U1018" s="3" t="s">
        <v>1917</v>
      </c>
      <c r="V1018" s="27" t="n">
        <f>154000000</f>
        <v>1.54E8</v>
      </c>
      <c r="W1018" s="3" t="s">
        <v>68</v>
      </c>
      <c r="X1018" s="27" t="str">
        <f>"－"</f>
        <v>－</v>
      </c>
      <c r="Y1018" s="27" t="n">
        <f>1500</f>
        <v>1500.0</v>
      </c>
      <c r="Z1018" s="25" t="str">
        <f>"－"</f>
        <v>－</v>
      </c>
      <c r="AA1018" s="25" t="n">
        <f>720</f>
        <v>720.0</v>
      </c>
      <c r="AB1018" s="2" t="s">
        <v>321</v>
      </c>
      <c r="AC1018" s="26" t="n">
        <f>1933</f>
        <v>1933.0</v>
      </c>
      <c r="AD1018" s="3" t="s">
        <v>1082</v>
      </c>
      <c r="AE1018" s="27" t="n">
        <f>380</f>
        <v>380.0</v>
      </c>
    </row>
    <row r="1019">
      <c r="A1019" s="20" t="s">
        <v>1907</v>
      </c>
      <c r="B1019" s="21" t="s">
        <v>1908</v>
      </c>
      <c r="C1019" s="22" t="s">
        <v>1764</v>
      </c>
      <c r="D1019" s="23" t="s">
        <v>1765</v>
      </c>
      <c r="E1019" s="24" t="s">
        <v>385</v>
      </c>
      <c r="F1019" s="28" t="n">
        <f>124</f>
        <v>124.0</v>
      </c>
      <c r="G1019" s="25" t="n">
        <f>3075</f>
        <v>3075.0</v>
      </c>
      <c r="H1019" s="25"/>
      <c r="I1019" s="25" t="str">
        <f>"－"</f>
        <v>－</v>
      </c>
      <c r="J1019" s="25" t="n">
        <f>25</f>
        <v>25.0</v>
      </c>
      <c r="K1019" s="25" t="str">
        <f>"－"</f>
        <v>－</v>
      </c>
      <c r="L1019" s="2" t="s">
        <v>81</v>
      </c>
      <c r="M1019" s="26" t="n">
        <f>1440</f>
        <v>1440.0</v>
      </c>
      <c r="N1019" s="3" t="s">
        <v>68</v>
      </c>
      <c r="O1019" s="27" t="str">
        <f>"－"</f>
        <v>－</v>
      </c>
      <c r="P1019" s="29" t="s">
        <v>2007</v>
      </c>
      <c r="Q1019" s="25"/>
      <c r="R1019" s="29" t="s">
        <v>262</v>
      </c>
      <c r="S1019" s="25" t="n">
        <f>24091774</f>
        <v>2.4091774E7</v>
      </c>
      <c r="T1019" s="25" t="str">
        <f>"－"</f>
        <v>－</v>
      </c>
      <c r="U1019" s="3" t="s">
        <v>81</v>
      </c>
      <c r="V1019" s="27" t="n">
        <f>1422720000</f>
        <v>1.42272E9</v>
      </c>
      <c r="W1019" s="3" t="s">
        <v>68</v>
      </c>
      <c r="X1019" s="27" t="str">
        <f>"－"</f>
        <v>－</v>
      </c>
      <c r="Y1019" s="27" t="str">
        <f>"－"</f>
        <v>－</v>
      </c>
      <c r="Z1019" s="25" t="str">
        <f>"－"</f>
        <v>－</v>
      </c>
      <c r="AA1019" s="25" t="n">
        <f>720</f>
        <v>720.0</v>
      </c>
      <c r="AB1019" s="2" t="s">
        <v>321</v>
      </c>
      <c r="AC1019" s="26" t="n">
        <f>1845</f>
        <v>1845.0</v>
      </c>
      <c r="AD1019" s="3" t="s">
        <v>1158</v>
      </c>
      <c r="AE1019" s="27" t="n">
        <f>345</f>
        <v>345.0</v>
      </c>
    </row>
    <row r="1020">
      <c r="A1020" s="20" t="s">
        <v>1907</v>
      </c>
      <c r="B1020" s="21" t="s">
        <v>1908</v>
      </c>
      <c r="C1020" s="22" t="s">
        <v>1768</v>
      </c>
      <c r="D1020" s="23" t="s">
        <v>1769</v>
      </c>
      <c r="E1020" s="24" t="s">
        <v>385</v>
      </c>
      <c r="F1020" s="28" t="n">
        <f>124</f>
        <v>124.0</v>
      </c>
      <c r="G1020" s="25" t="n">
        <f>7550</f>
        <v>7550.0</v>
      </c>
      <c r="H1020" s="25"/>
      <c r="I1020" s="25" t="str">
        <f>"－"</f>
        <v>－</v>
      </c>
      <c r="J1020" s="25" t="n">
        <f>61</f>
        <v>61.0</v>
      </c>
      <c r="K1020" s="25" t="str">
        <f>"－"</f>
        <v>－</v>
      </c>
      <c r="L1020" s="2" t="s">
        <v>81</v>
      </c>
      <c r="M1020" s="26" t="n">
        <f>2880</f>
        <v>2880.0</v>
      </c>
      <c r="N1020" s="3" t="s">
        <v>68</v>
      </c>
      <c r="O1020" s="27" t="str">
        <f>"－"</f>
        <v>－</v>
      </c>
      <c r="P1020" s="29" t="s">
        <v>2008</v>
      </c>
      <c r="Q1020" s="25"/>
      <c r="R1020" s="29" t="s">
        <v>262</v>
      </c>
      <c r="S1020" s="25" t="n">
        <f>27118831</f>
        <v>2.7118831E7</v>
      </c>
      <c r="T1020" s="25" t="str">
        <f>"－"</f>
        <v>－</v>
      </c>
      <c r="U1020" s="3" t="s">
        <v>81</v>
      </c>
      <c r="V1020" s="27" t="n">
        <f>1477440000</f>
        <v>1.47744E9</v>
      </c>
      <c r="W1020" s="3" t="s">
        <v>68</v>
      </c>
      <c r="X1020" s="27" t="str">
        <f>"－"</f>
        <v>－</v>
      </c>
      <c r="Y1020" s="27" t="n">
        <f>1500</f>
        <v>1500.0</v>
      </c>
      <c r="Z1020" s="25" t="str">
        <f>"－"</f>
        <v>－</v>
      </c>
      <c r="AA1020" s="25" t="n">
        <f>1440</f>
        <v>1440.0</v>
      </c>
      <c r="AB1020" s="2" t="s">
        <v>321</v>
      </c>
      <c r="AC1020" s="26" t="n">
        <f>3778</f>
        <v>3778.0</v>
      </c>
      <c r="AD1020" s="3" t="s">
        <v>1082</v>
      </c>
      <c r="AE1020" s="27" t="n">
        <f>760</f>
        <v>760.0</v>
      </c>
    </row>
    <row r="1021">
      <c r="A1021" s="20" t="s">
        <v>1907</v>
      </c>
      <c r="B1021" s="21" t="s">
        <v>1908</v>
      </c>
      <c r="C1021" s="22" t="s">
        <v>1760</v>
      </c>
      <c r="D1021" s="23" t="s">
        <v>1761</v>
      </c>
      <c r="E1021" s="24" t="s">
        <v>389</v>
      </c>
      <c r="F1021" s="28" t="n">
        <f>121</f>
        <v>121.0</v>
      </c>
      <c r="G1021" s="25" t="n">
        <f>3490</f>
        <v>3490.0</v>
      </c>
      <c r="H1021" s="25"/>
      <c r="I1021" s="25" t="str">
        <f>"－"</f>
        <v>－</v>
      </c>
      <c r="J1021" s="25" t="n">
        <f>29</f>
        <v>29.0</v>
      </c>
      <c r="K1021" s="25" t="str">
        <f>"－"</f>
        <v>－</v>
      </c>
      <c r="L1021" s="2" t="s">
        <v>427</v>
      </c>
      <c r="M1021" s="26" t="n">
        <f>1520</f>
        <v>1520.0</v>
      </c>
      <c r="N1021" s="3" t="s">
        <v>156</v>
      </c>
      <c r="O1021" s="27" t="str">
        <f>"－"</f>
        <v>－</v>
      </c>
      <c r="P1021" s="29" t="s">
        <v>2009</v>
      </c>
      <c r="Q1021" s="25"/>
      <c r="R1021" s="29" t="s">
        <v>262</v>
      </c>
      <c r="S1021" s="25" t="n">
        <f>684380</f>
        <v>684380.0</v>
      </c>
      <c r="T1021" s="25" t="str">
        <f>"－"</f>
        <v>－</v>
      </c>
      <c r="U1021" s="3" t="s">
        <v>70</v>
      </c>
      <c r="V1021" s="27" t="n">
        <f>42900000</f>
        <v>4.29E7</v>
      </c>
      <c r="W1021" s="3" t="s">
        <v>156</v>
      </c>
      <c r="X1021" s="27" t="str">
        <f>"－"</f>
        <v>－</v>
      </c>
      <c r="Y1021" s="27" t="str">
        <f>"－"</f>
        <v>－</v>
      </c>
      <c r="Z1021" s="25" t="str">
        <f>"－"</f>
        <v>－</v>
      </c>
      <c r="AA1021" s="25" t="n">
        <f>1150</f>
        <v>1150.0</v>
      </c>
      <c r="AB1021" s="2" t="s">
        <v>251</v>
      </c>
      <c r="AC1021" s="26" t="n">
        <f>1150</f>
        <v>1150.0</v>
      </c>
      <c r="AD1021" s="3" t="s">
        <v>1941</v>
      </c>
      <c r="AE1021" s="27" t="n">
        <f>715</f>
        <v>715.0</v>
      </c>
    </row>
    <row r="1022">
      <c r="A1022" s="20" t="s">
        <v>1907</v>
      </c>
      <c r="B1022" s="21" t="s">
        <v>1908</v>
      </c>
      <c r="C1022" s="22" t="s">
        <v>1764</v>
      </c>
      <c r="D1022" s="23" t="s">
        <v>1765</v>
      </c>
      <c r="E1022" s="24" t="s">
        <v>389</v>
      </c>
      <c r="F1022" s="28" t="n">
        <f>121</f>
        <v>121.0</v>
      </c>
      <c r="G1022" s="25" t="n">
        <f>3490</f>
        <v>3490.0</v>
      </c>
      <c r="H1022" s="25"/>
      <c r="I1022" s="25" t="str">
        <f>"－"</f>
        <v>－</v>
      </c>
      <c r="J1022" s="25" t="n">
        <f>29</f>
        <v>29.0</v>
      </c>
      <c r="K1022" s="25" t="str">
        <f>"－"</f>
        <v>－</v>
      </c>
      <c r="L1022" s="2" t="s">
        <v>427</v>
      </c>
      <c r="M1022" s="26" t="n">
        <f>1520</f>
        <v>1520.0</v>
      </c>
      <c r="N1022" s="3" t="s">
        <v>156</v>
      </c>
      <c r="O1022" s="27" t="str">
        <f>"－"</f>
        <v>－</v>
      </c>
      <c r="P1022" s="29" t="s">
        <v>2010</v>
      </c>
      <c r="Q1022" s="25"/>
      <c r="R1022" s="29" t="s">
        <v>262</v>
      </c>
      <c r="S1022" s="25" t="n">
        <f>33501157</f>
        <v>3.3501157E7</v>
      </c>
      <c r="T1022" s="25" t="str">
        <f>"－"</f>
        <v>－</v>
      </c>
      <c r="U1022" s="3" t="s">
        <v>70</v>
      </c>
      <c r="V1022" s="27" t="n">
        <f>1957560000</f>
        <v>1.95756E9</v>
      </c>
      <c r="W1022" s="3" t="s">
        <v>156</v>
      </c>
      <c r="X1022" s="27" t="str">
        <f>"－"</f>
        <v>－</v>
      </c>
      <c r="Y1022" s="27" t="str">
        <f>"－"</f>
        <v>－</v>
      </c>
      <c r="Z1022" s="25" t="str">
        <f>"－"</f>
        <v>－</v>
      </c>
      <c r="AA1022" s="25" t="n">
        <f>1150</f>
        <v>1150.0</v>
      </c>
      <c r="AB1022" s="2" t="s">
        <v>251</v>
      </c>
      <c r="AC1022" s="26" t="n">
        <f>1150</f>
        <v>1150.0</v>
      </c>
      <c r="AD1022" s="3" t="s">
        <v>1941</v>
      </c>
      <c r="AE1022" s="27" t="n">
        <f>715</f>
        <v>715.0</v>
      </c>
    </row>
    <row r="1023">
      <c r="A1023" s="20" t="s">
        <v>1907</v>
      </c>
      <c r="B1023" s="21" t="s">
        <v>1908</v>
      </c>
      <c r="C1023" s="22" t="s">
        <v>1768</v>
      </c>
      <c r="D1023" s="23" t="s">
        <v>1769</v>
      </c>
      <c r="E1023" s="24" t="s">
        <v>389</v>
      </c>
      <c r="F1023" s="28" t="n">
        <f>121</f>
        <v>121.0</v>
      </c>
      <c r="G1023" s="25" t="n">
        <f>6980</f>
        <v>6980.0</v>
      </c>
      <c r="H1023" s="25"/>
      <c r="I1023" s="25" t="str">
        <f>"－"</f>
        <v>－</v>
      </c>
      <c r="J1023" s="25" t="n">
        <f>58</f>
        <v>58.0</v>
      </c>
      <c r="K1023" s="25" t="str">
        <f>"－"</f>
        <v>－</v>
      </c>
      <c r="L1023" s="2" t="s">
        <v>427</v>
      </c>
      <c r="M1023" s="26" t="n">
        <f>3040</f>
        <v>3040.0</v>
      </c>
      <c r="N1023" s="3" t="s">
        <v>156</v>
      </c>
      <c r="O1023" s="27" t="str">
        <f>"－"</f>
        <v>－</v>
      </c>
      <c r="P1023" s="29" t="s">
        <v>2011</v>
      </c>
      <c r="Q1023" s="25"/>
      <c r="R1023" s="29" t="s">
        <v>262</v>
      </c>
      <c r="S1023" s="25" t="n">
        <f>34185537</f>
        <v>3.4185537E7</v>
      </c>
      <c r="T1023" s="25" t="str">
        <f>"－"</f>
        <v>－</v>
      </c>
      <c r="U1023" s="3" t="s">
        <v>70</v>
      </c>
      <c r="V1023" s="27" t="n">
        <f>2000460000</f>
        <v>2.00046E9</v>
      </c>
      <c r="W1023" s="3" t="s">
        <v>156</v>
      </c>
      <c r="X1023" s="27" t="str">
        <f>"－"</f>
        <v>－</v>
      </c>
      <c r="Y1023" s="27" t="str">
        <f>"－"</f>
        <v>－</v>
      </c>
      <c r="Z1023" s="25" t="str">
        <f>"－"</f>
        <v>－</v>
      </c>
      <c r="AA1023" s="25" t="n">
        <f>2300</f>
        <v>2300.0</v>
      </c>
      <c r="AB1023" s="2" t="s">
        <v>251</v>
      </c>
      <c r="AC1023" s="26" t="n">
        <f>2300</f>
        <v>2300.0</v>
      </c>
      <c r="AD1023" s="3" t="s">
        <v>1941</v>
      </c>
      <c r="AE1023" s="27" t="n">
        <f>1430</f>
        <v>1430.0</v>
      </c>
    </row>
    <row r="1024">
      <c r="A1024" s="20" t="s">
        <v>1907</v>
      </c>
      <c r="B1024" s="21" t="s">
        <v>1908</v>
      </c>
      <c r="C1024" s="22" t="s">
        <v>1760</v>
      </c>
      <c r="D1024" s="23" t="s">
        <v>1761</v>
      </c>
      <c r="E1024" s="24" t="s">
        <v>392</v>
      </c>
      <c r="F1024" s="28" t="n">
        <f>124</f>
        <v>124.0</v>
      </c>
      <c r="G1024" s="25" t="n">
        <f>6905</f>
        <v>6905.0</v>
      </c>
      <c r="H1024" s="25"/>
      <c r="I1024" s="25" t="str">
        <f>"－"</f>
        <v>－</v>
      </c>
      <c r="J1024" s="25" t="n">
        <f>56</f>
        <v>56.0</v>
      </c>
      <c r="K1024" s="25" t="str">
        <f>"－"</f>
        <v>－</v>
      </c>
      <c r="L1024" s="2" t="s">
        <v>141</v>
      </c>
      <c r="M1024" s="26" t="n">
        <f>2440</f>
        <v>2440.0</v>
      </c>
      <c r="N1024" s="3" t="s">
        <v>68</v>
      </c>
      <c r="O1024" s="27" t="str">
        <f>"－"</f>
        <v>－</v>
      </c>
      <c r="P1024" s="29" t="s">
        <v>2012</v>
      </c>
      <c r="Q1024" s="25"/>
      <c r="R1024" s="29" t="s">
        <v>262</v>
      </c>
      <c r="S1024" s="25" t="n">
        <f>3628306</f>
        <v>3628306.0</v>
      </c>
      <c r="T1024" s="25" t="str">
        <f>"－"</f>
        <v>－</v>
      </c>
      <c r="U1024" s="3" t="s">
        <v>81</v>
      </c>
      <c r="V1024" s="27" t="n">
        <f>160450000</f>
        <v>1.6045E8</v>
      </c>
      <c r="W1024" s="3" t="s">
        <v>68</v>
      </c>
      <c r="X1024" s="27" t="str">
        <f>"－"</f>
        <v>－</v>
      </c>
      <c r="Y1024" s="27" t="str">
        <f>"－"</f>
        <v>－</v>
      </c>
      <c r="Z1024" s="25" t="str">
        <f>"－"</f>
        <v>－</v>
      </c>
      <c r="AA1024" s="25" t="n">
        <f>2735</f>
        <v>2735.0</v>
      </c>
      <c r="AB1024" s="2" t="s">
        <v>81</v>
      </c>
      <c r="AC1024" s="26" t="n">
        <f>2800</f>
        <v>2800.0</v>
      </c>
      <c r="AD1024" s="3" t="s">
        <v>318</v>
      </c>
      <c r="AE1024" s="27" t="n">
        <f>895</f>
        <v>895.0</v>
      </c>
    </row>
    <row r="1025">
      <c r="A1025" s="20" t="s">
        <v>1907</v>
      </c>
      <c r="B1025" s="21" t="s">
        <v>1908</v>
      </c>
      <c r="C1025" s="22" t="s">
        <v>1764</v>
      </c>
      <c r="D1025" s="23" t="s">
        <v>1765</v>
      </c>
      <c r="E1025" s="24" t="s">
        <v>392</v>
      </c>
      <c r="F1025" s="28" t="n">
        <f>124</f>
        <v>124.0</v>
      </c>
      <c r="G1025" s="25" t="n">
        <f>6119</f>
        <v>6119.0</v>
      </c>
      <c r="H1025" s="25"/>
      <c r="I1025" s="25" t="str">
        <f>"－"</f>
        <v>－</v>
      </c>
      <c r="J1025" s="25" t="n">
        <f>49</f>
        <v>49.0</v>
      </c>
      <c r="K1025" s="25" t="str">
        <f>"－"</f>
        <v>－</v>
      </c>
      <c r="L1025" s="2" t="s">
        <v>141</v>
      </c>
      <c r="M1025" s="26" t="n">
        <f>2440</f>
        <v>2440.0</v>
      </c>
      <c r="N1025" s="3" t="s">
        <v>68</v>
      </c>
      <c r="O1025" s="27" t="str">
        <f>"－"</f>
        <v>－</v>
      </c>
      <c r="P1025" s="29" t="s">
        <v>2013</v>
      </c>
      <c r="Q1025" s="25"/>
      <c r="R1025" s="29" t="s">
        <v>262</v>
      </c>
      <c r="S1025" s="25" t="n">
        <f>102842944</f>
        <v>1.02842944E8</v>
      </c>
      <c r="T1025" s="25" t="str">
        <f>"－"</f>
        <v>－</v>
      </c>
      <c r="U1025" s="3" t="s">
        <v>77</v>
      </c>
      <c r="V1025" s="27" t="n">
        <f>5951600000</f>
        <v>5.9516E9</v>
      </c>
      <c r="W1025" s="3" t="s">
        <v>68</v>
      </c>
      <c r="X1025" s="27" t="str">
        <f>"－"</f>
        <v>－</v>
      </c>
      <c r="Y1025" s="27" t="str">
        <f>"－"</f>
        <v>－</v>
      </c>
      <c r="Z1025" s="25" t="str">
        <f>"－"</f>
        <v>－</v>
      </c>
      <c r="AA1025" s="25" t="n">
        <f>815</f>
        <v>815.0</v>
      </c>
      <c r="AB1025" s="2" t="s">
        <v>388</v>
      </c>
      <c r="AC1025" s="26" t="n">
        <f>1787</f>
        <v>1787.0</v>
      </c>
      <c r="AD1025" s="3" t="s">
        <v>129</v>
      </c>
      <c r="AE1025" s="27" t="n">
        <f>815</f>
        <v>815.0</v>
      </c>
    </row>
    <row r="1026">
      <c r="A1026" s="20" t="s">
        <v>1907</v>
      </c>
      <c r="B1026" s="21" t="s">
        <v>1908</v>
      </c>
      <c r="C1026" s="22" t="s">
        <v>1768</v>
      </c>
      <c r="D1026" s="23" t="s">
        <v>1769</v>
      </c>
      <c r="E1026" s="24" t="s">
        <v>392</v>
      </c>
      <c r="F1026" s="28" t="n">
        <f>124</f>
        <v>124.0</v>
      </c>
      <c r="G1026" s="25" t="n">
        <f>13024</f>
        <v>13024.0</v>
      </c>
      <c r="H1026" s="25"/>
      <c r="I1026" s="25" t="str">
        <f>"－"</f>
        <v>－</v>
      </c>
      <c r="J1026" s="25" t="n">
        <f>105</f>
        <v>105.0</v>
      </c>
      <c r="K1026" s="25" t="str">
        <f>"－"</f>
        <v>－</v>
      </c>
      <c r="L1026" s="2" t="s">
        <v>141</v>
      </c>
      <c r="M1026" s="26" t="n">
        <f>4880</f>
        <v>4880.0</v>
      </c>
      <c r="N1026" s="3" t="s">
        <v>68</v>
      </c>
      <c r="O1026" s="27" t="str">
        <f>"－"</f>
        <v>－</v>
      </c>
      <c r="P1026" s="29" t="s">
        <v>2014</v>
      </c>
      <c r="Q1026" s="25"/>
      <c r="R1026" s="29" t="s">
        <v>262</v>
      </c>
      <c r="S1026" s="25" t="n">
        <f>106471250</f>
        <v>1.0647125E8</v>
      </c>
      <c r="T1026" s="25" t="str">
        <f>"－"</f>
        <v>－</v>
      </c>
      <c r="U1026" s="3" t="s">
        <v>77</v>
      </c>
      <c r="V1026" s="27" t="n">
        <f>6024415000</f>
        <v>6.024415E9</v>
      </c>
      <c r="W1026" s="3" t="s">
        <v>68</v>
      </c>
      <c r="X1026" s="27" t="str">
        <f>"－"</f>
        <v>－</v>
      </c>
      <c r="Y1026" s="27" t="str">
        <f>"－"</f>
        <v>－</v>
      </c>
      <c r="Z1026" s="25" t="str">
        <f>"－"</f>
        <v>－</v>
      </c>
      <c r="AA1026" s="25" t="n">
        <f>3550</f>
        <v>3550.0</v>
      </c>
      <c r="AB1026" s="2" t="s">
        <v>81</v>
      </c>
      <c r="AC1026" s="26" t="n">
        <f>3680</f>
        <v>3680.0</v>
      </c>
      <c r="AD1026" s="3" t="s">
        <v>318</v>
      </c>
      <c r="AE1026" s="27" t="n">
        <f>1790</f>
        <v>1790.0</v>
      </c>
    </row>
    <row r="1027">
      <c r="A1027" s="20" t="s">
        <v>1907</v>
      </c>
      <c r="B1027" s="21" t="s">
        <v>1908</v>
      </c>
      <c r="C1027" s="22" t="s">
        <v>1760</v>
      </c>
      <c r="D1027" s="23" t="s">
        <v>1761</v>
      </c>
      <c r="E1027" s="24" t="s">
        <v>396</v>
      </c>
      <c r="F1027" s="28" t="n">
        <f>123</f>
        <v>123.0</v>
      </c>
      <c r="G1027" s="25" t="n">
        <f>4908</f>
        <v>4908.0</v>
      </c>
      <c r="H1027" s="25"/>
      <c r="I1027" s="25" t="str">
        <f>"－"</f>
        <v>－</v>
      </c>
      <c r="J1027" s="25" t="n">
        <f>40</f>
        <v>40.0</v>
      </c>
      <c r="K1027" s="25" t="str">
        <f>"－"</f>
        <v>－</v>
      </c>
      <c r="L1027" s="2" t="s">
        <v>981</v>
      </c>
      <c r="M1027" s="26" t="n">
        <f>1000</f>
        <v>1000.0</v>
      </c>
      <c r="N1027" s="3" t="s">
        <v>156</v>
      </c>
      <c r="O1027" s="27" t="str">
        <f>"－"</f>
        <v>－</v>
      </c>
      <c r="P1027" s="29" t="s">
        <v>2015</v>
      </c>
      <c r="Q1027" s="25"/>
      <c r="R1027" s="29" t="s">
        <v>262</v>
      </c>
      <c r="S1027" s="25" t="n">
        <f>6376707</f>
        <v>6376707.0</v>
      </c>
      <c r="T1027" s="25" t="str">
        <f>"－"</f>
        <v>－</v>
      </c>
      <c r="U1027" s="3" t="s">
        <v>1922</v>
      </c>
      <c r="V1027" s="27" t="n">
        <f>153000000</f>
        <v>1.53E8</v>
      </c>
      <c r="W1027" s="3" t="s">
        <v>156</v>
      </c>
      <c r="X1027" s="27" t="str">
        <f>"－"</f>
        <v>－</v>
      </c>
      <c r="Y1027" s="27" t="str">
        <f>"－"</f>
        <v>－</v>
      </c>
      <c r="Z1027" s="25" t="str">
        <f>"－"</f>
        <v>－</v>
      </c>
      <c r="AA1027" s="25" t="n">
        <f>779</f>
        <v>779.0</v>
      </c>
      <c r="AB1027" s="2" t="s">
        <v>156</v>
      </c>
      <c r="AC1027" s="26" t="n">
        <f>2735</f>
        <v>2735.0</v>
      </c>
      <c r="AD1027" s="3" t="s">
        <v>1016</v>
      </c>
      <c r="AE1027" s="27" t="n">
        <f>660</f>
        <v>660.0</v>
      </c>
    </row>
    <row r="1028">
      <c r="A1028" s="20" t="s">
        <v>1907</v>
      </c>
      <c r="B1028" s="21" t="s">
        <v>1908</v>
      </c>
      <c r="C1028" s="22" t="s">
        <v>1764</v>
      </c>
      <c r="D1028" s="23" t="s">
        <v>1765</v>
      </c>
      <c r="E1028" s="24" t="s">
        <v>396</v>
      </c>
      <c r="F1028" s="28" t="n">
        <f>123</f>
        <v>123.0</v>
      </c>
      <c r="G1028" s="25" t="n">
        <f>3908</f>
        <v>3908.0</v>
      </c>
      <c r="H1028" s="25"/>
      <c r="I1028" s="25" t="str">
        <f>"－"</f>
        <v>－</v>
      </c>
      <c r="J1028" s="25" t="n">
        <f>32</f>
        <v>32.0</v>
      </c>
      <c r="K1028" s="25" t="str">
        <f>"－"</f>
        <v>－</v>
      </c>
      <c r="L1028" s="2" t="s">
        <v>84</v>
      </c>
      <c r="M1028" s="26" t="n">
        <f>750</f>
        <v>750.0</v>
      </c>
      <c r="N1028" s="3" t="s">
        <v>156</v>
      </c>
      <c r="O1028" s="27" t="str">
        <f>"－"</f>
        <v>－</v>
      </c>
      <c r="P1028" s="29" t="s">
        <v>2016</v>
      </c>
      <c r="Q1028" s="25"/>
      <c r="R1028" s="29" t="s">
        <v>262</v>
      </c>
      <c r="S1028" s="25" t="n">
        <f>44620285</f>
        <v>4.4620285E7</v>
      </c>
      <c r="T1028" s="25" t="str">
        <f>"－"</f>
        <v>－</v>
      </c>
      <c r="U1028" s="3" t="s">
        <v>84</v>
      </c>
      <c r="V1028" s="27" t="n">
        <f>1500000000</f>
        <v>1.5E9</v>
      </c>
      <c r="W1028" s="3" t="s">
        <v>156</v>
      </c>
      <c r="X1028" s="27" t="str">
        <f>"－"</f>
        <v>－</v>
      </c>
      <c r="Y1028" s="27" t="n">
        <f>16</f>
        <v>16.0</v>
      </c>
      <c r="Z1028" s="25" t="str">
        <f>"－"</f>
        <v>－</v>
      </c>
      <c r="AA1028" s="25" t="n">
        <f>779</f>
        <v>779.0</v>
      </c>
      <c r="AB1028" s="2" t="s">
        <v>1922</v>
      </c>
      <c r="AC1028" s="26" t="n">
        <f>977</f>
        <v>977.0</v>
      </c>
      <c r="AD1028" s="3" t="s">
        <v>275</v>
      </c>
      <c r="AE1028" s="27" t="n">
        <f>650</f>
        <v>650.0</v>
      </c>
    </row>
    <row r="1029">
      <c r="A1029" s="20" t="s">
        <v>1907</v>
      </c>
      <c r="B1029" s="21" t="s">
        <v>1908</v>
      </c>
      <c r="C1029" s="22" t="s">
        <v>1768</v>
      </c>
      <c r="D1029" s="23" t="s">
        <v>1769</v>
      </c>
      <c r="E1029" s="24" t="s">
        <v>396</v>
      </c>
      <c r="F1029" s="28" t="n">
        <f>123</f>
        <v>123.0</v>
      </c>
      <c r="G1029" s="25" t="n">
        <f>8816</f>
        <v>8816.0</v>
      </c>
      <c r="H1029" s="25"/>
      <c r="I1029" s="25" t="str">
        <f>"－"</f>
        <v>－</v>
      </c>
      <c r="J1029" s="25" t="n">
        <f>72</f>
        <v>72.0</v>
      </c>
      <c r="K1029" s="25" t="str">
        <f>"－"</f>
        <v>－</v>
      </c>
      <c r="L1029" s="2" t="s">
        <v>84</v>
      </c>
      <c r="M1029" s="26" t="n">
        <f>1500</f>
        <v>1500.0</v>
      </c>
      <c r="N1029" s="3" t="s">
        <v>156</v>
      </c>
      <c r="O1029" s="27" t="str">
        <f>"－"</f>
        <v>－</v>
      </c>
      <c r="P1029" s="29" t="s">
        <v>2017</v>
      </c>
      <c r="Q1029" s="25"/>
      <c r="R1029" s="29" t="s">
        <v>262</v>
      </c>
      <c r="S1029" s="25" t="n">
        <f>50996992</f>
        <v>5.0996992E7</v>
      </c>
      <c r="T1029" s="25" t="str">
        <f>"－"</f>
        <v>－</v>
      </c>
      <c r="U1029" s="3" t="s">
        <v>84</v>
      </c>
      <c r="V1029" s="27" t="n">
        <f>1573500000</f>
        <v>1.5735E9</v>
      </c>
      <c r="W1029" s="3" t="s">
        <v>156</v>
      </c>
      <c r="X1029" s="27" t="str">
        <f>"－"</f>
        <v>－</v>
      </c>
      <c r="Y1029" s="27" t="n">
        <f>16</f>
        <v>16.0</v>
      </c>
      <c r="Z1029" s="25" t="str">
        <f>"－"</f>
        <v>－</v>
      </c>
      <c r="AA1029" s="25" t="n">
        <f>1558</f>
        <v>1558.0</v>
      </c>
      <c r="AB1029" s="2" t="s">
        <v>156</v>
      </c>
      <c r="AC1029" s="26" t="n">
        <f>3550</f>
        <v>3550.0</v>
      </c>
      <c r="AD1029" s="3" t="s">
        <v>1016</v>
      </c>
      <c r="AE1029" s="27" t="n">
        <f>1320</f>
        <v>1320.0</v>
      </c>
    </row>
    <row r="1030">
      <c r="A1030" s="20" t="s">
        <v>1907</v>
      </c>
      <c r="B1030" s="21" t="s">
        <v>1908</v>
      </c>
      <c r="C1030" s="22" t="s">
        <v>1760</v>
      </c>
      <c r="D1030" s="23" t="s">
        <v>1761</v>
      </c>
      <c r="E1030" s="24" t="s">
        <v>401</v>
      </c>
      <c r="F1030" s="28" t="n">
        <f>125</f>
        <v>125.0</v>
      </c>
      <c r="G1030" s="25" t="n">
        <f>4494</f>
        <v>4494.0</v>
      </c>
      <c r="H1030" s="25"/>
      <c r="I1030" s="25" t="str">
        <f>"－"</f>
        <v>－</v>
      </c>
      <c r="J1030" s="25" t="n">
        <f>36</f>
        <v>36.0</v>
      </c>
      <c r="K1030" s="25" t="str">
        <f>"－"</f>
        <v>－</v>
      </c>
      <c r="L1030" s="2" t="s">
        <v>93</v>
      </c>
      <c r="M1030" s="26" t="n">
        <f>1536</f>
        <v>1536.0</v>
      </c>
      <c r="N1030" s="3" t="s">
        <v>254</v>
      </c>
      <c r="O1030" s="27" t="str">
        <f>"－"</f>
        <v>－</v>
      </c>
      <c r="P1030" s="29" t="s">
        <v>2018</v>
      </c>
      <c r="Q1030" s="25"/>
      <c r="R1030" s="29" t="s">
        <v>262</v>
      </c>
      <c r="S1030" s="25" t="n">
        <f>3449888</f>
        <v>3449888.0</v>
      </c>
      <c r="T1030" s="25" t="str">
        <f>"－"</f>
        <v>－</v>
      </c>
      <c r="U1030" s="3" t="s">
        <v>198</v>
      </c>
      <c r="V1030" s="27" t="n">
        <f>98190000</f>
        <v>9.819E7</v>
      </c>
      <c r="W1030" s="3" t="s">
        <v>254</v>
      </c>
      <c r="X1030" s="27" t="str">
        <f>"－"</f>
        <v>－</v>
      </c>
      <c r="Y1030" s="27" t="str">
        <f>"－"</f>
        <v>－</v>
      </c>
      <c r="Z1030" s="25" t="str">
        <f>"－"</f>
        <v>－</v>
      </c>
      <c r="AA1030" s="25" t="n">
        <f>938</f>
        <v>938.0</v>
      </c>
      <c r="AB1030" s="2" t="s">
        <v>1102</v>
      </c>
      <c r="AC1030" s="26" t="n">
        <f>993</f>
        <v>993.0</v>
      </c>
      <c r="AD1030" s="3" t="s">
        <v>1024</v>
      </c>
      <c r="AE1030" s="27" t="n">
        <f>788</f>
        <v>788.0</v>
      </c>
    </row>
    <row r="1031">
      <c r="A1031" s="20" t="s">
        <v>1907</v>
      </c>
      <c r="B1031" s="21" t="s">
        <v>1908</v>
      </c>
      <c r="C1031" s="22" t="s">
        <v>1764</v>
      </c>
      <c r="D1031" s="23" t="s">
        <v>1765</v>
      </c>
      <c r="E1031" s="24" t="s">
        <v>401</v>
      </c>
      <c r="F1031" s="28" t="n">
        <f>125</f>
        <v>125.0</v>
      </c>
      <c r="G1031" s="25" t="n">
        <f>5044</f>
        <v>5044.0</v>
      </c>
      <c r="H1031" s="25"/>
      <c r="I1031" s="25" t="str">
        <f>"－"</f>
        <v>－</v>
      </c>
      <c r="J1031" s="25" t="n">
        <f>40</f>
        <v>40.0</v>
      </c>
      <c r="K1031" s="25" t="str">
        <f>"－"</f>
        <v>－</v>
      </c>
      <c r="L1031" s="2" t="s">
        <v>93</v>
      </c>
      <c r="M1031" s="26" t="n">
        <f>1536</f>
        <v>1536.0</v>
      </c>
      <c r="N1031" s="3" t="s">
        <v>254</v>
      </c>
      <c r="O1031" s="27" t="str">
        <f>"－"</f>
        <v>－</v>
      </c>
      <c r="P1031" s="29" t="s">
        <v>2019</v>
      </c>
      <c r="Q1031" s="25"/>
      <c r="R1031" s="29" t="s">
        <v>262</v>
      </c>
      <c r="S1031" s="25" t="n">
        <f>54724840</f>
        <v>5.472484E7</v>
      </c>
      <c r="T1031" s="25" t="str">
        <f>"－"</f>
        <v>－</v>
      </c>
      <c r="U1031" s="3" t="s">
        <v>93</v>
      </c>
      <c r="V1031" s="27" t="n">
        <f>2164955000</f>
        <v>2.164955E9</v>
      </c>
      <c r="W1031" s="3" t="s">
        <v>254</v>
      </c>
      <c r="X1031" s="27" t="str">
        <f>"－"</f>
        <v>－</v>
      </c>
      <c r="Y1031" s="27" t="str">
        <f>"－"</f>
        <v>－</v>
      </c>
      <c r="Z1031" s="25" t="str">
        <f>"－"</f>
        <v>－</v>
      </c>
      <c r="AA1031" s="25" t="n">
        <f>1238</f>
        <v>1238.0</v>
      </c>
      <c r="AB1031" s="2" t="s">
        <v>976</v>
      </c>
      <c r="AC1031" s="26" t="n">
        <f>1238</f>
        <v>1238.0</v>
      </c>
      <c r="AD1031" s="3" t="s">
        <v>1024</v>
      </c>
      <c r="AE1031" s="27" t="n">
        <f>788</f>
        <v>788.0</v>
      </c>
    </row>
    <row r="1032">
      <c r="A1032" s="20" t="s">
        <v>1907</v>
      </c>
      <c r="B1032" s="21" t="s">
        <v>1908</v>
      </c>
      <c r="C1032" s="22" t="s">
        <v>1768</v>
      </c>
      <c r="D1032" s="23" t="s">
        <v>1769</v>
      </c>
      <c r="E1032" s="24" t="s">
        <v>401</v>
      </c>
      <c r="F1032" s="28" t="n">
        <f>125</f>
        <v>125.0</v>
      </c>
      <c r="G1032" s="25" t="n">
        <f>9538</f>
        <v>9538.0</v>
      </c>
      <c r="H1032" s="25"/>
      <c r="I1032" s="25" t="str">
        <f>"－"</f>
        <v>－</v>
      </c>
      <c r="J1032" s="25" t="n">
        <f>76</f>
        <v>76.0</v>
      </c>
      <c r="K1032" s="25" t="str">
        <f>"－"</f>
        <v>－</v>
      </c>
      <c r="L1032" s="2" t="s">
        <v>93</v>
      </c>
      <c r="M1032" s="26" t="n">
        <f>3072</f>
        <v>3072.0</v>
      </c>
      <c r="N1032" s="3" t="s">
        <v>254</v>
      </c>
      <c r="O1032" s="27" t="str">
        <f>"－"</f>
        <v>－</v>
      </c>
      <c r="P1032" s="29" t="s">
        <v>2020</v>
      </c>
      <c r="Q1032" s="25"/>
      <c r="R1032" s="29" t="s">
        <v>262</v>
      </c>
      <c r="S1032" s="25" t="n">
        <f>58174728</f>
        <v>5.8174728E7</v>
      </c>
      <c r="T1032" s="25" t="str">
        <f>"－"</f>
        <v>－</v>
      </c>
      <c r="U1032" s="3" t="s">
        <v>93</v>
      </c>
      <c r="V1032" s="27" t="n">
        <f>2250971000</f>
        <v>2.250971E9</v>
      </c>
      <c r="W1032" s="3" t="s">
        <v>254</v>
      </c>
      <c r="X1032" s="27" t="str">
        <f>"－"</f>
        <v>－</v>
      </c>
      <c r="Y1032" s="27" t="str">
        <f>"－"</f>
        <v>－</v>
      </c>
      <c r="Z1032" s="25" t="str">
        <f>"－"</f>
        <v>－</v>
      </c>
      <c r="AA1032" s="25" t="n">
        <f>2176</f>
        <v>2176.0</v>
      </c>
      <c r="AB1032" s="2" t="s">
        <v>976</v>
      </c>
      <c r="AC1032" s="26" t="n">
        <f>2176</f>
        <v>2176.0</v>
      </c>
      <c r="AD1032" s="3" t="s">
        <v>1024</v>
      </c>
      <c r="AE1032" s="27" t="n">
        <f>1576</f>
        <v>1576.0</v>
      </c>
    </row>
    <row r="1033">
      <c r="A1033" s="20" t="s">
        <v>1907</v>
      </c>
      <c r="B1033" s="21" t="s">
        <v>1908</v>
      </c>
      <c r="C1033" s="22" t="s">
        <v>1760</v>
      </c>
      <c r="D1033" s="23" t="s">
        <v>1761</v>
      </c>
      <c r="E1033" s="24" t="s">
        <v>404</v>
      </c>
      <c r="F1033" s="28" t="n">
        <f>121</f>
        <v>121.0</v>
      </c>
      <c r="G1033" s="25" t="n">
        <f>3810</f>
        <v>3810.0</v>
      </c>
      <c r="H1033" s="25"/>
      <c r="I1033" s="25" t="n">
        <f>340</f>
        <v>340.0</v>
      </c>
      <c r="J1033" s="25" t="n">
        <f>31</f>
        <v>31.0</v>
      </c>
      <c r="K1033" s="25" t="n">
        <f>3</f>
        <v>3.0</v>
      </c>
      <c r="L1033" s="2" t="s">
        <v>204</v>
      </c>
      <c r="M1033" s="26" t="n">
        <f>1262</f>
        <v>1262.0</v>
      </c>
      <c r="N1033" s="3" t="s">
        <v>156</v>
      </c>
      <c r="O1033" s="27" t="str">
        <f>"－"</f>
        <v>－</v>
      </c>
      <c r="P1033" s="29" t="s">
        <v>2021</v>
      </c>
      <c r="Q1033" s="25"/>
      <c r="R1033" s="29" t="s">
        <v>2022</v>
      </c>
      <c r="S1033" s="25" t="n">
        <f>4549198</f>
        <v>4549198.0</v>
      </c>
      <c r="T1033" s="25" t="n">
        <f>180165</f>
        <v>180165.0</v>
      </c>
      <c r="U1033" s="3" t="s">
        <v>204</v>
      </c>
      <c r="V1033" s="27" t="n">
        <f>233470000</f>
        <v>2.3347E8</v>
      </c>
      <c r="W1033" s="3" t="s">
        <v>156</v>
      </c>
      <c r="X1033" s="27" t="str">
        <f>"－"</f>
        <v>－</v>
      </c>
      <c r="Y1033" s="27" t="str">
        <f>"－"</f>
        <v>－</v>
      </c>
      <c r="Z1033" s="25" t="str">
        <f>"－"</f>
        <v>－</v>
      </c>
      <c r="AA1033" s="25" t="n">
        <f>886</f>
        <v>886.0</v>
      </c>
      <c r="AB1033" s="2" t="s">
        <v>493</v>
      </c>
      <c r="AC1033" s="26" t="n">
        <f>948</f>
        <v>948.0</v>
      </c>
      <c r="AD1033" s="3" t="s">
        <v>189</v>
      </c>
      <c r="AE1033" s="27" t="n">
        <f>836</f>
        <v>836.0</v>
      </c>
    </row>
    <row r="1034">
      <c r="A1034" s="20" t="s">
        <v>1907</v>
      </c>
      <c r="B1034" s="21" t="s">
        <v>1908</v>
      </c>
      <c r="C1034" s="22" t="s">
        <v>1764</v>
      </c>
      <c r="D1034" s="23" t="s">
        <v>1765</v>
      </c>
      <c r="E1034" s="24" t="s">
        <v>404</v>
      </c>
      <c r="F1034" s="28" t="n">
        <f>121</f>
        <v>121.0</v>
      </c>
      <c r="G1034" s="25" t="n">
        <f>4968</f>
        <v>4968.0</v>
      </c>
      <c r="H1034" s="25"/>
      <c r="I1034" s="25" t="n">
        <f>340</f>
        <v>340.0</v>
      </c>
      <c r="J1034" s="25" t="n">
        <f>41</f>
        <v>41.0</v>
      </c>
      <c r="K1034" s="25" t="n">
        <f>3</f>
        <v>3.0</v>
      </c>
      <c r="L1034" s="2" t="s">
        <v>204</v>
      </c>
      <c r="M1034" s="26" t="n">
        <f>1262</f>
        <v>1262.0</v>
      </c>
      <c r="N1034" s="3" t="s">
        <v>156</v>
      </c>
      <c r="O1034" s="27" t="str">
        <f>"－"</f>
        <v>－</v>
      </c>
      <c r="P1034" s="29" t="s">
        <v>2023</v>
      </c>
      <c r="Q1034" s="25"/>
      <c r="R1034" s="29" t="s">
        <v>2024</v>
      </c>
      <c r="S1034" s="25" t="n">
        <f>46172893</f>
        <v>4.6172893E7</v>
      </c>
      <c r="T1034" s="25" t="n">
        <f>5648760</f>
        <v>5648760.0</v>
      </c>
      <c r="U1034" s="3" t="s">
        <v>111</v>
      </c>
      <c r="V1034" s="27" t="n">
        <f>1881495000</f>
        <v>1.881495E9</v>
      </c>
      <c r="W1034" s="3" t="s">
        <v>156</v>
      </c>
      <c r="X1034" s="27" t="str">
        <f>"－"</f>
        <v>－</v>
      </c>
      <c r="Y1034" s="27" t="n">
        <f>100</f>
        <v>100.0</v>
      </c>
      <c r="Z1034" s="25" t="str">
        <f>"－"</f>
        <v>－</v>
      </c>
      <c r="AA1034" s="25" t="n">
        <f>952</f>
        <v>952.0</v>
      </c>
      <c r="AB1034" s="2" t="s">
        <v>1171</v>
      </c>
      <c r="AC1034" s="26" t="n">
        <f>1642</f>
        <v>1642.0</v>
      </c>
      <c r="AD1034" s="3" t="s">
        <v>60</v>
      </c>
      <c r="AE1034" s="27" t="n">
        <f>884</f>
        <v>884.0</v>
      </c>
    </row>
    <row r="1035">
      <c r="A1035" s="20" t="s">
        <v>1907</v>
      </c>
      <c r="B1035" s="21" t="s">
        <v>1908</v>
      </c>
      <c r="C1035" s="22" t="s">
        <v>1768</v>
      </c>
      <c r="D1035" s="23" t="s">
        <v>1769</v>
      </c>
      <c r="E1035" s="24" t="s">
        <v>404</v>
      </c>
      <c r="F1035" s="28" t="n">
        <f>121</f>
        <v>121.0</v>
      </c>
      <c r="G1035" s="25" t="n">
        <f>8778</f>
        <v>8778.0</v>
      </c>
      <c r="H1035" s="25"/>
      <c r="I1035" s="25" t="n">
        <f>680</f>
        <v>680.0</v>
      </c>
      <c r="J1035" s="25" t="n">
        <f>73</f>
        <v>73.0</v>
      </c>
      <c r="K1035" s="25" t="n">
        <f>6</f>
        <v>6.0</v>
      </c>
      <c r="L1035" s="2" t="s">
        <v>204</v>
      </c>
      <c r="M1035" s="26" t="n">
        <f>2524</f>
        <v>2524.0</v>
      </c>
      <c r="N1035" s="3" t="s">
        <v>156</v>
      </c>
      <c r="O1035" s="27" t="str">
        <f>"－"</f>
        <v>－</v>
      </c>
      <c r="P1035" s="29" t="s">
        <v>2025</v>
      </c>
      <c r="Q1035" s="25"/>
      <c r="R1035" s="29" t="s">
        <v>2026</v>
      </c>
      <c r="S1035" s="25" t="n">
        <f>50722091</f>
        <v>5.0722091E7</v>
      </c>
      <c r="T1035" s="25" t="n">
        <f>5828926</f>
        <v>5828926.0</v>
      </c>
      <c r="U1035" s="3" t="s">
        <v>111</v>
      </c>
      <c r="V1035" s="27" t="n">
        <f>2051183000</f>
        <v>2.051183E9</v>
      </c>
      <c r="W1035" s="3" t="s">
        <v>156</v>
      </c>
      <c r="X1035" s="27" t="str">
        <f>"－"</f>
        <v>－</v>
      </c>
      <c r="Y1035" s="27" t="n">
        <f>100</f>
        <v>100.0</v>
      </c>
      <c r="Z1035" s="25" t="str">
        <f>"－"</f>
        <v>－</v>
      </c>
      <c r="AA1035" s="25" t="n">
        <f>1838</f>
        <v>1838.0</v>
      </c>
      <c r="AB1035" s="2" t="s">
        <v>1171</v>
      </c>
      <c r="AC1035" s="26" t="n">
        <f>2495</f>
        <v>2495.0</v>
      </c>
      <c r="AD1035" s="3" t="s">
        <v>60</v>
      </c>
      <c r="AE1035" s="27" t="n">
        <f>1732</f>
        <v>1732.0</v>
      </c>
    </row>
    <row r="1036">
      <c r="A1036" s="20" t="s">
        <v>1907</v>
      </c>
      <c r="B1036" s="21" t="s">
        <v>1908</v>
      </c>
      <c r="C1036" s="22" t="s">
        <v>1760</v>
      </c>
      <c r="D1036" s="23" t="s">
        <v>1761</v>
      </c>
      <c r="E1036" s="24" t="s">
        <v>407</v>
      </c>
      <c r="F1036" s="28" t="n">
        <f>124</f>
        <v>124.0</v>
      </c>
      <c r="G1036" s="25" t="n">
        <f>5296</f>
        <v>5296.0</v>
      </c>
      <c r="H1036" s="25"/>
      <c r="I1036" s="25" t="n">
        <f>210</f>
        <v>210.0</v>
      </c>
      <c r="J1036" s="25" t="n">
        <f>43</f>
        <v>43.0</v>
      </c>
      <c r="K1036" s="25" t="n">
        <f>2</f>
        <v>2.0</v>
      </c>
      <c r="L1036" s="2" t="s">
        <v>95</v>
      </c>
      <c r="M1036" s="26" t="n">
        <f>1430</f>
        <v>1430.0</v>
      </c>
      <c r="N1036" s="3" t="s">
        <v>215</v>
      </c>
      <c r="O1036" s="27" t="str">
        <f>"－"</f>
        <v>－</v>
      </c>
      <c r="P1036" s="29" t="s">
        <v>2027</v>
      </c>
      <c r="Q1036" s="25"/>
      <c r="R1036" s="29" t="s">
        <v>2028</v>
      </c>
      <c r="S1036" s="25" t="n">
        <f>21532823</f>
        <v>2.1532823E7</v>
      </c>
      <c r="T1036" s="25" t="n">
        <f>956855</f>
        <v>956855.0</v>
      </c>
      <c r="U1036" s="3" t="s">
        <v>632</v>
      </c>
      <c r="V1036" s="27" t="n">
        <f>1391770000</f>
        <v>1.39177E9</v>
      </c>
      <c r="W1036" s="3" t="s">
        <v>215</v>
      </c>
      <c r="X1036" s="27" t="str">
        <f>"－"</f>
        <v>－</v>
      </c>
      <c r="Y1036" s="27" t="n">
        <f>50</f>
        <v>50.0</v>
      </c>
      <c r="Z1036" s="25" t="str">
        <f>"－"</f>
        <v>－</v>
      </c>
      <c r="AA1036" s="25" t="n">
        <f>1050</f>
        <v>1050.0</v>
      </c>
      <c r="AB1036" s="2" t="s">
        <v>1092</v>
      </c>
      <c r="AC1036" s="26" t="n">
        <f>1070</f>
        <v>1070.0</v>
      </c>
      <c r="AD1036" s="3" t="s">
        <v>570</v>
      </c>
      <c r="AE1036" s="27" t="n">
        <f>816</f>
        <v>816.0</v>
      </c>
    </row>
    <row r="1037">
      <c r="A1037" s="20" t="s">
        <v>1907</v>
      </c>
      <c r="B1037" s="21" t="s">
        <v>1908</v>
      </c>
      <c r="C1037" s="22" t="s">
        <v>1764</v>
      </c>
      <c r="D1037" s="23" t="s">
        <v>1765</v>
      </c>
      <c r="E1037" s="24" t="s">
        <v>407</v>
      </c>
      <c r="F1037" s="28" t="n">
        <f>124</f>
        <v>124.0</v>
      </c>
      <c r="G1037" s="25" t="n">
        <f>5481</f>
        <v>5481.0</v>
      </c>
      <c r="H1037" s="25"/>
      <c r="I1037" s="25" t="n">
        <f>210</f>
        <v>210.0</v>
      </c>
      <c r="J1037" s="25" t="n">
        <f>44</f>
        <v>44.0</v>
      </c>
      <c r="K1037" s="25" t="n">
        <f>2</f>
        <v>2.0</v>
      </c>
      <c r="L1037" s="2" t="s">
        <v>95</v>
      </c>
      <c r="M1037" s="26" t="n">
        <f>1430</f>
        <v>1430.0</v>
      </c>
      <c r="N1037" s="3" t="s">
        <v>215</v>
      </c>
      <c r="O1037" s="27" t="str">
        <f>"－"</f>
        <v>－</v>
      </c>
      <c r="P1037" s="29" t="s">
        <v>2029</v>
      </c>
      <c r="Q1037" s="25"/>
      <c r="R1037" s="29" t="s">
        <v>2030</v>
      </c>
      <c r="S1037" s="25" t="n">
        <f>24655202</f>
        <v>2.4655202E7</v>
      </c>
      <c r="T1037" s="25" t="n">
        <f>1545363</f>
        <v>1545363.0</v>
      </c>
      <c r="U1037" s="3" t="s">
        <v>49</v>
      </c>
      <c r="V1037" s="27" t="n">
        <f>992620000</f>
        <v>9.9262E8</v>
      </c>
      <c r="W1037" s="3" t="s">
        <v>215</v>
      </c>
      <c r="X1037" s="27" t="str">
        <f>"－"</f>
        <v>－</v>
      </c>
      <c r="Y1037" s="27" t="str">
        <f>"－"</f>
        <v>－</v>
      </c>
      <c r="Z1037" s="25" t="str">
        <f>"－"</f>
        <v>－</v>
      </c>
      <c r="AA1037" s="25" t="n">
        <f>1000</f>
        <v>1000.0</v>
      </c>
      <c r="AB1037" s="2" t="s">
        <v>373</v>
      </c>
      <c r="AC1037" s="26" t="n">
        <f>1200</f>
        <v>1200.0</v>
      </c>
      <c r="AD1037" s="3" t="s">
        <v>298</v>
      </c>
      <c r="AE1037" s="27" t="n">
        <f>876</f>
        <v>876.0</v>
      </c>
    </row>
    <row r="1038">
      <c r="A1038" s="20" t="s">
        <v>1907</v>
      </c>
      <c r="B1038" s="21" t="s">
        <v>1908</v>
      </c>
      <c r="C1038" s="22" t="s">
        <v>1768</v>
      </c>
      <c r="D1038" s="23" t="s">
        <v>1769</v>
      </c>
      <c r="E1038" s="24" t="s">
        <v>407</v>
      </c>
      <c r="F1038" s="28" t="n">
        <f>124</f>
        <v>124.0</v>
      </c>
      <c r="G1038" s="25" t="n">
        <f>10777</f>
        <v>10777.0</v>
      </c>
      <c r="H1038" s="25"/>
      <c r="I1038" s="25" t="n">
        <f>420</f>
        <v>420.0</v>
      </c>
      <c r="J1038" s="25" t="n">
        <f>87</f>
        <v>87.0</v>
      </c>
      <c r="K1038" s="25" t="n">
        <f>3</f>
        <v>3.0</v>
      </c>
      <c r="L1038" s="2" t="s">
        <v>95</v>
      </c>
      <c r="M1038" s="26" t="n">
        <f>2860</f>
        <v>2860.0</v>
      </c>
      <c r="N1038" s="3" t="s">
        <v>215</v>
      </c>
      <c r="O1038" s="27" t="str">
        <f>"－"</f>
        <v>－</v>
      </c>
      <c r="P1038" s="29" t="s">
        <v>2031</v>
      </c>
      <c r="Q1038" s="25"/>
      <c r="R1038" s="29" t="s">
        <v>2032</v>
      </c>
      <c r="S1038" s="25" t="n">
        <f>46188024</f>
        <v>4.6188024E7</v>
      </c>
      <c r="T1038" s="25" t="n">
        <f>2502218</f>
        <v>2502218.0</v>
      </c>
      <c r="U1038" s="3" t="s">
        <v>632</v>
      </c>
      <c r="V1038" s="27" t="n">
        <f>1543475000</f>
        <v>1.543475E9</v>
      </c>
      <c r="W1038" s="3" t="s">
        <v>215</v>
      </c>
      <c r="X1038" s="27" t="str">
        <f>"－"</f>
        <v>－</v>
      </c>
      <c r="Y1038" s="27" t="n">
        <f>50</f>
        <v>50.0</v>
      </c>
      <c r="Z1038" s="25" t="str">
        <f>"－"</f>
        <v>－</v>
      </c>
      <c r="AA1038" s="25" t="n">
        <f>2050</f>
        <v>2050.0</v>
      </c>
      <c r="AB1038" s="2" t="s">
        <v>373</v>
      </c>
      <c r="AC1038" s="26" t="n">
        <f>2215</f>
        <v>2215.0</v>
      </c>
      <c r="AD1038" s="3" t="s">
        <v>444</v>
      </c>
      <c r="AE1038" s="27" t="n">
        <f>1702</f>
        <v>1702.0</v>
      </c>
    </row>
    <row r="1039">
      <c r="A1039" s="20" t="s">
        <v>1907</v>
      </c>
      <c r="B1039" s="21" t="s">
        <v>1908</v>
      </c>
      <c r="C1039" s="22" t="s">
        <v>1760</v>
      </c>
      <c r="D1039" s="23" t="s">
        <v>1761</v>
      </c>
      <c r="E1039" s="24" t="s">
        <v>410</v>
      </c>
      <c r="F1039" s="28" t="n">
        <f>121</f>
        <v>121.0</v>
      </c>
      <c r="G1039" s="25" t="n">
        <f>16738</f>
        <v>16738.0</v>
      </c>
      <c r="H1039" s="25"/>
      <c r="I1039" s="25" t="n">
        <f>16234</f>
        <v>16234.0</v>
      </c>
      <c r="J1039" s="25" t="n">
        <f>138</f>
        <v>138.0</v>
      </c>
      <c r="K1039" s="25" t="n">
        <f>134</f>
        <v>134.0</v>
      </c>
      <c r="L1039" s="2" t="s">
        <v>1130</v>
      </c>
      <c r="M1039" s="26" t="n">
        <f>4698</f>
        <v>4698.0</v>
      </c>
      <c r="N1039" s="3" t="s">
        <v>156</v>
      </c>
      <c r="O1039" s="27" t="str">
        <f>"－"</f>
        <v>－</v>
      </c>
      <c r="P1039" s="29" t="s">
        <v>2033</v>
      </c>
      <c r="Q1039" s="25"/>
      <c r="R1039" s="29" t="s">
        <v>2034</v>
      </c>
      <c r="S1039" s="25" t="n">
        <f>92871545</f>
        <v>9.2871545E7</v>
      </c>
      <c r="T1039" s="25" t="n">
        <f>91229603</f>
        <v>9.1229603E7</v>
      </c>
      <c r="U1039" s="3" t="s">
        <v>1130</v>
      </c>
      <c r="V1039" s="27" t="n">
        <f>5010430000</f>
        <v>5.01043E9</v>
      </c>
      <c r="W1039" s="3" t="s">
        <v>156</v>
      </c>
      <c r="X1039" s="27" t="str">
        <f>"－"</f>
        <v>－</v>
      </c>
      <c r="Y1039" s="27" t="n">
        <f>86</f>
        <v>86.0</v>
      </c>
      <c r="Z1039" s="25" t="n">
        <f>5898</f>
        <v>5898.0</v>
      </c>
      <c r="AA1039" s="25" t="n">
        <f>7346</f>
        <v>7346.0</v>
      </c>
      <c r="AB1039" s="2" t="s">
        <v>358</v>
      </c>
      <c r="AC1039" s="26" t="n">
        <f>8175</f>
        <v>8175.0</v>
      </c>
      <c r="AD1039" s="3" t="s">
        <v>156</v>
      </c>
      <c r="AE1039" s="27" t="n">
        <f>1050</f>
        <v>1050.0</v>
      </c>
    </row>
    <row r="1040">
      <c r="A1040" s="20" t="s">
        <v>1907</v>
      </c>
      <c r="B1040" s="21" t="s">
        <v>1908</v>
      </c>
      <c r="C1040" s="22" t="s">
        <v>1764</v>
      </c>
      <c r="D1040" s="23" t="s">
        <v>1765</v>
      </c>
      <c r="E1040" s="24" t="s">
        <v>410</v>
      </c>
      <c r="F1040" s="28" t="n">
        <f>121</f>
        <v>121.0</v>
      </c>
      <c r="G1040" s="25" t="n">
        <f>14892</f>
        <v>14892.0</v>
      </c>
      <c r="H1040" s="25"/>
      <c r="I1040" s="25" t="n">
        <f>14320</f>
        <v>14320.0</v>
      </c>
      <c r="J1040" s="25" t="n">
        <f>123</f>
        <v>123.0</v>
      </c>
      <c r="K1040" s="25" t="n">
        <f>118</f>
        <v>118.0</v>
      </c>
      <c r="L1040" s="2" t="s">
        <v>1130</v>
      </c>
      <c r="M1040" s="26" t="n">
        <f>4698</f>
        <v>4698.0</v>
      </c>
      <c r="N1040" s="3" t="s">
        <v>156</v>
      </c>
      <c r="O1040" s="27" t="str">
        <f>"－"</f>
        <v>－</v>
      </c>
      <c r="P1040" s="29" t="s">
        <v>2035</v>
      </c>
      <c r="Q1040" s="25"/>
      <c r="R1040" s="29" t="s">
        <v>2036</v>
      </c>
      <c r="S1040" s="25" t="n">
        <f>69702479</f>
        <v>6.9702479E7</v>
      </c>
      <c r="T1040" s="25" t="n">
        <f>68712347</f>
        <v>6.8712347E7</v>
      </c>
      <c r="U1040" s="3" t="s">
        <v>1130</v>
      </c>
      <c r="V1040" s="27" t="n">
        <f>2141115000</f>
        <v>2.141115E9</v>
      </c>
      <c r="W1040" s="3" t="s">
        <v>156</v>
      </c>
      <c r="X1040" s="27" t="str">
        <f>"－"</f>
        <v>－</v>
      </c>
      <c r="Y1040" s="27" t="n">
        <f>3031</f>
        <v>3031.0</v>
      </c>
      <c r="Z1040" s="25" t="n">
        <f>5898</f>
        <v>5898.0</v>
      </c>
      <c r="AA1040" s="25" t="n">
        <f>6946</f>
        <v>6946.0</v>
      </c>
      <c r="AB1040" s="2" t="s">
        <v>358</v>
      </c>
      <c r="AC1040" s="26" t="n">
        <f>7394</f>
        <v>7394.0</v>
      </c>
      <c r="AD1040" s="3" t="s">
        <v>156</v>
      </c>
      <c r="AE1040" s="27" t="n">
        <f>1000</f>
        <v>1000.0</v>
      </c>
    </row>
    <row r="1041">
      <c r="A1041" s="20" t="s">
        <v>1907</v>
      </c>
      <c r="B1041" s="21" t="s">
        <v>1908</v>
      </c>
      <c r="C1041" s="22" t="s">
        <v>1768</v>
      </c>
      <c r="D1041" s="23" t="s">
        <v>1769</v>
      </c>
      <c r="E1041" s="24" t="s">
        <v>410</v>
      </c>
      <c r="F1041" s="28" t="n">
        <f>121</f>
        <v>121.0</v>
      </c>
      <c r="G1041" s="25" t="n">
        <f>31630</f>
        <v>31630.0</v>
      </c>
      <c r="H1041" s="25"/>
      <c r="I1041" s="25" t="n">
        <f>30554</f>
        <v>30554.0</v>
      </c>
      <c r="J1041" s="25" t="n">
        <f>261</f>
        <v>261.0</v>
      </c>
      <c r="K1041" s="25" t="n">
        <f>253</f>
        <v>253.0</v>
      </c>
      <c r="L1041" s="2" t="s">
        <v>1130</v>
      </c>
      <c r="M1041" s="26" t="n">
        <f>9396</f>
        <v>9396.0</v>
      </c>
      <c r="N1041" s="3" t="s">
        <v>156</v>
      </c>
      <c r="O1041" s="27" t="str">
        <f>"－"</f>
        <v>－</v>
      </c>
      <c r="P1041" s="29" t="s">
        <v>2037</v>
      </c>
      <c r="Q1041" s="25"/>
      <c r="R1041" s="29" t="s">
        <v>2038</v>
      </c>
      <c r="S1041" s="25" t="n">
        <f>162574025</f>
        <v>1.62574025E8</v>
      </c>
      <c r="T1041" s="25" t="n">
        <f>159941950</f>
        <v>1.5994195E8</v>
      </c>
      <c r="U1041" s="3" t="s">
        <v>1130</v>
      </c>
      <c r="V1041" s="27" t="n">
        <f>7151545000</f>
        <v>7.151545E9</v>
      </c>
      <c r="W1041" s="3" t="s">
        <v>156</v>
      </c>
      <c r="X1041" s="27" t="str">
        <f>"－"</f>
        <v>－</v>
      </c>
      <c r="Y1041" s="27" t="n">
        <f>3117</f>
        <v>3117.0</v>
      </c>
      <c r="Z1041" s="25" t="n">
        <f>11796</f>
        <v>11796.0</v>
      </c>
      <c r="AA1041" s="25" t="n">
        <f>14292</f>
        <v>14292.0</v>
      </c>
      <c r="AB1041" s="2" t="s">
        <v>358</v>
      </c>
      <c r="AC1041" s="26" t="n">
        <f>15569</f>
        <v>15569.0</v>
      </c>
      <c r="AD1041" s="3" t="s">
        <v>156</v>
      </c>
      <c r="AE1041" s="27" t="n">
        <f>2050</f>
        <v>2050.0</v>
      </c>
    </row>
    <row r="1042">
      <c r="A1042" s="20" t="s">
        <v>1907</v>
      </c>
      <c r="B1042" s="21" t="s">
        <v>1908</v>
      </c>
      <c r="C1042" s="22" t="s">
        <v>1760</v>
      </c>
      <c r="D1042" s="23" t="s">
        <v>1761</v>
      </c>
      <c r="E1042" s="24" t="s">
        <v>415</v>
      </c>
      <c r="F1042" s="28" t="n">
        <f>124</f>
        <v>124.0</v>
      </c>
      <c r="G1042" s="25" t="n">
        <f>15555</f>
        <v>15555.0</v>
      </c>
      <c r="H1042" s="25"/>
      <c r="I1042" s="25" t="n">
        <f>15440</f>
        <v>15440.0</v>
      </c>
      <c r="J1042" s="25" t="n">
        <f>125</f>
        <v>125.0</v>
      </c>
      <c r="K1042" s="25" t="n">
        <f>125</f>
        <v>125.0</v>
      </c>
      <c r="L1042" s="2" t="s">
        <v>581</v>
      </c>
      <c r="M1042" s="26" t="n">
        <f>2910</f>
        <v>2910.0</v>
      </c>
      <c r="N1042" s="3" t="s">
        <v>68</v>
      </c>
      <c r="O1042" s="27" t="str">
        <f>"－"</f>
        <v>－</v>
      </c>
      <c r="P1042" s="29" t="s">
        <v>2039</v>
      </c>
      <c r="Q1042" s="25"/>
      <c r="R1042" s="29" t="s">
        <v>2040</v>
      </c>
      <c r="S1042" s="25" t="n">
        <f>265995379</f>
        <v>2.65995379E8</v>
      </c>
      <c r="T1042" s="25" t="n">
        <f>265415742</f>
        <v>2.65415742E8</v>
      </c>
      <c r="U1042" s="3" t="s">
        <v>581</v>
      </c>
      <c r="V1042" s="27" t="n">
        <f>9640400000</f>
        <v>9.6404E9</v>
      </c>
      <c r="W1042" s="3" t="s">
        <v>68</v>
      </c>
      <c r="X1042" s="27" t="str">
        <f>"－"</f>
        <v>－</v>
      </c>
      <c r="Y1042" s="27" t="n">
        <f>2550</f>
        <v>2550.0</v>
      </c>
      <c r="Z1042" s="25" t="n">
        <f>8663</f>
        <v>8663.0</v>
      </c>
      <c r="AA1042" s="25" t="n">
        <f>1334</f>
        <v>1334.0</v>
      </c>
      <c r="AB1042" s="2" t="s">
        <v>720</v>
      </c>
      <c r="AC1042" s="26" t="n">
        <f>8656</f>
        <v>8656.0</v>
      </c>
      <c r="AD1042" s="3" t="s">
        <v>53</v>
      </c>
      <c r="AE1042" s="27" t="n">
        <f>1334</f>
        <v>1334.0</v>
      </c>
    </row>
    <row r="1043">
      <c r="A1043" s="20" t="s">
        <v>1907</v>
      </c>
      <c r="B1043" s="21" t="s">
        <v>1908</v>
      </c>
      <c r="C1043" s="22" t="s">
        <v>1764</v>
      </c>
      <c r="D1043" s="23" t="s">
        <v>1765</v>
      </c>
      <c r="E1043" s="24" t="s">
        <v>415</v>
      </c>
      <c r="F1043" s="28" t="n">
        <f>124</f>
        <v>124.0</v>
      </c>
      <c r="G1043" s="25" t="n">
        <f>14860</f>
        <v>14860.0</v>
      </c>
      <c r="H1043" s="25"/>
      <c r="I1043" s="25" t="n">
        <f>14500</f>
        <v>14500.0</v>
      </c>
      <c r="J1043" s="25" t="n">
        <f>120</f>
        <v>120.0</v>
      </c>
      <c r="K1043" s="25" t="n">
        <f>117</f>
        <v>117.0</v>
      </c>
      <c r="L1043" s="2" t="s">
        <v>581</v>
      </c>
      <c r="M1043" s="26" t="n">
        <f>2968</f>
        <v>2968.0</v>
      </c>
      <c r="N1043" s="3" t="s">
        <v>68</v>
      </c>
      <c r="O1043" s="27" t="str">
        <f>"－"</f>
        <v>－</v>
      </c>
      <c r="P1043" s="29" t="s">
        <v>2041</v>
      </c>
      <c r="Q1043" s="25"/>
      <c r="R1043" s="29" t="s">
        <v>2042</v>
      </c>
      <c r="S1043" s="25" t="n">
        <f>37430040</f>
        <v>3.743004E7</v>
      </c>
      <c r="T1043" s="25" t="n">
        <f>36773589</f>
        <v>3.6773589E7</v>
      </c>
      <c r="U1043" s="3" t="s">
        <v>128</v>
      </c>
      <c r="V1043" s="27" t="n">
        <f>1493127000</f>
        <v>1.493127E9</v>
      </c>
      <c r="W1043" s="3" t="s">
        <v>68</v>
      </c>
      <c r="X1043" s="27" t="str">
        <f>"－"</f>
        <v>－</v>
      </c>
      <c r="Y1043" s="27" t="str">
        <f>"－"</f>
        <v>－</v>
      </c>
      <c r="Z1043" s="25" t="n">
        <f>7738</f>
        <v>7738.0</v>
      </c>
      <c r="AA1043" s="25" t="n">
        <f>1329</f>
        <v>1329.0</v>
      </c>
      <c r="AB1043" s="2" t="s">
        <v>285</v>
      </c>
      <c r="AC1043" s="26" t="n">
        <f>8647</f>
        <v>8647.0</v>
      </c>
      <c r="AD1043" s="3" t="s">
        <v>54</v>
      </c>
      <c r="AE1043" s="27" t="n">
        <f>1329</f>
        <v>1329.0</v>
      </c>
    </row>
    <row r="1044">
      <c r="A1044" s="20" t="s">
        <v>1907</v>
      </c>
      <c r="B1044" s="21" t="s">
        <v>1908</v>
      </c>
      <c r="C1044" s="22" t="s">
        <v>1768</v>
      </c>
      <c r="D1044" s="23" t="s">
        <v>1769</v>
      </c>
      <c r="E1044" s="24" t="s">
        <v>415</v>
      </c>
      <c r="F1044" s="28" t="n">
        <f>124</f>
        <v>124.0</v>
      </c>
      <c r="G1044" s="25" t="n">
        <f>30415</f>
        <v>30415.0</v>
      </c>
      <c r="H1044" s="25"/>
      <c r="I1044" s="25" t="n">
        <f>29940</f>
        <v>29940.0</v>
      </c>
      <c r="J1044" s="25" t="n">
        <f>245</f>
        <v>245.0</v>
      </c>
      <c r="K1044" s="25" t="n">
        <f>241</f>
        <v>241.0</v>
      </c>
      <c r="L1044" s="2" t="s">
        <v>581</v>
      </c>
      <c r="M1044" s="26" t="n">
        <f>5878</f>
        <v>5878.0</v>
      </c>
      <c r="N1044" s="3" t="s">
        <v>68</v>
      </c>
      <c r="O1044" s="27" t="str">
        <f>"－"</f>
        <v>－</v>
      </c>
      <c r="P1044" s="29" t="s">
        <v>2043</v>
      </c>
      <c r="Q1044" s="25"/>
      <c r="R1044" s="29" t="s">
        <v>2044</v>
      </c>
      <c r="S1044" s="25" t="n">
        <f>303425419</f>
        <v>3.03425419E8</v>
      </c>
      <c r="T1044" s="25" t="n">
        <f>302189331</f>
        <v>3.02189331E8</v>
      </c>
      <c r="U1044" s="3" t="s">
        <v>581</v>
      </c>
      <c r="V1044" s="27" t="n">
        <f>9681446000</f>
        <v>9.681446E9</v>
      </c>
      <c r="W1044" s="3" t="s">
        <v>68</v>
      </c>
      <c r="X1044" s="27" t="str">
        <f>"－"</f>
        <v>－</v>
      </c>
      <c r="Y1044" s="27" t="n">
        <f>2550</f>
        <v>2550.0</v>
      </c>
      <c r="Z1044" s="25" t="n">
        <f>16401</f>
        <v>16401.0</v>
      </c>
      <c r="AA1044" s="25" t="n">
        <f>2663</f>
        <v>2663.0</v>
      </c>
      <c r="AB1044" s="2" t="s">
        <v>720</v>
      </c>
      <c r="AC1044" s="26" t="n">
        <f>17172</f>
        <v>17172.0</v>
      </c>
      <c r="AD1044" s="3" t="s">
        <v>54</v>
      </c>
      <c r="AE1044" s="27" t="n">
        <f>2663</f>
        <v>2663.0</v>
      </c>
    </row>
    <row r="1045">
      <c r="A1045" s="20" t="s">
        <v>1907</v>
      </c>
      <c r="B1045" s="21" t="s">
        <v>1908</v>
      </c>
      <c r="C1045" s="22" t="s">
        <v>1760</v>
      </c>
      <c r="D1045" s="23" t="s">
        <v>1761</v>
      </c>
      <c r="E1045" s="24" t="s">
        <v>418</v>
      </c>
      <c r="F1045" s="28" t="n">
        <f>120</f>
        <v>120.0</v>
      </c>
      <c r="G1045" s="25" t="n">
        <f>5974</f>
        <v>5974.0</v>
      </c>
      <c r="H1045" s="25"/>
      <c r="I1045" s="25" t="n">
        <f>5974</f>
        <v>5974.0</v>
      </c>
      <c r="J1045" s="25" t="n">
        <f>50</f>
        <v>50.0</v>
      </c>
      <c r="K1045" s="25" t="n">
        <f>50</f>
        <v>50.0</v>
      </c>
      <c r="L1045" s="2" t="s">
        <v>134</v>
      </c>
      <c r="M1045" s="26" t="n">
        <f>2122</f>
        <v>2122.0</v>
      </c>
      <c r="N1045" s="3" t="s">
        <v>147</v>
      </c>
      <c r="O1045" s="27" t="str">
        <f>"－"</f>
        <v>－</v>
      </c>
      <c r="P1045" s="29" t="s">
        <v>2045</v>
      </c>
      <c r="Q1045" s="25"/>
      <c r="R1045" s="29" t="s">
        <v>2045</v>
      </c>
      <c r="S1045" s="25" t="n">
        <f>18244475</f>
        <v>1.8244475E7</v>
      </c>
      <c r="T1045" s="25" t="n">
        <f>18244475</f>
        <v>1.8244475E7</v>
      </c>
      <c r="U1045" s="3" t="s">
        <v>134</v>
      </c>
      <c r="V1045" s="27" t="n">
        <f>1640618000</f>
        <v>1.640618E9</v>
      </c>
      <c r="W1045" s="3" t="s">
        <v>147</v>
      </c>
      <c r="X1045" s="27" t="str">
        <f>"－"</f>
        <v>－</v>
      </c>
      <c r="Y1045" s="27" t="str">
        <f>"－"</f>
        <v>－</v>
      </c>
      <c r="Z1045" s="25" t="str">
        <f>"－"</f>
        <v>－</v>
      </c>
      <c r="AA1045" s="25" t="n">
        <f>1176</f>
        <v>1176.0</v>
      </c>
      <c r="AB1045" s="2" t="s">
        <v>307</v>
      </c>
      <c r="AC1045" s="26" t="n">
        <f>2448</f>
        <v>2448.0</v>
      </c>
      <c r="AD1045" s="3" t="s">
        <v>172</v>
      </c>
      <c r="AE1045" s="27" t="n">
        <f>1176</f>
        <v>1176.0</v>
      </c>
    </row>
    <row r="1046">
      <c r="A1046" s="20" t="s">
        <v>1907</v>
      </c>
      <c r="B1046" s="21" t="s">
        <v>1908</v>
      </c>
      <c r="C1046" s="22" t="s">
        <v>1764</v>
      </c>
      <c r="D1046" s="23" t="s">
        <v>1765</v>
      </c>
      <c r="E1046" s="24" t="s">
        <v>418</v>
      </c>
      <c r="F1046" s="28" t="n">
        <f>120</f>
        <v>120.0</v>
      </c>
      <c r="G1046" s="25" t="n">
        <f>13206</f>
        <v>13206.0</v>
      </c>
      <c r="H1046" s="25"/>
      <c r="I1046" s="25" t="n">
        <f>13205</f>
        <v>13205.0</v>
      </c>
      <c r="J1046" s="25" t="n">
        <f>110</f>
        <v>110.0</v>
      </c>
      <c r="K1046" s="25" t="n">
        <f>110</f>
        <v>110.0</v>
      </c>
      <c r="L1046" s="2" t="s">
        <v>1064</v>
      </c>
      <c r="M1046" s="26" t="n">
        <f>2450</f>
        <v>2450.0</v>
      </c>
      <c r="N1046" s="3" t="s">
        <v>147</v>
      </c>
      <c r="O1046" s="27" t="str">
        <f>"－"</f>
        <v>－</v>
      </c>
      <c r="P1046" s="29" t="s">
        <v>2046</v>
      </c>
      <c r="Q1046" s="25"/>
      <c r="R1046" s="29" t="s">
        <v>2047</v>
      </c>
      <c r="S1046" s="25" t="n">
        <f>60056092</f>
        <v>6.0056092E7</v>
      </c>
      <c r="T1046" s="25" t="n">
        <f>60053175</f>
        <v>6.0053175E7</v>
      </c>
      <c r="U1046" s="3" t="s">
        <v>88</v>
      </c>
      <c r="V1046" s="27" t="n">
        <f>2601807000</f>
        <v>2.601807E9</v>
      </c>
      <c r="W1046" s="3" t="s">
        <v>147</v>
      </c>
      <c r="X1046" s="27" t="str">
        <f>"－"</f>
        <v>－</v>
      </c>
      <c r="Y1046" s="27" t="n">
        <f>1352</f>
        <v>1352.0</v>
      </c>
      <c r="Z1046" s="25" t="str">
        <f>"－"</f>
        <v>－</v>
      </c>
      <c r="AA1046" s="25" t="n">
        <f>8407</f>
        <v>8407.0</v>
      </c>
      <c r="AB1046" s="2" t="s">
        <v>307</v>
      </c>
      <c r="AC1046" s="26" t="n">
        <f>9679</f>
        <v>9679.0</v>
      </c>
      <c r="AD1046" s="3" t="s">
        <v>188</v>
      </c>
      <c r="AE1046" s="27" t="n">
        <f>1224</f>
        <v>1224.0</v>
      </c>
    </row>
    <row r="1047">
      <c r="A1047" s="20" t="s">
        <v>1907</v>
      </c>
      <c r="B1047" s="21" t="s">
        <v>1908</v>
      </c>
      <c r="C1047" s="22" t="s">
        <v>1768</v>
      </c>
      <c r="D1047" s="23" t="s">
        <v>1769</v>
      </c>
      <c r="E1047" s="24" t="s">
        <v>418</v>
      </c>
      <c r="F1047" s="28" t="n">
        <f>120</f>
        <v>120.0</v>
      </c>
      <c r="G1047" s="25" t="n">
        <f>19180</f>
        <v>19180.0</v>
      </c>
      <c r="H1047" s="25"/>
      <c r="I1047" s="25" t="n">
        <f>19179</f>
        <v>19179.0</v>
      </c>
      <c r="J1047" s="25" t="n">
        <f>160</f>
        <v>160.0</v>
      </c>
      <c r="K1047" s="25" t="n">
        <f>160</f>
        <v>160.0</v>
      </c>
      <c r="L1047" s="2" t="s">
        <v>134</v>
      </c>
      <c r="M1047" s="26" t="n">
        <f>4244</f>
        <v>4244.0</v>
      </c>
      <c r="N1047" s="3" t="s">
        <v>147</v>
      </c>
      <c r="O1047" s="27" t="str">
        <f>"－"</f>
        <v>－</v>
      </c>
      <c r="P1047" s="29" t="s">
        <v>2048</v>
      </c>
      <c r="Q1047" s="25"/>
      <c r="R1047" s="29" t="s">
        <v>2049</v>
      </c>
      <c r="S1047" s="25" t="n">
        <f>78300567</f>
        <v>7.8300567E7</v>
      </c>
      <c r="T1047" s="25" t="n">
        <f>78297650</f>
        <v>7.829765E7</v>
      </c>
      <c r="U1047" s="3" t="s">
        <v>88</v>
      </c>
      <c r="V1047" s="27" t="n">
        <f>2791031000</f>
        <v>2.791031E9</v>
      </c>
      <c r="W1047" s="3" t="s">
        <v>147</v>
      </c>
      <c r="X1047" s="27" t="str">
        <f>"－"</f>
        <v>－</v>
      </c>
      <c r="Y1047" s="27" t="n">
        <f>1352</f>
        <v>1352.0</v>
      </c>
      <c r="Z1047" s="25" t="str">
        <f>"－"</f>
        <v>－</v>
      </c>
      <c r="AA1047" s="25" t="n">
        <f>9583</f>
        <v>9583.0</v>
      </c>
      <c r="AB1047" s="2" t="s">
        <v>307</v>
      </c>
      <c r="AC1047" s="26" t="n">
        <f>12127</f>
        <v>12127.0</v>
      </c>
      <c r="AD1047" s="3" t="s">
        <v>188</v>
      </c>
      <c r="AE1047" s="27" t="n">
        <f>2463</f>
        <v>2463.0</v>
      </c>
    </row>
    <row r="1048">
      <c r="A1048" s="20" t="s">
        <v>1907</v>
      </c>
      <c r="B1048" s="21" t="s">
        <v>1908</v>
      </c>
      <c r="C1048" s="22" t="s">
        <v>1760</v>
      </c>
      <c r="D1048" s="23" t="s">
        <v>1761</v>
      </c>
      <c r="E1048" s="24" t="s">
        <v>423</v>
      </c>
      <c r="F1048" s="28" t="n">
        <f>123</f>
        <v>123.0</v>
      </c>
      <c r="G1048" s="25" t="n">
        <f>11250</f>
        <v>11250.0</v>
      </c>
      <c r="H1048" s="25"/>
      <c r="I1048" s="25" t="n">
        <f>11234</f>
        <v>11234.0</v>
      </c>
      <c r="J1048" s="25" t="n">
        <f>91</f>
        <v>91.0</v>
      </c>
      <c r="K1048" s="25" t="n">
        <f>91</f>
        <v>91.0</v>
      </c>
      <c r="L1048" s="2" t="s">
        <v>295</v>
      </c>
      <c r="M1048" s="26" t="n">
        <f>2160</f>
        <v>2160.0</v>
      </c>
      <c r="N1048" s="3" t="s">
        <v>68</v>
      </c>
      <c r="O1048" s="27" t="str">
        <f>"－"</f>
        <v>－</v>
      </c>
      <c r="P1048" s="29" t="s">
        <v>2050</v>
      </c>
      <c r="Q1048" s="25"/>
      <c r="R1048" s="29" t="s">
        <v>2051</v>
      </c>
      <c r="S1048" s="25" t="n">
        <f>33474146</f>
        <v>3.3474146E7</v>
      </c>
      <c r="T1048" s="25" t="n">
        <f>33458163</f>
        <v>3.3458163E7</v>
      </c>
      <c r="U1048" s="3" t="s">
        <v>49</v>
      </c>
      <c r="V1048" s="27" t="n">
        <f>1833840000</f>
        <v>1.83384E9</v>
      </c>
      <c r="W1048" s="3" t="s">
        <v>68</v>
      </c>
      <c r="X1048" s="27" t="str">
        <f>"－"</f>
        <v>－</v>
      </c>
      <c r="Y1048" s="27" t="n">
        <f>5</f>
        <v>5.0</v>
      </c>
      <c r="Z1048" s="25" t="n">
        <f>500</f>
        <v>500.0</v>
      </c>
      <c r="AA1048" s="25" t="n">
        <f>3264</f>
        <v>3264.0</v>
      </c>
      <c r="AB1048" s="2" t="s">
        <v>129</v>
      </c>
      <c r="AC1048" s="26" t="n">
        <f>3264</f>
        <v>3264.0</v>
      </c>
      <c r="AD1048" s="3" t="s">
        <v>838</v>
      </c>
      <c r="AE1048" s="27" t="n">
        <f>1171</f>
        <v>1171.0</v>
      </c>
    </row>
    <row r="1049">
      <c r="A1049" s="20" t="s">
        <v>1907</v>
      </c>
      <c r="B1049" s="21" t="s">
        <v>1908</v>
      </c>
      <c r="C1049" s="22" t="s">
        <v>1764</v>
      </c>
      <c r="D1049" s="23" t="s">
        <v>1765</v>
      </c>
      <c r="E1049" s="24" t="s">
        <v>423</v>
      </c>
      <c r="F1049" s="28" t="n">
        <f>123</f>
        <v>123.0</v>
      </c>
      <c r="G1049" s="25" t="n">
        <f>22093</f>
        <v>22093.0</v>
      </c>
      <c r="H1049" s="25"/>
      <c r="I1049" s="25" t="n">
        <f>22038</f>
        <v>22038.0</v>
      </c>
      <c r="J1049" s="25" t="n">
        <f>180</f>
        <v>180.0</v>
      </c>
      <c r="K1049" s="25" t="n">
        <f>179</f>
        <v>179.0</v>
      </c>
      <c r="L1049" s="2" t="s">
        <v>298</v>
      </c>
      <c r="M1049" s="26" t="n">
        <f>3054</f>
        <v>3054.0</v>
      </c>
      <c r="N1049" s="3" t="s">
        <v>68</v>
      </c>
      <c r="O1049" s="27" t="str">
        <f>"－"</f>
        <v>－</v>
      </c>
      <c r="P1049" s="29" t="s">
        <v>2052</v>
      </c>
      <c r="Q1049" s="25"/>
      <c r="R1049" s="29" t="s">
        <v>2053</v>
      </c>
      <c r="S1049" s="25" t="n">
        <f>59823593</f>
        <v>5.9823593E7</v>
      </c>
      <c r="T1049" s="25" t="n">
        <f>59755382</f>
        <v>5.9755382E7</v>
      </c>
      <c r="U1049" s="3" t="s">
        <v>388</v>
      </c>
      <c r="V1049" s="27" t="n">
        <f>1648920000</f>
        <v>1.64892E9</v>
      </c>
      <c r="W1049" s="3" t="s">
        <v>68</v>
      </c>
      <c r="X1049" s="27" t="str">
        <f>"－"</f>
        <v>－</v>
      </c>
      <c r="Y1049" s="27" t="n">
        <f>1261</f>
        <v>1261.0</v>
      </c>
      <c r="Z1049" s="25" t="n">
        <f>3268</f>
        <v>3268.0</v>
      </c>
      <c r="AA1049" s="25" t="n">
        <f>14344</f>
        <v>14344.0</v>
      </c>
      <c r="AB1049" s="2" t="s">
        <v>94</v>
      </c>
      <c r="AC1049" s="26" t="n">
        <f>14418</f>
        <v>14418.0</v>
      </c>
      <c r="AD1049" s="3" t="s">
        <v>838</v>
      </c>
      <c r="AE1049" s="27" t="n">
        <f>8402</f>
        <v>8402.0</v>
      </c>
    </row>
    <row r="1050">
      <c r="A1050" s="20" t="s">
        <v>1907</v>
      </c>
      <c r="B1050" s="21" t="s">
        <v>1908</v>
      </c>
      <c r="C1050" s="22" t="s">
        <v>1768</v>
      </c>
      <c r="D1050" s="23" t="s">
        <v>1769</v>
      </c>
      <c r="E1050" s="24" t="s">
        <v>423</v>
      </c>
      <c r="F1050" s="28" t="n">
        <f>123</f>
        <v>123.0</v>
      </c>
      <c r="G1050" s="25" t="n">
        <f>33343</f>
        <v>33343.0</v>
      </c>
      <c r="H1050" s="25"/>
      <c r="I1050" s="25" t="n">
        <f>33272</f>
        <v>33272.0</v>
      </c>
      <c r="J1050" s="25" t="n">
        <f>271</f>
        <v>271.0</v>
      </c>
      <c r="K1050" s="25" t="n">
        <f>271</f>
        <v>271.0</v>
      </c>
      <c r="L1050" s="2" t="s">
        <v>295</v>
      </c>
      <c r="M1050" s="26" t="n">
        <f>4570</f>
        <v>4570.0</v>
      </c>
      <c r="N1050" s="3" t="s">
        <v>68</v>
      </c>
      <c r="O1050" s="27" t="str">
        <f>"－"</f>
        <v>－</v>
      </c>
      <c r="P1050" s="29" t="s">
        <v>2054</v>
      </c>
      <c r="Q1050" s="25"/>
      <c r="R1050" s="29" t="s">
        <v>2055</v>
      </c>
      <c r="S1050" s="25" t="n">
        <f>93297740</f>
        <v>9.329774E7</v>
      </c>
      <c r="T1050" s="25" t="n">
        <f>93213545</f>
        <v>9.3213545E7</v>
      </c>
      <c r="U1050" s="3" t="s">
        <v>388</v>
      </c>
      <c r="V1050" s="27" t="n">
        <f>2012235000</f>
        <v>2.012235E9</v>
      </c>
      <c r="W1050" s="3" t="s">
        <v>68</v>
      </c>
      <c r="X1050" s="27" t="str">
        <f>"－"</f>
        <v>－</v>
      </c>
      <c r="Y1050" s="27" t="n">
        <f>1266</f>
        <v>1266.0</v>
      </c>
      <c r="Z1050" s="25" t="n">
        <f>3768</f>
        <v>3768.0</v>
      </c>
      <c r="AA1050" s="25" t="n">
        <f>17608</f>
        <v>17608.0</v>
      </c>
      <c r="AB1050" s="2" t="s">
        <v>129</v>
      </c>
      <c r="AC1050" s="26" t="n">
        <f>17608</f>
        <v>17608.0</v>
      </c>
      <c r="AD1050" s="3" t="s">
        <v>838</v>
      </c>
      <c r="AE1050" s="27" t="n">
        <f>9573</f>
        <v>9573.0</v>
      </c>
    </row>
    <row r="1051">
      <c r="A1051" s="20" t="s">
        <v>1907</v>
      </c>
      <c r="B1051" s="21" t="s">
        <v>1908</v>
      </c>
      <c r="C1051" s="22" t="s">
        <v>1760</v>
      </c>
      <c r="D1051" s="23" t="s">
        <v>1761</v>
      </c>
      <c r="E1051" s="24" t="s">
        <v>426</v>
      </c>
      <c r="F1051" s="28" t="n">
        <f>121</f>
        <v>121.0</v>
      </c>
      <c r="G1051" s="25" t="n">
        <f>20836</f>
        <v>20836.0</v>
      </c>
      <c r="H1051" s="25"/>
      <c r="I1051" s="25" t="n">
        <f>20836</f>
        <v>20836.0</v>
      </c>
      <c r="J1051" s="25" t="n">
        <f>172</f>
        <v>172.0</v>
      </c>
      <c r="K1051" s="25" t="n">
        <f>172</f>
        <v>172.0</v>
      </c>
      <c r="L1051" s="2" t="s">
        <v>427</v>
      </c>
      <c r="M1051" s="26" t="n">
        <f>2516</f>
        <v>2516.0</v>
      </c>
      <c r="N1051" s="3" t="s">
        <v>565</v>
      </c>
      <c r="O1051" s="27" t="str">
        <f>"－"</f>
        <v>－</v>
      </c>
      <c r="P1051" s="29" t="s">
        <v>2056</v>
      </c>
      <c r="Q1051" s="25"/>
      <c r="R1051" s="29" t="s">
        <v>2056</v>
      </c>
      <c r="S1051" s="25" t="n">
        <f>46332645</f>
        <v>4.6332645E7</v>
      </c>
      <c r="T1051" s="25" t="n">
        <f>46332645</f>
        <v>4.6332645E7</v>
      </c>
      <c r="U1051" s="3" t="s">
        <v>88</v>
      </c>
      <c r="V1051" s="27" t="n">
        <f>1087600000</f>
        <v>1.0876E9</v>
      </c>
      <c r="W1051" s="3" t="s">
        <v>565</v>
      </c>
      <c r="X1051" s="27" t="str">
        <f>"－"</f>
        <v>－</v>
      </c>
      <c r="Y1051" s="27" t="n">
        <f>493</f>
        <v>493.0</v>
      </c>
      <c r="Z1051" s="25" t="n">
        <f>5782</f>
        <v>5782.0</v>
      </c>
      <c r="AA1051" s="25" t="n">
        <f>4701</f>
        <v>4701.0</v>
      </c>
      <c r="AB1051" s="2" t="s">
        <v>369</v>
      </c>
      <c r="AC1051" s="26" t="n">
        <f>4749</f>
        <v>4749.0</v>
      </c>
      <c r="AD1051" s="3" t="s">
        <v>863</v>
      </c>
      <c r="AE1051" s="27" t="n">
        <f>1548</f>
        <v>1548.0</v>
      </c>
    </row>
    <row r="1052">
      <c r="A1052" s="20" t="s">
        <v>1907</v>
      </c>
      <c r="B1052" s="21" t="s">
        <v>1908</v>
      </c>
      <c r="C1052" s="22" t="s">
        <v>1764</v>
      </c>
      <c r="D1052" s="23" t="s">
        <v>1765</v>
      </c>
      <c r="E1052" s="24" t="s">
        <v>426</v>
      </c>
      <c r="F1052" s="28" t="n">
        <f>121</f>
        <v>121.0</v>
      </c>
      <c r="G1052" s="25" t="n">
        <f>58923</f>
        <v>58923.0</v>
      </c>
      <c r="H1052" s="25"/>
      <c r="I1052" s="25" t="n">
        <f>58918</f>
        <v>58918.0</v>
      </c>
      <c r="J1052" s="25" t="n">
        <f>487</f>
        <v>487.0</v>
      </c>
      <c r="K1052" s="25" t="n">
        <f>487</f>
        <v>487.0</v>
      </c>
      <c r="L1052" s="2" t="s">
        <v>273</v>
      </c>
      <c r="M1052" s="26" t="n">
        <f>9108</f>
        <v>9108.0</v>
      </c>
      <c r="N1052" s="3" t="s">
        <v>375</v>
      </c>
      <c r="O1052" s="27" t="str">
        <f>"－"</f>
        <v>－</v>
      </c>
      <c r="P1052" s="29" t="s">
        <v>2057</v>
      </c>
      <c r="Q1052" s="25"/>
      <c r="R1052" s="29" t="s">
        <v>2058</v>
      </c>
      <c r="S1052" s="25" t="n">
        <f>85393339</f>
        <v>8.5393339E7</v>
      </c>
      <c r="T1052" s="25" t="n">
        <f>85389372</f>
        <v>8.5389372E7</v>
      </c>
      <c r="U1052" s="3" t="s">
        <v>273</v>
      </c>
      <c r="V1052" s="27" t="n">
        <f>1913848000</f>
        <v>1.913848E9</v>
      </c>
      <c r="W1052" s="3" t="s">
        <v>375</v>
      </c>
      <c r="X1052" s="27" t="str">
        <f>"－"</f>
        <v>－</v>
      </c>
      <c r="Y1052" s="27" t="n">
        <f>5587</f>
        <v>5587.0</v>
      </c>
      <c r="Z1052" s="25" t="n">
        <f>10783</f>
        <v>10783.0</v>
      </c>
      <c r="AA1052" s="25" t="n">
        <f>4432</f>
        <v>4432.0</v>
      </c>
      <c r="AB1052" s="2" t="s">
        <v>528</v>
      </c>
      <c r="AC1052" s="26" t="n">
        <f>24171</f>
        <v>24171.0</v>
      </c>
      <c r="AD1052" s="3" t="s">
        <v>248</v>
      </c>
      <c r="AE1052" s="27" t="n">
        <f>4432</f>
        <v>4432.0</v>
      </c>
    </row>
    <row r="1053">
      <c r="A1053" s="20" t="s">
        <v>1907</v>
      </c>
      <c r="B1053" s="21" t="s">
        <v>1908</v>
      </c>
      <c r="C1053" s="22" t="s">
        <v>1768</v>
      </c>
      <c r="D1053" s="23" t="s">
        <v>1769</v>
      </c>
      <c r="E1053" s="24" t="s">
        <v>426</v>
      </c>
      <c r="F1053" s="28" t="n">
        <f>121</f>
        <v>121.0</v>
      </c>
      <c r="G1053" s="25" t="n">
        <f>79759</f>
        <v>79759.0</v>
      </c>
      <c r="H1053" s="25"/>
      <c r="I1053" s="25" t="n">
        <f>79754</f>
        <v>79754.0</v>
      </c>
      <c r="J1053" s="25" t="n">
        <f>659</f>
        <v>659.0</v>
      </c>
      <c r="K1053" s="25" t="n">
        <f>659</f>
        <v>659.0</v>
      </c>
      <c r="L1053" s="2" t="s">
        <v>273</v>
      </c>
      <c r="M1053" s="26" t="n">
        <f>9828</f>
        <v>9828.0</v>
      </c>
      <c r="N1053" s="3" t="s">
        <v>520</v>
      </c>
      <c r="O1053" s="27" t="str">
        <f>"－"</f>
        <v>－</v>
      </c>
      <c r="P1053" s="29" t="s">
        <v>2059</v>
      </c>
      <c r="Q1053" s="25"/>
      <c r="R1053" s="29" t="s">
        <v>2060</v>
      </c>
      <c r="S1053" s="25" t="n">
        <f>131725983</f>
        <v>1.31725983E8</v>
      </c>
      <c r="T1053" s="25" t="n">
        <f>131722017</f>
        <v>1.31722017E8</v>
      </c>
      <c r="U1053" s="3" t="s">
        <v>273</v>
      </c>
      <c r="V1053" s="27" t="n">
        <f>2033368000</f>
        <v>2.033368E9</v>
      </c>
      <c r="W1053" s="3" t="s">
        <v>520</v>
      </c>
      <c r="X1053" s="27" t="str">
        <f>"－"</f>
        <v>－</v>
      </c>
      <c r="Y1053" s="27" t="n">
        <f>6080</f>
        <v>6080.0</v>
      </c>
      <c r="Z1053" s="25" t="n">
        <f>16565</f>
        <v>16565.0</v>
      </c>
      <c r="AA1053" s="25" t="n">
        <f>9133</f>
        <v>9133.0</v>
      </c>
      <c r="AB1053" s="2" t="s">
        <v>528</v>
      </c>
      <c r="AC1053" s="26" t="n">
        <f>26896</f>
        <v>26896.0</v>
      </c>
      <c r="AD1053" s="3" t="s">
        <v>248</v>
      </c>
      <c r="AE1053" s="27" t="n">
        <f>8228</f>
        <v>8228.0</v>
      </c>
    </row>
    <row r="1054">
      <c r="A1054" s="20" t="s">
        <v>1907</v>
      </c>
      <c r="B1054" s="21" t="s">
        <v>1908</v>
      </c>
      <c r="C1054" s="22" t="s">
        <v>1760</v>
      </c>
      <c r="D1054" s="23" t="s">
        <v>1761</v>
      </c>
      <c r="E1054" s="24" t="s">
        <v>430</v>
      </c>
      <c r="F1054" s="28" t="n">
        <f>124</f>
        <v>124.0</v>
      </c>
      <c r="G1054" s="25" t="n">
        <f>12179</f>
        <v>12179.0</v>
      </c>
      <c r="H1054" s="25"/>
      <c r="I1054" s="25" t="n">
        <f>12179</f>
        <v>12179.0</v>
      </c>
      <c r="J1054" s="25" t="n">
        <f>98</f>
        <v>98.0</v>
      </c>
      <c r="K1054" s="25" t="n">
        <f>98</f>
        <v>98.0</v>
      </c>
      <c r="L1054" s="2" t="s">
        <v>68</v>
      </c>
      <c r="M1054" s="26" t="n">
        <f>4705</f>
        <v>4705.0</v>
      </c>
      <c r="N1054" s="3" t="s">
        <v>215</v>
      </c>
      <c r="O1054" s="27" t="str">
        <f>"－"</f>
        <v>－</v>
      </c>
      <c r="P1054" s="29" t="s">
        <v>2061</v>
      </c>
      <c r="Q1054" s="25"/>
      <c r="R1054" s="29" t="s">
        <v>2061</v>
      </c>
      <c r="S1054" s="25" t="n">
        <f>20947266</f>
        <v>2.0947266E7</v>
      </c>
      <c r="T1054" s="25" t="n">
        <f>20947266</f>
        <v>2.0947266E7</v>
      </c>
      <c r="U1054" s="3" t="s">
        <v>68</v>
      </c>
      <c r="V1054" s="27" t="n">
        <f>1045020000</f>
        <v>1.04502E9</v>
      </c>
      <c r="W1054" s="3" t="s">
        <v>215</v>
      </c>
      <c r="X1054" s="27" t="str">
        <f>"－"</f>
        <v>－</v>
      </c>
      <c r="Y1054" s="27" t="n">
        <f>993</f>
        <v>993.0</v>
      </c>
      <c r="Z1054" s="25" t="n">
        <f>505</f>
        <v>505.0</v>
      </c>
      <c r="AA1054" s="25" t="n">
        <f>1430</f>
        <v>1430.0</v>
      </c>
      <c r="AB1054" s="2" t="s">
        <v>68</v>
      </c>
      <c r="AC1054" s="26" t="n">
        <f>5751</f>
        <v>5751.0</v>
      </c>
      <c r="AD1054" s="3" t="s">
        <v>1015</v>
      </c>
      <c r="AE1054" s="27" t="n">
        <f>805</f>
        <v>805.0</v>
      </c>
    </row>
    <row r="1055">
      <c r="A1055" s="20" t="s">
        <v>1907</v>
      </c>
      <c r="B1055" s="21" t="s">
        <v>1908</v>
      </c>
      <c r="C1055" s="22" t="s">
        <v>1764</v>
      </c>
      <c r="D1055" s="23" t="s">
        <v>1765</v>
      </c>
      <c r="E1055" s="24" t="s">
        <v>430</v>
      </c>
      <c r="F1055" s="28" t="n">
        <f>124</f>
        <v>124.0</v>
      </c>
      <c r="G1055" s="25" t="n">
        <f>28102</f>
        <v>28102.0</v>
      </c>
      <c r="H1055" s="25"/>
      <c r="I1055" s="25" t="n">
        <f>28101</f>
        <v>28101.0</v>
      </c>
      <c r="J1055" s="25" t="n">
        <f>227</f>
        <v>227.0</v>
      </c>
      <c r="K1055" s="25" t="n">
        <f>227</f>
        <v>227.0</v>
      </c>
      <c r="L1055" s="2" t="s">
        <v>1415</v>
      </c>
      <c r="M1055" s="26" t="n">
        <f>9070</f>
        <v>9070.0</v>
      </c>
      <c r="N1055" s="3" t="s">
        <v>225</v>
      </c>
      <c r="O1055" s="27" t="str">
        <f>"－"</f>
        <v>－</v>
      </c>
      <c r="P1055" s="29" t="s">
        <v>2062</v>
      </c>
      <c r="Q1055" s="25"/>
      <c r="R1055" s="29" t="s">
        <v>2063</v>
      </c>
      <c r="S1055" s="25" t="n">
        <f>24613226</f>
        <v>2.4613226E7</v>
      </c>
      <c r="T1055" s="25" t="n">
        <f>24607984</f>
        <v>2.4607984E7</v>
      </c>
      <c r="U1055" s="3" t="s">
        <v>128</v>
      </c>
      <c r="V1055" s="27" t="n">
        <f>748650000</f>
        <v>7.4865E8</v>
      </c>
      <c r="W1055" s="3" t="s">
        <v>225</v>
      </c>
      <c r="X1055" s="27" t="str">
        <f>"－"</f>
        <v>－</v>
      </c>
      <c r="Y1055" s="27" t="str">
        <f>"－"</f>
        <v>－</v>
      </c>
      <c r="Z1055" s="25" t="n">
        <f>11566</f>
        <v>11566.0</v>
      </c>
      <c r="AA1055" s="25" t="n">
        <f>8247</f>
        <v>8247.0</v>
      </c>
      <c r="AB1055" s="2" t="s">
        <v>81</v>
      </c>
      <c r="AC1055" s="26" t="n">
        <f>9292</f>
        <v>9292.0</v>
      </c>
      <c r="AD1055" s="3" t="s">
        <v>82</v>
      </c>
      <c r="AE1055" s="27" t="n">
        <f>1455</f>
        <v>1455.0</v>
      </c>
    </row>
    <row r="1056">
      <c r="A1056" s="20" t="s">
        <v>1907</v>
      </c>
      <c r="B1056" s="21" t="s">
        <v>1908</v>
      </c>
      <c r="C1056" s="22" t="s">
        <v>1768</v>
      </c>
      <c r="D1056" s="23" t="s">
        <v>1769</v>
      </c>
      <c r="E1056" s="24" t="s">
        <v>430</v>
      </c>
      <c r="F1056" s="28" t="n">
        <f>124</f>
        <v>124.0</v>
      </c>
      <c r="G1056" s="25" t="n">
        <f>40281</f>
        <v>40281.0</v>
      </c>
      <c r="H1056" s="25"/>
      <c r="I1056" s="25" t="n">
        <f>40280</f>
        <v>40280.0</v>
      </c>
      <c r="J1056" s="25" t="n">
        <f>325</f>
        <v>325.0</v>
      </c>
      <c r="K1056" s="25" t="n">
        <f>325</f>
        <v>325.0</v>
      </c>
      <c r="L1056" s="2" t="s">
        <v>1415</v>
      </c>
      <c r="M1056" s="26" t="n">
        <f>9070</f>
        <v>9070.0</v>
      </c>
      <c r="N1056" s="3" t="s">
        <v>225</v>
      </c>
      <c r="O1056" s="27" t="str">
        <f>"－"</f>
        <v>－</v>
      </c>
      <c r="P1056" s="29" t="s">
        <v>2064</v>
      </c>
      <c r="Q1056" s="25"/>
      <c r="R1056" s="29" t="s">
        <v>2065</v>
      </c>
      <c r="S1056" s="25" t="n">
        <f>45560492</f>
        <v>4.5560492E7</v>
      </c>
      <c r="T1056" s="25" t="n">
        <f>45555250</f>
        <v>4.555525E7</v>
      </c>
      <c r="U1056" s="3" t="s">
        <v>68</v>
      </c>
      <c r="V1056" s="27" t="n">
        <f>1272060000</f>
        <v>1.27206E9</v>
      </c>
      <c r="W1056" s="3" t="s">
        <v>225</v>
      </c>
      <c r="X1056" s="27" t="str">
        <f>"－"</f>
        <v>－</v>
      </c>
      <c r="Y1056" s="27" t="n">
        <f>993</f>
        <v>993.0</v>
      </c>
      <c r="Z1056" s="25" t="n">
        <f>12071</f>
        <v>12071.0</v>
      </c>
      <c r="AA1056" s="25" t="n">
        <f>9677</f>
        <v>9677.0</v>
      </c>
      <c r="AB1056" s="2" t="s">
        <v>1158</v>
      </c>
      <c r="AC1056" s="26" t="n">
        <f>14178</f>
        <v>14178.0</v>
      </c>
      <c r="AD1056" s="3" t="s">
        <v>82</v>
      </c>
      <c r="AE1056" s="27" t="n">
        <f>2340</f>
        <v>2340.0</v>
      </c>
    </row>
    <row r="1057">
      <c r="A1057" s="20" t="s">
        <v>1907</v>
      </c>
      <c r="B1057" s="21" t="s">
        <v>1908</v>
      </c>
      <c r="C1057" s="22" t="s">
        <v>1760</v>
      </c>
      <c r="D1057" s="23" t="s">
        <v>1761</v>
      </c>
      <c r="E1057" s="24" t="s">
        <v>433</v>
      </c>
      <c r="F1057" s="28" t="n">
        <f>121</f>
        <v>121.0</v>
      </c>
      <c r="G1057" s="25" t="n">
        <f>7328</f>
        <v>7328.0</v>
      </c>
      <c r="H1057" s="25"/>
      <c r="I1057" s="25" t="n">
        <f>7328</f>
        <v>7328.0</v>
      </c>
      <c r="J1057" s="25" t="n">
        <f>61</f>
        <v>61.0</v>
      </c>
      <c r="K1057" s="25" t="n">
        <f>61</f>
        <v>61.0</v>
      </c>
      <c r="L1057" s="2" t="s">
        <v>458</v>
      </c>
      <c r="M1057" s="26" t="n">
        <f>2179</f>
        <v>2179.0</v>
      </c>
      <c r="N1057" s="3" t="s">
        <v>156</v>
      </c>
      <c r="O1057" s="27" t="str">
        <f>"－"</f>
        <v>－</v>
      </c>
      <c r="P1057" s="29" t="s">
        <v>2066</v>
      </c>
      <c r="Q1057" s="25"/>
      <c r="R1057" s="29" t="s">
        <v>2066</v>
      </c>
      <c r="S1057" s="25" t="n">
        <f>25989174</f>
        <v>2.5989174E7</v>
      </c>
      <c r="T1057" s="25" t="n">
        <f>25989174</f>
        <v>2.5989174E7</v>
      </c>
      <c r="U1057" s="3" t="s">
        <v>458</v>
      </c>
      <c r="V1057" s="27" t="n">
        <f>1854079000</f>
        <v>1.854079E9</v>
      </c>
      <c r="W1057" s="3" t="s">
        <v>156</v>
      </c>
      <c r="X1057" s="27" t="str">
        <f>"－"</f>
        <v>－</v>
      </c>
      <c r="Y1057" s="27" t="n">
        <f>1439</f>
        <v>1439.0</v>
      </c>
      <c r="Z1057" s="25" t="n">
        <f>1869</f>
        <v>1869.0</v>
      </c>
      <c r="AA1057" s="25" t="n">
        <f>460</f>
        <v>460.0</v>
      </c>
      <c r="AB1057" s="2" t="s">
        <v>70</v>
      </c>
      <c r="AC1057" s="26" t="n">
        <f>3484</f>
        <v>3484.0</v>
      </c>
      <c r="AD1057" s="3" t="s">
        <v>98</v>
      </c>
      <c r="AE1057" s="27" t="n">
        <f>460</f>
        <v>460.0</v>
      </c>
    </row>
    <row r="1058">
      <c r="A1058" s="20" t="s">
        <v>1907</v>
      </c>
      <c r="B1058" s="21" t="s">
        <v>1908</v>
      </c>
      <c r="C1058" s="22" t="s">
        <v>1764</v>
      </c>
      <c r="D1058" s="23" t="s">
        <v>1765</v>
      </c>
      <c r="E1058" s="24" t="s">
        <v>433</v>
      </c>
      <c r="F1058" s="28" t="n">
        <f>121</f>
        <v>121.0</v>
      </c>
      <c r="G1058" s="25" t="n">
        <f>8646</f>
        <v>8646.0</v>
      </c>
      <c r="H1058" s="25"/>
      <c r="I1058" s="25" t="n">
        <f>8646</f>
        <v>8646.0</v>
      </c>
      <c r="J1058" s="25" t="n">
        <f>71</f>
        <v>71.0</v>
      </c>
      <c r="K1058" s="25" t="n">
        <f>71</f>
        <v>71.0</v>
      </c>
      <c r="L1058" s="2" t="s">
        <v>188</v>
      </c>
      <c r="M1058" s="26" t="n">
        <f>4886</f>
        <v>4886.0</v>
      </c>
      <c r="N1058" s="3" t="s">
        <v>156</v>
      </c>
      <c r="O1058" s="27" t="str">
        <f>"－"</f>
        <v>－</v>
      </c>
      <c r="P1058" s="29" t="s">
        <v>2067</v>
      </c>
      <c r="Q1058" s="25"/>
      <c r="R1058" s="29" t="s">
        <v>2067</v>
      </c>
      <c r="S1058" s="25" t="n">
        <f>22212355</f>
        <v>2.2212355E7</v>
      </c>
      <c r="T1058" s="25" t="n">
        <f>22212355</f>
        <v>2.2212355E7</v>
      </c>
      <c r="U1058" s="3" t="s">
        <v>188</v>
      </c>
      <c r="V1058" s="27" t="n">
        <f>1350500000</f>
        <v>1.3505E9</v>
      </c>
      <c r="W1058" s="3" t="s">
        <v>156</v>
      </c>
      <c r="X1058" s="27" t="str">
        <f>"－"</f>
        <v>－</v>
      </c>
      <c r="Y1058" s="27" t="n">
        <f>2647</f>
        <v>2647.0</v>
      </c>
      <c r="Z1058" s="25" t="n">
        <f>4750</f>
        <v>4750.0</v>
      </c>
      <c r="AA1058" s="25" t="n">
        <f>900</f>
        <v>900.0</v>
      </c>
      <c r="AB1058" s="2" t="s">
        <v>188</v>
      </c>
      <c r="AC1058" s="26" t="n">
        <f>11447</f>
        <v>11447.0</v>
      </c>
      <c r="AD1058" s="3" t="s">
        <v>98</v>
      </c>
      <c r="AE1058" s="27" t="n">
        <f>900</f>
        <v>900.0</v>
      </c>
    </row>
    <row r="1059">
      <c r="A1059" s="20" t="s">
        <v>1907</v>
      </c>
      <c r="B1059" s="21" t="s">
        <v>1908</v>
      </c>
      <c r="C1059" s="22" t="s">
        <v>1768</v>
      </c>
      <c r="D1059" s="23" t="s">
        <v>1769</v>
      </c>
      <c r="E1059" s="24" t="s">
        <v>433</v>
      </c>
      <c r="F1059" s="28" t="n">
        <f>121</f>
        <v>121.0</v>
      </c>
      <c r="G1059" s="25" t="n">
        <f>15974</f>
        <v>15974.0</v>
      </c>
      <c r="H1059" s="25"/>
      <c r="I1059" s="25" t="n">
        <f>15974</f>
        <v>15974.0</v>
      </c>
      <c r="J1059" s="25" t="n">
        <f>132</f>
        <v>132.0</v>
      </c>
      <c r="K1059" s="25" t="n">
        <f>132</f>
        <v>132.0</v>
      </c>
      <c r="L1059" s="2" t="s">
        <v>188</v>
      </c>
      <c r="M1059" s="26" t="n">
        <f>5386</f>
        <v>5386.0</v>
      </c>
      <c r="N1059" s="3" t="s">
        <v>156</v>
      </c>
      <c r="O1059" s="27" t="str">
        <f>"－"</f>
        <v>－</v>
      </c>
      <c r="P1059" s="29" t="s">
        <v>2068</v>
      </c>
      <c r="Q1059" s="25"/>
      <c r="R1059" s="29" t="s">
        <v>2068</v>
      </c>
      <c r="S1059" s="25" t="n">
        <f>48201529</f>
        <v>4.8201529E7</v>
      </c>
      <c r="T1059" s="25" t="n">
        <f>48201529</f>
        <v>4.8201529E7</v>
      </c>
      <c r="U1059" s="3" t="s">
        <v>458</v>
      </c>
      <c r="V1059" s="27" t="n">
        <f>1854079000</f>
        <v>1.854079E9</v>
      </c>
      <c r="W1059" s="3" t="s">
        <v>156</v>
      </c>
      <c r="X1059" s="27" t="str">
        <f>"－"</f>
        <v>－</v>
      </c>
      <c r="Y1059" s="27" t="n">
        <f>4086</f>
        <v>4086.0</v>
      </c>
      <c r="Z1059" s="25" t="n">
        <f>6619</f>
        <v>6619.0</v>
      </c>
      <c r="AA1059" s="25" t="n">
        <f>1360</f>
        <v>1360.0</v>
      </c>
      <c r="AB1059" s="2" t="s">
        <v>188</v>
      </c>
      <c r="AC1059" s="26" t="n">
        <f>13477</f>
        <v>13477.0</v>
      </c>
      <c r="AD1059" s="3" t="s">
        <v>98</v>
      </c>
      <c r="AE1059" s="27" t="n">
        <f>1360</f>
        <v>1360.0</v>
      </c>
    </row>
    <row r="1060">
      <c r="A1060" s="20" t="s">
        <v>1907</v>
      </c>
      <c r="B1060" s="21" t="s">
        <v>1908</v>
      </c>
      <c r="C1060" s="22" t="s">
        <v>1760</v>
      </c>
      <c r="D1060" s="23" t="s">
        <v>1761</v>
      </c>
      <c r="E1060" s="24" t="s">
        <v>437</v>
      </c>
      <c r="F1060" s="28" t="n">
        <f>124</f>
        <v>124.0</v>
      </c>
      <c r="G1060" s="25" t="n">
        <f>2593</f>
        <v>2593.0</v>
      </c>
      <c r="H1060" s="25"/>
      <c r="I1060" s="25" t="n">
        <f>2593</f>
        <v>2593.0</v>
      </c>
      <c r="J1060" s="25" t="n">
        <f>21</f>
        <v>21.0</v>
      </c>
      <c r="K1060" s="25" t="n">
        <f>21</f>
        <v>21.0</v>
      </c>
      <c r="L1060" s="2" t="s">
        <v>54</v>
      </c>
      <c r="M1060" s="26" t="n">
        <f>526</f>
        <v>526.0</v>
      </c>
      <c r="N1060" s="3" t="s">
        <v>68</v>
      </c>
      <c r="O1060" s="27" t="str">
        <f>"－"</f>
        <v>－</v>
      </c>
      <c r="P1060" s="29" t="s">
        <v>2069</v>
      </c>
      <c r="Q1060" s="25"/>
      <c r="R1060" s="29" t="s">
        <v>2069</v>
      </c>
      <c r="S1060" s="25" t="n">
        <f>7451702</f>
        <v>7451702.0</v>
      </c>
      <c r="T1060" s="25" t="n">
        <f>7451702</f>
        <v>7451702.0</v>
      </c>
      <c r="U1060" s="3" t="s">
        <v>945</v>
      </c>
      <c r="V1060" s="27" t="n">
        <f>221400000</f>
        <v>2.214E8</v>
      </c>
      <c r="W1060" s="3" t="s">
        <v>68</v>
      </c>
      <c r="X1060" s="27" t="str">
        <f>"－"</f>
        <v>－</v>
      </c>
      <c r="Y1060" s="27" t="n">
        <f>246</f>
        <v>246.0</v>
      </c>
      <c r="Z1060" s="25" t="n">
        <f>659</f>
        <v>659.0</v>
      </c>
      <c r="AA1060" s="25" t="n">
        <f>1036</f>
        <v>1036.0</v>
      </c>
      <c r="AB1060" s="2" t="s">
        <v>118</v>
      </c>
      <c r="AC1060" s="26" t="n">
        <f>1036</f>
        <v>1036.0</v>
      </c>
      <c r="AD1060" s="3" t="s">
        <v>945</v>
      </c>
      <c r="AE1060" s="27" t="n">
        <f>195</f>
        <v>195.0</v>
      </c>
    </row>
    <row r="1061">
      <c r="A1061" s="20" t="s">
        <v>1907</v>
      </c>
      <c r="B1061" s="21" t="s">
        <v>1908</v>
      </c>
      <c r="C1061" s="22" t="s">
        <v>1764</v>
      </c>
      <c r="D1061" s="23" t="s">
        <v>1765</v>
      </c>
      <c r="E1061" s="24" t="s">
        <v>437</v>
      </c>
      <c r="F1061" s="28" t="n">
        <f>124</f>
        <v>124.0</v>
      </c>
      <c r="G1061" s="25" t="n">
        <f>2775</f>
        <v>2775.0</v>
      </c>
      <c r="H1061" s="25"/>
      <c r="I1061" s="25" t="n">
        <f>2743</f>
        <v>2743.0</v>
      </c>
      <c r="J1061" s="25" t="n">
        <f>22</f>
        <v>22.0</v>
      </c>
      <c r="K1061" s="25" t="n">
        <f>22</f>
        <v>22.0</v>
      </c>
      <c r="L1061" s="2" t="s">
        <v>216</v>
      </c>
      <c r="M1061" s="26" t="n">
        <f>500</f>
        <v>500.0</v>
      </c>
      <c r="N1061" s="3" t="s">
        <v>68</v>
      </c>
      <c r="O1061" s="27" t="str">
        <f>"－"</f>
        <v>－</v>
      </c>
      <c r="P1061" s="29" t="s">
        <v>2070</v>
      </c>
      <c r="Q1061" s="25"/>
      <c r="R1061" s="29" t="s">
        <v>2071</v>
      </c>
      <c r="S1061" s="25" t="n">
        <f>7602073</f>
        <v>7602073.0</v>
      </c>
      <c r="T1061" s="25" t="n">
        <f>7581032</f>
        <v>7581032.0</v>
      </c>
      <c r="U1061" s="3" t="s">
        <v>137</v>
      </c>
      <c r="V1061" s="27" t="n">
        <f>179500000</f>
        <v>1.795E8</v>
      </c>
      <c r="W1061" s="3" t="s">
        <v>68</v>
      </c>
      <c r="X1061" s="27" t="str">
        <f>"－"</f>
        <v>－</v>
      </c>
      <c r="Y1061" s="27" t="n">
        <f>71</f>
        <v>71.0</v>
      </c>
      <c r="Z1061" s="25" t="n">
        <f>529</f>
        <v>529.0</v>
      </c>
      <c r="AA1061" s="25" t="n">
        <f>1668</f>
        <v>1668.0</v>
      </c>
      <c r="AB1061" s="2" t="s">
        <v>271</v>
      </c>
      <c r="AC1061" s="26" t="n">
        <f>1669</f>
        <v>1669.0</v>
      </c>
      <c r="AD1061" s="3" t="s">
        <v>945</v>
      </c>
      <c r="AE1061" s="27" t="n">
        <f>635</f>
        <v>635.0</v>
      </c>
    </row>
    <row r="1062">
      <c r="A1062" s="20" t="s">
        <v>1907</v>
      </c>
      <c r="B1062" s="21" t="s">
        <v>1908</v>
      </c>
      <c r="C1062" s="22" t="s">
        <v>1768</v>
      </c>
      <c r="D1062" s="23" t="s">
        <v>1769</v>
      </c>
      <c r="E1062" s="24" t="s">
        <v>437</v>
      </c>
      <c r="F1062" s="28" t="n">
        <f>124</f>
        <v>124.0</v>
      </c>
      <c r="G1062" s="25" t="n">
        <f>5368</f>
        <v>5368.0</v>
      </c>
      <c r="H1062" s="25"/>
      <c r="I1062" s="25" t="n">
        <f>5336</f>
        <v>5336.0</v>
      </c>
      <c r="J1062" s="25" t="n">
        <f>43</f>
        <v>43.0</v>
      </c>
      <c r="K1062" s="25" t="n">
        <f>43</f>
        <v>43.0</v>
      </c>
      <c r="L1062" s="2" t="s">
        <v>54</v>
      </c>
      <c r="M1062" s="26" t="n">
        <f>789</f>
        <v>789.0</v>
      </c>
      <c r="N1062" s="3" t="s">
        <v>68</v>
      </c>
      <c r="O1062" s="27" t="str">
        <f>"－"</f>
        <v>－</v>
      </c>
      <c r="P1062" s="29" t="s">
        <v>2072</v>
      </c>
      <c r="Q1062" s="25"/>
      <c r="R1062" s="29" t="s">
        <v>2073</v>
      </c>
      <c r="S1062" s="25" t="n">
        <f>15053774</f>
        <v>1.5053774E7</v>
      </c>
      <c r="T1062" s="25" t="n">
        <f>15032734</f>
        <v>1.5032734E7</v>
      </c>
      <c r="U1062" s="3" t="s">
        <v>141</v>
      </c>
      <c r="V1062" s="27" t="n">
        <f>362780000</f>
        <v>3.6278E8</v>
      </c>
      <c r="W1062" s="3" t="s">
        <v>68</v>
      </c>
      <c r="X1062" s="27" t="str">
        <f>"－"</f>
        <v>－</v>
      </c>
      <c r="Y1062" s="27" t="n">
        <f>317</f>
        <v>317.0</v>
      </c>
      <c r="Z1062" s="25" t="n">
        <f>1188</f>
        <v>1188.0</v>
      </c>
      <c r="AA1062" s="25" t="n">
        <f>2704</f>
        <v>2704.0</v>
      </c>
      <c r="AB1062" s="2" t="s">
        <v>271</v>
      </c>
      <c r="AC1062" s="26" t="n">
        <f>2705</f>
        <v>2705.0</v>
      </c>
      <c r="AD1062" s="3" t="s">
        <v>945</v>
      </c>
      <c r="AE1062" s="27" t="n">
        <f>830</f>
        <v>830.0</v>
      </c>
    </row>
    <row r="1063">
      <c r="A1063" s="20" t="s">
        <v>1907</v>
      </c>
      <c r="B1063" s="21" t="s">
        <v>1908</v>
      </c>
      <c r="C1063" s="22" t="s">
        <v>1760</v>
      </c>
      <c r="D1063" s="23" t="s">
        <v>1761</v>
      </c>
      <c r="E1063" s="24" t="s">
        <v>440</v>
      </c>
      <c r="F1063" s="28" t="n">
        <f>123</f>
        <v>123.0</v>
      </c>
      <c r="G1063" s="25" t="n">
        <f>1977</f>
        <v>1977.0</v>
      </c>
      <c r="H1063" s="25"/>
      <c r="I1063" s="25" t="n">
        <f>1977</f>
        <v>1977.0</v>
      </c>
      <c r="J1063" s="25" t="n">
        <f>16</f>
        <v>16.0</v>
      </c>
      <c r="K1063" s="25" t="n">
        <f>16</f>
        <v>16.0</v>
      </c>
      <c r="L1063" s="2" t="s">
        <v>188</v>
      </c>
      <c r="M1063" s="26" t="n">
        <f>708</f>
        <v>708.0</v>
      </c>
      <c r="N1063" s="3" t="s">
        <v>156</v>
      </c>
      <c r="O1063" s="27" t="str">
        <f>"－"</f>
        <v>－</v>
      </c>
      <c r="P1063" s="29" t="s">
        <v>2074</v>
      </c>
      <c r="Q1063" s="25"/>
      <c r="R1063" s="29" t="s">
        <v>2074</v>
      </c>
      <c r="S1063" s="25" t="n">
        <f>2604081</f>
        <v>2604081.0</v>
      </c>
      <c r="T1063" s="25" t="n">
        <f>2604081</f>
        <v>2604081.0</v>
      </c>
      <c r="U1063" s="3" t="s">
        <v>482</v>
      </c>
      <c r="V1063" s="27" t="n">
        <f>137870000</f>
        <v>1.3787E8</v>
      </c>
      <c r="W1063" s="3" t="s">
        <v>156</v>
      </c>
      <c r="X1063" s="27" t="str">
        <f>"－"</f>
        <v>－</v>
      </c>
      <c r="Y1063" s="27" t="str">
        <f>"－"</f>
        <v>－</v>
      </c>
      <c r="Z1063" s="25" t="n">
        <f>822</f>
        <v>822.0</v>
      </c>
      <c r="AA1063" s="25" t="n">
        <f>439</f>
        <v>439.0</v>
      </c>
      <c r="AB1063" s="2" t="s">
        <v>188</v>
      </c>
      <c r="AC1063" s="26" t="n">
        <f>1744</f>
        <v>1744.0</v>
      </c>
      <c r="AD1063" s="3" t="s">
        <v>101</v>
      </c>
      <c r="AE1063" s="27" t="n">
        <f>439</f>
        <v>439.0</v>
      </c>
    </row>
    <row r="1064">
      <c r="A1064" s="20" t="s">
        <v>1907</v>
      </c>
      <c r="B1064" s="21" t="s">
        <v>1908</v>
      </c>
      <c r="C1064" s="22" t="s">
        <v>1764</v>
      </c>
      <c r="D1064" s="23" t="s">
        <v>1765</v>
      </c>
      <c r="E1064" s="24" t="s">
        <v>440</v>
      </c>
      <c r="F1064" s="28" t="n">
        <f>123</f>
        <v>123.0</v>
      </c>
      <c r="G1064" s="25" t="n">
        <f>6008</f>
        <v>6008.0</v>
      </c>
      <c r="H1064" s="25"/>
      <c r="I1064" s="25" t="n">
        <f>6008</f>
        <v>6008.0</v>
      </c>
      <c r="J1064" s="25" t="n">
        <f>49</f>
        <v>49.0</v>
      </c>
      <c r="K1064" s="25" t="n">
        <f>49</f>
        <v>49.0</v>
      </c>
      <c r="L1064" s="2" t="s">
        <v>625</v>
      </c>
      <c r="M1064" s="26" t="n">
        <f>970</f>
        <v>970.0</v>
      </c>
      <c r="N1064" s="3" t="s">
        <v>156</v>
      </c>
      <c r="O1064" s="27" t="str">
        <f>"－"</f>
        <v>－</v>
      </c>
      <c r="P1064" s="29" t="s">
        <v>2075</v>
      </c>
      <c r="Q1064" s="25"/>
      <c r="R1064" s="29" t="s">
        <v>2075</v>
      </c>
      <c r="S1064" s="25" t="n">
        <f>13232520</f>
        <v>1.323252E7</v>
      </c>
      <c r="T1064" s="25" t="n">
        <f>13232520</f>
        <v>1.323252E7</v>
      </c>
      <c r="U1064" s="3" t="s">
        <v>1121</v>
      </c>
      <c r="V1064" s="27" t="n">
        <f>603930000</f>
        <v>6.0393E8</v>
      </c>
      <c r="W1064" s="3" t="s">
        <v>156</v>
      </c>
      <c r="X1064" s="27" t="str">
        <f>"－"</f>
        <v>－</v>
      </c>
      <c r="Y1064" s="27" t="n">
        <f>497</f>
        <v>497.0</v>
      </c>
      <c r="Z1064" s="25" t="n">
        <f>2562</f>
        <v>2562.0</v>
      </c>
      <c r="AA1064" s="25" t="n">
        <f>1599</f>
        <v>1599.0</v>
      </c>
      <c r="AB1064" s="2" t="s">
        <v>634</v>
      </c>
      <c r="AC1064" s="26" t="n">
        <f>4599</f>
        <v>4599.0</v>
      </c>
      <c r="AD1064" s="3" t="s">
        <v>291</v>
      </c>
      <c r="AE1064" s="27" t="n">
        <f>1576</f>
        <v>1576.0</v>
      </c>
    </row>
    <row r="1065">
      <c r="A1065" s="20" t="s">
        <v>1907</v>
      </c>
      <c r="B1065" s="21" t="s">
        <v>1908</v>
      </c>
      <c r="C1065" s="22" t="s">
        <v>1768</v>
      </c>
      <c r="D1065" s="23" t="s">
        <v>1769</v>
      </c>
      <c r="E1065" s="24" t="s">
        <v>440</v>
      </c>
      <c r="F1065" s="28" t="n">
        <f>123</f>
        <v>123.0</v>
      </c>
      <c r="G1065" s="25" t="n">
        <f>7985</f>
        <v>7985.0</v>
      </c>
      <c r="H1065" s="25"/>
      <c r="I1065" s="25" t="n">
        <f>7985</f>
        <v>7985.0</v>
      </c>
      <c r="J1065" s="25" t="n">
        <f>65</f>
        <v>65.0</v>
      </c>
      <c r="K1065" s="25" t="n">
        <f>65</f>
        <v>65.0</v>
      </c>
      <c r="L1065" s="2" t="s">
        <v>188</v>
      </c>
      <c r="M1065" s="26" t="n">
        <f>1062</f>
        <v>1062.0</v>
      </c>
      <c r="N1065" s="3" t="s">
        <v>156</v>
      </c>
      <c r="O1065" s="27" t="str">
        <f>"－"</f>
        <v>－</v>
      </c>
      <c r="P1065" s="29" t="s">
        <v>2076</v>
      </c>
      <c r="Q1065" s="25"/>
      <c r="R1065" s="29" t="s">
        <v>2076</v>
      </c>
      <c r="S1065" s="25" t="n">
        <f>15836602</f>
        <v>1.5836602E7</v>
      </c>
      <c r="T1065" s="25" t="n">
        <f>15836602</f>
        <v>1.5836602E7</v>
      </c>
      <c r="U1065" s="3" t="s">
        <v>1121</v>
      </c>
      <c r="V1065" s="27" t="n">
        <f>677960000</f>
        <v>6.7796E8</v>
      </c>
      <c r="W1065" s="3" t="s">
        <v>156</v>
      </c>
      <c r="X1065" s="27" t="str">
        <f>"－"</f>
        <v>－</v>
      </c>
      <c r="Y1065" s="27" t="n">
        <f>497</f>
        <v>497.0</v>
      </c>
      <c r="Z1065" s="25" t="n">
        <f>3384</f>
        <v>3384.0</v>
      </c>
      <c r="AA1065" s="25" t="n">
        <f>2038</f>
        <v>2038.0</v>
      </c>
      <c r="AB1065" s="2" t="s">
        <v>634</v>
      </c>
      <c r="AC1065" s="26" t="n">
        <f>5138</f>
        <v>5138.0</v>
      </c>
      <c r="AD1065" s="3" t="s">
        <v>101</v>
      </c>
      <c r="AE1065" s="27" t="n">
        <f>2038</f>
        <v>2038.0</v>
      </c>
    </row>
    <row r="1066">
      <c r="A1066" s="20" t="s">
        <v>1907</v>
      </c>
      <c r="B1066" s="21" t="s">
        <v>1908</v>
      </c>
      <c r="C1066" s="22" t="s">
        <v>1760</v>
      </c>
      <c r="D1066" s="23" t="s">
        <v>1761</v>
      </c>
      <c r="E1066" s="24" t="s">
        <v>443</v>
      </c>
      <c r="F1066" s="28" t="n">
        <f>125</f>
        <v>125.0</v>
      </c>
      <c r="G1066" s="25" t="n">
        <f>2208</f>
        <v>2208.0</v>
      </c>
      <c r="H1066" s="25"/>
      <c r="I1066" s="25" t="n">
        <f>2208</f>
        <v>2208.0</v>
      </c>
      <c r="J1066" s="25" t="n">
        <f>18</f>
        <v>18.0</v>
      </c>
      <c r="K1066" s="25" t="n">
        <f>18</f>
        <v>18.0</v>
      </c>
      <c r="L1066" s="2" t="s">
        <v>1917</v>
      </c>
      <c r="M1066" s="26" t="n">
        <f>300</f>
        <v>300.0</v>
      </c>
      <c r="N1066" s="3" t="s">
        <v>215</v>
      </c>
      <c r="O1066" s="27" t="str">
        <f>"－"</f>
        <v>－</v>
      </c>
      <c r="P1066" s="29" t="s">
        <v>2077</v>
      </c>
      <c r="Q1066" s="25"/>
      <c r="R1066" s="29" t="s">
        <v>2077</v>
      </c>
      <c r="S1066" s="25" t="n">
        <f>1902416</f>
        <v>1902416.0</v>
      </c>
      <c r="T1066" s="25" t="n">
        <f>1902416</f>
        <v>1902416.0</v>
      </c>
      <c r="U1066" s="3" t="s">
        <v>991</v>
      </c>
      <c r="V1066" s="27" t="n">
        <f>48250000</f>
        <v>4.825E7</v>
      </c>
      <c r="W1066" s="3" t="s">
        <v>215</v>
      </c>
      <c r="X1066" s="27" t="str">
        <f>"－"</f>
        <v>－</v>
      </c>
      <c r="Y1066" s="27" t="str">
        <f>"－"</f>
        <v>－</v>
      </c>
      <c r="Z1066" s="25" t="n">
        <f>252</f>
        <v>252.0</v>
      </c>
      <c r="AA1066" s="25" t="n">
        <f>666</f>
        <v>666.0</v>
      </c>
      <c r="AB1066" s="2" t="s">
        <v>237</v>
      </c>
      <c r="AC1066" s="26" t="n">
        <f>1478</f>
        <v>1478.0</v>
      </c>
      <c r="AD1066" s="3" t="s">
        <v>215</v>
      </c>
      <c r="AE1066" s="27" t="n">
        <f>439</f>
        <v>439.0</v>
      </c>
    </row>
    <row r="1067">
      <c r="A1067" s="20" t="s">
        <v>1907</v>
      </c>
      <c r="B1067" s="21" t="s">
        <v>1908</v>
      </c>
      <c r="C1067" s="22" t="s">
        <v>1764</v>
      </c>
      <c r="D1067" s="23" t="s">
        <v>1765</v>
      </c>
      <c r="E1067" s="24" t="s">
        <v>443</v>
      </c>
      <c r="F1067" s="28" t="n">
        <f>125</f>
        <v>125.0</v>
      </c>
      <c r="G1067" s="25" t="n">
        <f>12490</f>
        <v>12490.0</v>
      </c>
      <c r="H1067" s="25"/>
      <c r="I1067" s="25" t="n">
        <f>12490</f>
        <v>12490.0</v>
      </c>
      <c r="J1067" s="25" t="n">
        <f>100</f>
        <v>100.0</v>
      </c>
      <c r="K1067" s="25" t="n">
        <f>100</f>
        <v>100.0</v>
      </c>
      <c r="L1067" s="2" t="s">
        <v>1116</v>
      </c>
      <c r="M1067" s="26" t="n">
        <f>3144</f>
        <v>3144.0</v>
      </c>
      <c r="N1067" s="3" t="s">
        <v>215</v>
      </c>
      <c r="O1067" s="27" t="str">
        <f>"－"</f>
        <v>－</v>
      </c>
      <c r="P1067" s="29" t="s">
        <v>2078</v>
      </c>
      <c r="Q1067" s="25"/>
      <c r="R1067" s="29" t="s">
        <v>2078</v>
      </c>
      <c r="S1067" s="25" t="n">
        <f>31887472</f>
        <v>3.1887472E7</v>
      </c>
      <c r="T1067" s="25" t="n">
        <f>31887472</f>
        <v>3.1887472E7</v>
      </c>
      <c r="U1067" s="3" t="s">
        <v>976</v>
      </c>
      <c r="V1067" s="27" t="n">
        <f>1213249000</f>
        <v>1.213249E9</v>
      </c>
      <c r="W1067" s="3" t="s">
        <v>215</v>
      </c>
      <c r="X1067" s="27" t="str">
        <f>"－"</f>
        <v>－</v>
      </c>
      <c r="Y1067" s="27" t="n">
        <f>250</f>
        <v>250.0</v>
      </c>
      <c r="Z1067" s="25" t="n">
        <f>11632</f>
        <v>11632.0</v>
      </c>
      <c r="AA1067" s="25" t="n">
        <f>4601</f>
        <v>4601.0</v>
      </c>
      <c r="AB1067" s="2" t="s">
        <v>221</v>
      </c>
      <c r="AC1067" s="26" t="n">
        <f>8449</f>
        <v>8449.0</v>
      </c>
      <c r="AD1067" s="3" t="s">
        <v>975</v>
      </c>
      <c r="AE1067" s="27" t="n">
        <f>410</f>
        <v>410.0</v>
      </c>
    </row>
    <row r="1068">
      <c r="A1068" s="20" t="s">
        <v>1907</v>
      </c>
      <c r="B1068" s="21" t="s">
        <v>1908</v>
      </c>
      <c r="C1068" s="22" t="s">
        <v>1768</v>
      </c>
      <c r="D1068" s="23" t="s">
        <v>1769</v>
      </c>
      <c r="E1068" s="24" t="s">
        <v>443</v>
      </c>
      <c r="F1068" s="28" t="n">
        <f>125</f>
        <v>125.0</v>
      </c>
      <c r="G1068" s="25" t="n">
        <f>14698</f>
        <v>14698.0</v>
      </c>
      <c r="H1068" s="25"/>
      <c r="I1068" s="25" t="n">
        <f>14698</f>
        <v>14698.0</v>
      </c>
      <c r="J1068" s="25" t="n">
        <f>118</f>
        <v>118.0</v>
      </c>
      <c r="K1068" s="25" t="n">
        <f>118</f>
        <v>118.0</v>
      </c>
      <c r="L1068" s="2" t="s">
        <v>1116</v>
      </c>
      <c r="M1068" s="26" t="n">
        <f>3144</f>
        <v>3144.0</v>
      </c>
      <c r="N1068" s="3" t="s">
        <v>215</v>
      </c>
      <c r="O1068" s="27" t="str">
        <f>"－"</f>
        <v>－</v>
      </c>
      <c r="P1068" s="29" t="s">
        <v>2079</v>
      </c>
      <c r="Q1068" s="25"/>
      <c r="R1068" s="29" t="s">
        <v>2079</v>
      </c>
      <c r="S1068" s="25" t="n">
        <f>33789888</f>
        <v>3.3789888E7</v>
      </c>
      <c r="T1068" s="25" t="n">
        <f>33789888</f>
        <v>3.3789888E7</v>
      </c>
      <c r="U1068" s="3" t="s">
        <v>976</v>
      </c>
      <c r="V1068" s="27" t="n">
        <f>1221969000</f>
        <v>1.221969E9</v>
      </c>
      <c r="W1068" s="3" t="s">
        <v>215</v>
      </c>
      <c r="X1068" s="27" t="str">
        <f>"－"</f>
        <v>－</v>
      </c>
      <c r="Y1068" s="27" t="n">
        <f>250</f>
        <v>250.0</v>
      </c>
      <c r="Z1068" s="25" t="n">
        <f>11884</f>
        <v>11884.0</v>
      </c>
      <c r="AA1068" s="25" t="n">
        <f>5267</f>
        <v>5267.0</v>
      </c>
      <c r="AB1068" s="2" t="s">
        <v>221</v>
      </c>
      <c r="AC1068" s="26" t="n">
        <f>9332</f>
        <v>9332.0</v>
      </c>
      <c r="AD1068" s="3" t="s">
        <v>975</v>
      </c>
      <c r="AE1068" s="27" t="n">
        <f>1370</f>
        <v>1370.0</v>
      </c>
    </row>
    <row r="1069">
      <c r="A1069" s="20" t="s">
        <v>1907</v>
      </c>
      <c r="B1069" s="21" t="s">
        <v>1908</v>
      </c>
      <c r="C1069" s="22" t="s">
        <v>1760</v>
      </c>
      <c r="D1069" s="23" t="s">
        <v>1761</v>
      </c>
      <c r="E1069" s="24" t="s">
        <v>447</v>
      </c>
      <c r="F1069" s="28" t="n">
        <f>120</f>
        <v>120.0</v>
      </c>
      <c r="G1069" s="25" t="n">
        <f>22738</f>
        <v>22738.0</v>
      </c>
      <c r="H1069" s="25"/>
      <c r="I1069" s="25" t="n">
        <f>22738</f>
        <v>22738.0</v>
      </c>
      <c r="J1069" s="25" t="n">
        <f>189</f>
        <v>189.0</v>
      </c>
      <c r="K1069" s="25" t="n">
        <f>189</f>
        <v>189.0</v>
      </c>
      <c r="L1069" s="2" t="s">
        <v>189</v>
      </c>
      <c r="M1069" s="26" t="n">
        <f>4070</f>
        <v>4070.0</v>
      </c>
      <c r="N1069" s="3" t="s">
        <v>565</v>
      </c>
      <c r="O1069" s="27" t="str">
        <f>"－"</f>
        <v>－</v>
      </c>
      <c r="P1069" s="29" t="s">
        <v>2080</v>
      </c>
      <c r="Q1069" s="25"/>
      <c r="R1069" s="29" t="s">
        <v>2080</v>
      </c>
      <c r="S1069" s="25" t="n">
        <f>36056483</f>
        <v>3.6056483E7</v>
      </c>
      <c r="T1069" s="25" t="n">
        <f>36056483</f>
        <v>3.6056483E7</v>
      </c>
      <c r="U1069" s="3" t="s">
        <v>233</v>
      </c>
      <c r="V1069" s="27" t="n">
        <f>444288000</f>
        <v>4.44288E8</v>
      </c>
      <c r="W1069" s="3" t="s">
        <v>565</v>
      </c>
      <c r="X1069" s="27" t="str">
        <f>"－"</f>
        <v>－</v>
      </c>
      <c r="Y1069" s="27" t="n">
        <f>2510</f>
        <v>2510.0</v>
      </c>
      <c r="Z1069" s="25" t="n">
        <f>6815</f>
        <v>6815.0</v>
      </c>
      <c r="AA1069" s="25" t="n">
        <f>4043</f>
        <v>4043.0</v>
      </c>
      <c r="AB1069" s="2" t="s">
        <v>855</v>
      </c>
      <c r="AC1069" s="26" t="n">
        <f>11760</f>
        <v>11760.0</v>
      </c>
      <c r="AD1069" s="3" t="s">
        <v>520</v>
      </c>
      <c r="AE1069" s="27" t="n">
        <f>511</f>
        <v>511.0</v>
      </c>
    </row>
    <row r="1070">
      <c r="A1070" s="20" t="s">
        <v>1907</v>
      </c>
      <c r="B1070" s="21" t="s">
        <v>1908</v>
      </c>
      <c r="C1070" s="22" t="s">
        <v>1764</v>
      </c>
      <c r="D1070" s="23" t="s">
        <v>1765</v>
      </c>
      <c r="E1070" s="24" t="s">
        <v>447</v>
      </c>
      <c r="F1070" s="28" t="n">
        <f>120</f>
        <v>120.0</v>
      </c>
      <c r="G1070" s="25" t="n">
        <f>173011</f>
        <v>173011.0</v>
      </c>
      <c r="H1070" s="25"/>
      <c r="I1070" s="25" t="n">
        <f>173011</f>
        <v>173011.0</v>
      </c>
      <c r="J1070" s="25" t="n">
        <f>1442</f>
        <v>1442.0</v>
      </c>
      <c r="K1070" s="25" t="n">
        <f>1442</f>
        <v>1442.0</v>
      </c>
      <c r="L1070" s="2" t="s">
        <v>1326</v>
      </c>
      <c r="M1070" s="26" t="n">
        <f>24888</f>
        <v>24888.0</v>
      </c>
      <c r="N1070" s="3" t="s">
        <v>565</v>
      </c>
      <c r="O1070" s="27" t="str">
        <f>"－"</f>
        <v>－</v>
      </c>
      <c r="P1070" s="29" t="s">
        <v>2081</v>
      </c>
      <c r="Q1070" s="25"/>
      <c r="R1070" s="29" t="s">
        <v>2081</v>
      </c>
      <c r="S1070" s="25" t="n">
        <f>562392800</f>
        <v>5.623928E8</v>
      </c>
      <c r="T1070" s="25" t="n">
        <f>562392800</f>
        <v>5.623928E8</v>
      </c>
      <c r="U1070" s="3" t="s">
        <v>1326</v>
      </c>
      <c r="V1070" s="27" t="n">
        <f>14225819000</f>
        <v>1.4225819E10</v>
      </c>
      <c r="W1070" s="3" t="s">
        <v>565</v>
      </c>
      <c r="X1070" s="27" t="str">
        <f>"－"</f>
        <v>－</v>
      </c>
      <c r="Y1070" s="27" t="n">
        <f>23017</f>
        <v>23017.0</v>
      </c>
      <c r="Z1070" s="25" t="n">
        <f>100101</f>
        <v>100101.0</v>
      </c>
      <c r="AA1070" s="25" t="n">
        <f>46690</f>
        <v>46690.0</v>
      </c>
      <c r="AB1070" s="2" t="s">
        <v>189</v>
      </c>
      <c r="AC1070" s="26" t="n">
        <f>72318</f>
        <v>72318.0</v>
      </c>
      <c r="AD1070" s="3" t="s">
        <v>508</v>
      </c>
      <c r="AE1070" s="27" t="n">
        <f>10969</f>
        <v>10969.0</v>
      </c>
    </row>
    <row r="1071">
      <c r="A1071" s="20" t="s">
        <v>1907</v>
      </c>
      <c r="B1071" s="21" t="s">
        <v>1908</v>
      </c>
      <c r="C1071" s="22" t="s">
        <v>1768</v>
      </c>
      <c r="D1071" s="23" t="s">
        <v>1769</v>
      </c>
      <c r="E1071" s="24" t="s">
        <v>447</v>
      </c>
      <c r="F1071" s="28" t="n">
        <f>120</f>
        <v>120.0</v>
      </c>
      <c r="G1071" s="25" t="n">
        <f>195749</f>
        <v>195749.0</v>
      </c>
      <c r="H1071" s="25"/>
      <c r="I1071" s="25" t="n">
        <f>195749</f>
        <v>195749.0</v>
      </c>
      <c r="J1071" s="25" t="n">
        <f>1631</f>
        <v>1631.0</v>
      </c>
      <c r="K1071" s="25" t="n">
        <f>1631</f>
        <v>1631.0</v>
      </c>
      <c r="L1071" s="2" t="s">
        <v>1326</v>
      </c>
      <c r="M1071" s="26" t="n">
        <f>24893</f>
        <v>24893.0</v>
      </c>
      <c r="N1071" s="3" t="s">
        <v>565</v>
      </c>
      <c r="O1071" s="27" t="str">
        <f>"－"</f>
        <v>－</v>
      </c>
      <c r="P1071" s="29" t="s">
        <v>2082</v>
      </c>
      <c r="Q1071" s="25"/>
      <c r="R1071" s="29" t="s">
        <v>2082</v>
      </c>
      <c r="S1071" s="25" t="n">
        <f>598449283</f>
        <v>5.98449283E8</v>
      </c>
      <c r="T1071" s="25" t="n">
        <f>598449283</f>
        <v>5.98449283E8</v>
      </c>
      <c r="U1071" s="3" t="s">
        <v>1326</v>
      </c>
      <c r="V1071" s="27" t="n">
        <f>14225824000</f>
        <v>1.4225824E10</v>
      </c>
      <c r="W1071" s="3" t="s">
        <v>565</v>
      </c>
      <c r="X1071" s="27" t="str">
        <f>"－"</f>
        <v>－</v>
      </c>
      <c r="Y1071" s="27" t="n">
        <f>25527</f>
        <v>25527.0</v>
      </c>
      <c r="Z1071" s="25" t="n">
        <f>106916</f>
        <v>106916.0</v>
      </c>
      <c r="AA1071" s="25" t="n">
        <f>50733</f>
        <v>50733.0</v>
      </c>
      <c r="AB1071" s="2" t="s">
        <v>98</v>
      </c>
      <c r="AC1071" s="26" t="n">
        <f>81917</f>
        <v>81917.0</v>
      </c>
      <c r="AD1071" s="3" t="s">
        <v>508</v>
      </c>
      <c r="AE1071" s="27" t="n">
        <f>11480</f>
        <v>11480.0</v>
      </c>
    </row>
    <row r="1072">
      <c r="A1072" s="20" t="s">
        <v>1907</v>
      </c>
      <c r="B1072" s="21" t="s">
        <v>1908</v>
      </c>
      <c r="C1072" s="22" t="s">
        <v>1760</v>
      </c>
      <c r="D1072" s="23" t="s">
        <v>1761</v>
      </c>
      <c r="E1072" s="24" t="s">
        <v>451</v>
      </c>
      <c r="F1072" s="28" t="n">
        <f>125</f>
        <v>125.0</v>
      </c>
      <c r="G1072" s="25" t="n">
        <f>54108</f>
        <v>54108.0</v>
      </c>
      <c r="H1072" s="25"/>
      <c r="I1072" s="25" t="n">
        <f>54108</f>
        <v>54108.0</v>
      </c>
      <c r="J1072" s="25" t="n">
        <f>433</f>
        <v>433.0</v>
      </c>
      <c r="K1072" s="25" t="n">
        <f>433</f>
        <v>433.0</v>
      </c>
      <c r="L1072" s="2" t="s">
        <v>81</v>
      </c>
      <c r="M1072" s="26" t="n">
        <f>4300</f>
        <v>4300.0</v>
      </c>
      <c r="N1072" s="3" t="s">
        <v>68</v>
      </c>
      <c r="O1072" s="27" t="str">
        <f>"－"</f>
        <v>－</v>
      </c>
      <c r="P1072" s="29" t="s">
        <v>2083</v>
      </c>
      <c r="Q1072" s="25"/>
      <c r="R1072" s="29" t="s">
        <v>2083</v>
      </c>
      <c r="S1072" s="25" t="n">
        <f>118510568</f>
        <v>1.18510568E8</v>
      </c>
      <c r="T1072" s="25" t="n">
        <f>118510568</f>
        <v>1.18510568E8</v>
      </c>
      <c r="U1072" s="3" t="s">
        <v>81</v>
      </c>
      <c r="V1072" s="27" t="n">
        <f>1031900000</f>
        <v>1.0319E9</v>
      </c>
      <c r="W1072" s="3" t="s">
        <v>68</v>
      </c>
      <c r="X1072" s="27" t="str">
        <f>"－"</f>
        <v>－</v>
      </c>
      <c r="Y1072" s="27" t="n">
        <f>18738</f>
        <v>18738.0</v>
      </c>
      <c r="Z1072" s="25" t="n">
        <f>9730</f>
        <v>9730.0</v>
      </c>
      <c r="AA1072" s="25" t="n">
        <f>18562</f>
        <v>18562.0</v>
      </c>
      <c r="AB1072" s="2" t="s">
        <v>53</v>
      </c>
      <c r="AC1072" s="26" t="n">
        <f>27302</f>
        <v>27302.0</v>
      </c>
      <c r="AD1072" s="3" t="s">
        <v>362</v>
      </c>
      <c r="AE1072" s="27" t="n">
        <f>2747</f>
        <v>2747.0</v>
      </c>
    </row>
    <row r="1073">
      <c r="A1073" s="20" t="s">
        <v>1907</v>
      </c>
      <c r="B1073" s="21" t="s">
        <v>1908</v>
      </c>
      <c r="C1073" s="22" t="s">
        <v>1764</v>
      </c>
      <c r="D1073" s="23" t="s">
        <v>1765</v>
      </c>
      <c r="E1073" s="24" t="s">
        <v>451</v>
      </c>
      <c r="F1073" s="28" t="n">
        <f>125</f>
        <v>125.0</v>
      </c>
      <c r="G1073" s="25" t="n">
        <f>136374</f>
        <v>136374.0</v>
      </c>
      <c r="H1073" s="25"/>
      <c r="I1073" s="25" t="n">
        <f>136374</f>
        <v>136374.0</v>
      </c>
      <c r="J1073" s="25" t="n">
        <f>1091</f>
        <v>1091.0</v>
      </c>
      <c r="K1073" s="25" t="n">
        <f>1091</f>
        <v>1091.0</v>
      </c>
      <c r="L1073" s="2" t="s">
        <v>1100</v>
      </c>
      <c r="M1073" s="26" t="n">
        <f>13000</f>
        <v>13000.0</v>
      </c>
      <c r="N1073" s="3" t="s">
        <v>879</v>
      </c>
      <c r="O1073" s="27" t="str">
        <f>"－"</f>
        <v>－</v>
      </c>
      <c r="P1073" s="29" t="s">
        <v>2084</v>
      </c>
      <c r="Q1073" s="25"/>
      <c r="R1073" s="29" t="s">
        <v>2084</v>
      </c>
      <c r="S1073" s="25" t="n">
        <f>218630360</f>
        <v>2.1863036E8</v>
      </c>
      <c r="T1073" s="25" t="n">
        <f>218630360</f>
        <v>2.1863036E8</v>
      </c>
      <c r="U1073" s="3" t="s">
        <v>224</v>
      </c>
      <c r="V1073" s="27" t="n">
        <f>4309667000</f>
        <v>4.309667E9</v>
      </c>
      <c r="W1073" s="3" t="s">
        <v>879</v>
      </c>
      <c r="X1073" s="27" t="str">
        <f>"－"</f>
        <v>－</v>
      </c>
      <c r="Y1073" s="27" t="n">
        <f>25929</f>
        <v>25929.0</v>
      </c>
      <c r="Z1073" s="25" t="n">
        <f>12951</f>
        <v>12951.0</v>
      </c>
      <c r="AA1073" s="25" t="n">
        <f>21844</f>
        <v>21844.0</v>
      </c>
      <c r="AB1073" s="2" t="s">
        <v>872</v>
      </c>
      <c r="AC1073" s="26" t="n">
        <f>72524</f>
        <v>72524.0</v>
      </c>
      <c r="AD1073" s="3" t="s">
        <v>118</v>
      </c>
      <c r="AE1073" s="27" t="n">
        <f>18332</f>
        <v>18332.0</v>
      </c>
    </row>
    <row r="1074">
      <c r="A1074" s="20" t="s">
        <v>1907</v>
      </c>
      <c r="B1074" s="21" t="s">
        <v>1908</v>
      </c>
      <c r="C1074" s="22" t="s">
        <v>1768</v>
      </c>
      <c r="D1074" s="23" t="s">
        <v>1769</v>
      </c>
      <c r="E1074" s="24" t="s">
        <v>451</v>
      </c>
      <c r="F1074" s="28" t="n">
        <f>125</f>
        <v>125.0</v>
      </c>
      <c r="G1074" s="25" t="n">
        <f>190482</f>
        <v>190482.0</v>
      </c>
      <c r="H1074" s="25"/>
      <c r="I1074" s="25" t="n">
        <f>190482</f>
        <v>190482.0</v>
      </c>
      <c r="J1074" s="25" t="n">
        <f>1524</f>
        <v>1524.0</v>
      </c>
      <c r="K1074" s="25" t="n">
        <f>1524</f>
        <v>1524.0</v>
      </c>
      <c r="L1074" s="2" t="s">
        <v>1100</v>
      </c>
      <c r="M1074" s="26" t="n">
        <f>13000</f>
        <v>13000.0</v>
      </c>
      <c r="N1074" s="3" t="s">
        <v>879</v>
      </c>
      <c r="O1074" s="27" t="str">
        <f>"－"</f>
        <v>－</v>
      </c>
      <c r="P1074" s="29" t="s">
        <v>2085</v>
      </c>
      <c r="Q1074" s="25"/>
      <c r="R1074" s="29" t="s">
        <v>2085</v>
      </c>
      <c r="S1074" s="25" t="n">
        <f>337140928</f>
        <v>3.37140928E8</v>
      </c>
      <c r="T1074" s="25" t="n">
        <f>337140928</f>
        <v>3.37140928E8</v>
      </c>
      <c r="U1074" s="3" t="s">
        <v>224</v>
      </c>
      <c r="V1074" s="27" t="n">
        <f>4529281000</f>
        <v>4.529281E9</v>
      </c>
      <c r="W1074" s="3" t="s">
        <v>879</v>
      </c>
      <c r="X1074" s="27" t="str">
        <f>"－"</f>
        <v>－</v>
      </c>
      <c r="Y1074" s="27" t="n">
        <f>44667</f>
        <v>44667.0</v>
      </c>
      <c r="Z1074" s="25" t="n">
        <f>22681</f>
        <v>22681.0</v>
      </c>
      <c r="AA1074" s="25" t="n">
        <f>40406</f>
        <v>40406.0</v>
      </c>
      <c r="AB1074" s="2" t="s">
        <v>872</v>
      </c>
      <c r="AC1074" s="26" t="n">
        <f>85326</f>
        <v>85326.0</v>
      </c>
      <c r="AD1074" s="3" t="s">
        <v>1185</v>
      </c>
      <c r="AE1074" s="27" t="n">
        <f>27838</f>
        <v>27838.0</v>
      </c>
    </row>
    <row r="1075">
      <c r="A1075" s="20" t="s">
        <v>1907</v>
      </c>
      <c r="B1075" s="21" t="s">
        <v>1908</v>
      </c>
      <c r="C1075" s="22" t="s">
        <v>1760</v>
      </c>
      <c r="D1075" s="23" t="s">
        <v>1761</v>
      </c>
      <c r="E1075" s="24" t="s">
        <v>454</v>
      </c>
      <c r="F1075" s="28" t="n">
        <f>120</f>
        <v>120.0</v>
      </c>
      <c r="G1075" s="25" t="n">
        <f>32643</f>
        <v>32643.0</v>
      </c>
      <c r="H1075" s="25"/>
      <c r="I1075" s="25" t="n">
        <f>32643</f>
        <v>32643.0</v>
      </c>
      <c r="J1075" s="25" t="n">
        <f>272</f>
        <v>272.0</v>
      </c>
      <c r="K1075" s="25" t="n">
        <f>272</f>
        <v>272.0</v>
      </c>
      <c r="L1075" s="2" t="s">
        <v>171</v>
      </c>
      <c r="M1075" s="26" t="n">
        <f>2900</f>
        <v>2900.0</v>
      </c>
      <c r="N1075" s="3" t="s">
        <v>565</v>
      </c>
      <c r="O1075" s="27" t="str">
        <f>"－"</f>
        <v>－</v>
      </c>
      <c r="P1075" s="29" t="s">
        <v>2086</v>
      </c>
      <c r="Q1075" s="25"/>
      <c r="R1075" s="29" t="s">
        <v>2086</v>
      </c>
      <c r="S1075" s="25" t="n">
        <f>91611717</f>
        <v>9.1611717E7</v>
      </c>
      <c r="T1075" s="25" t="n">
        <f>91611717</f>
        <v>9.1611717E7</v>
      </c>
      <c r="U1075" s="3" t="s">
        <v>358</v>
      </c>
      <c r="V1075" s="27" t="n">
        <f>1074000000</f>
        <v>1.074E9</v>
      </c>
      <c r="W1075" s="3" t="s">
        <v>565</v>
      </c>
      <c r="X1075" s="27" t="str">
        <f>"－"</f>
        <v>－</v>
      </c>
      <c r="Y1075" s="27" t="n">
        <f>12208</f>
        <v>12208.0</v>
      </c>
      <c r="Z1075" s="25" t="n">
        <f>8600</f>
        <v>8600.0</v>
      </c>
      <c r="AA1075" s="25" t="n">
        <f>20367</f>
        <v>20367.0</v>
      </c>
      <c r="AB1075" s="2" t="s">
        <v>189</v>
      </c>
      <c r="AC1075" s="26" t="n">
        <f>25772</f>
        <v>25772.0</v>
      </c>
      <c r="AD1075" s="3" t="s">
        <v>328</v>
      </c>
      <c r="AE1075" s="27" t="n">
        <f>18602</f>
        <v>18602.0</v>
      </c>
    </row>
    <row r="1076">
      <c r="A1076" s="20" t="s">
        <v>1907</v>
      </c>
      <c r="B1076" s="21" t="s">
        <v>1908</v>
      </c>
      <c r="C1076" s="22" t="s">
        <v>1764</v>
      </c>
      <c r="D1076" s="23" t="s">
        <v>1765</v>
      </c>
      <c r="E1076" s="24" t="s">
        <v>454</v>
      </c>
      <c r="F1076" s="28" t="n">
        <f>120</f>
        <v>120.0</v>
      </c>
      <c r="G1076" s="25" t="n">
        <f>76097</f>
        <v>76097.0</v>
      </c>
      <c r="H1076" s="25"/>
      <c r="I1076" s="25" t="n">
        <f>76097</f>
        <v>76097.0</v>
      </c>
      <c r="J1076" s="25" t="n">
        <f>634</f>
        <v>634.0</v>
      </c>
      <c r="K1076" s="25" t="n">
        <f>634</f>
        <v>634.0</v>
      </c>
      <c r="L1076" s="2" t="s">
        <v>273</v>
      </c>
      <c r="M1076" s="26" t="n">
        <f>5126</f>
        <v>5126.0</v>
      </c>
      <c r="N1076" s="3" t="s">
        <v>328</v>
      </c>
      <c r="O1076" s="27" t="str">
        <f>"－"</f>
        <v>－</v>
      </c>
      <c r="P1076" s="29" t="s">
        <v>2087</v>
      </c>
      <c r="Q1076" s="25"/>
      <c r="R1076" s="29" t="s">
        <v>2087</v>
      </c>
      <c r="S1076" s="25" t="n">
        <f>153180258</f>
        <v>1.53180258E8</v>
      </c>
      <c r="T1076" s="25" t="n">
        <f>153180258</f>
        <v>1.53180258E8</v>
      </c>
      <c r="U1076" s="3" t="s">
        <v>168</v>
      </c>
      <c r="V1076" s="27" t="n">
        <f>1476712000</f>
        <v>1.476712E9</v>
      </c>
      <c r="W1076" s="3" t="s">
        <v>328</v>
      </c>
      <c r="X1076" s="27" t="str">
        <f>"－"</f>
        <v>－</v>
      </c>
      <c r="Y1076" s="27" t="n">
        <f>5865</f>
        <v>5865.0</v>
      </c>
      <c r="Z1076" s="25" t="n">
        <f>19001</f>
        <v>19001.0</v>
      </c>
      <c r="AA1076" s="25" t="n">
        <f>25461</f>
        <v>25461.0</v>
      </c>
      <c r="AB1076" s="2" t="s">
        <v>60</v>
      </c>
      <c r="AC1076" s="26" t="n">
        <f>35234</f>
        <v>35234.0</v>
      </c>
      <c r="AD1076" s="3" t="s">
        <v>61</v>
      </c>
      <c r="AE1076" s="27" t="n">
        <f>17172</f>
        <v>17172.0</v>
      </c>
    </row>
    <row r="1077">
      <c r="A1077" s="20" t="s">
        <v>1907</v>
      </c>
      <c r="B1077" s="21" t="s">
        <v>1908</v>
      </c>
      <c r="C1077" s="22" t="s">
        <v>1768</v>
      </c>
      <c r="D1077" s="23" t="s">
        <v>1769</v>
      </c>
      <c r="E1077" s="24" t="s">
        <v>454</v>
      </c>
      <c r="F1077" s="28" t="n">
        <f>120</f>
        <v>120.0</v>
      </c>
      <c r="G1077" s="25" t="n">
        <f>108740</f>
        <v>108740.0</v>
      </c>
      <c r="H1077" s="25"/>
      <c r="I1077" s="25" t="n">
        <f>108740</f>
        <v>108740.0</v>
      </c>
      <c r="J1077" s="25" t="n">
        <f>906</f>
        <v>906.0</v>
      </c>
      <c r="K1077" s="25" t="n">
        <f>906</f>
        <v>906.0</v>
      </c>
      <c r="L1077" s="2" t="s">
        <v>171</v>
      </c>
      <c r="M1077" s="26" t="n">
        <f>6860</f>
        <v>6860.0</v>
      </c>
      <c r="N1077" s="3" t="s">
        <v>1032</v>
      </c>
      <c r="O1077" s="27" t="str">
        <f>"－"</f>
        <v>－</v>
      </c>
      <c r="P1077" s="29" t="s">
        <v>2088</v>
      </c>
      <c r="Q1077" s="25"/>
      <c r="R1077" s="29" t="s">
        <v>2088</v>
      </c>
      <c r="S1077" s="25" t="n">
        <f>244791975</f>
        <v>2.44791975E8</v>
      </c>
      <c r="T1077" s="25" t="n">
        <f>244791975</f>
        <v>2.44791975E8</v>
      </c>
      <c r="U1077" s="3" t="s">
        <v>358</v>
      </c>
      <c r="V1077" s="27" t="n">
        <f>2064000000</f>
        <v>2.064E9</v>
      </c>
      <c r="W1077" s="3" t="s">
        <v>1032</v>
      </c>
      <c r="X1077" s="27" t="str">
        <f>"－"</f>
        <v>－</v>
      </c>
      <c r="Y1077" s="27" t="n">
        <f>18073</f>
        <v>18073.0</v>
      </c>
      <c r="Z1077" s="25" t="n">
        <f>27601</f>
        <v>27601.0</v>
      </c>
      <c r="AA1077" s="25" t="n">
        <f>45828</f>
        <v>45828.0</v>
      </c>
      <c r="AB1077" s="2" t="s">
        <v>60</v>
      </c>
      <c r="AC1077" s="26" t="n">
        <f>59902</f>
        <v>59902.0</v>
      </c>
      <c r="AD1077" s="3" t="s">
        <v>61</v>
      </c>
      <c r="AE1077" s="27" t="n">
        <f>36525</f>
        <v>36525.0</v>
      </c>
    </row>
    <row r="1078">
      <c r="A1078" s="20" t="s">
        <v>1907</v>
      </c>
      <c r="B1078" s="21" t="s">
        <v>1908</v>
      </c>
      <c r="C1078" s="22" t="s">
        <v>1760</v>
      </c>
      <c r="D1078" s="23" t="s">
        <v>1761</v>
      </c>
      <c r="E1078" s="24" t="s">
        <v>48</v>
      </c>
      <c r="F1078" s="28" t="n">
        <f>124</f>
        <v>124.0</v>
      </c>
      <c r="G1078" s="25" t="n">
        <f>84676</f>
        <v>84676.0</v>
      </c>
      <c r="H1078" s="25"/>
      <c r="I1078" s="25" t="n">
        <f>84456</f>
        <v>84456.0</v>
      </c>
      <c r="J1078" s="25" t="n">
        <f>683</f>
        <v>683.0</v>
      </c>
      <c r="K1078" s="25" t="n">
        <f>681</f>
        <v>681.0</v>
      </c>
      <c r="L1078" s="2" t="s">
        <v>1166</v>
      </c>
      <c r="M1078" s="26" t="n">
        <f>10892</f>
        <v>10892.0</v>
      </c>
      <c r="N1078" s="3" t="s">
        <v>854</v>
      </c>
      <c r="O1078" s="27" t="str">
        <f>"－"</f>
        <v>－</v>
      </c>
      <c r="P1078" s="29" t="s">
        <v>2089</v>
      </c>
      <c r="Q1078" s="25"/>
      <c r="R1078" s="29" t="s">
        <v>2090</v>
      </c>
      <c r="S1078" s="25" t="n">
        <f>125906621</f>
        <v>1.25906621E8</v>
      </c>
      <c r="T1078" s="25" t="n">
        <f>125797766</f>
        <v>1.25797766E8</v>
      </c>
      <c r="U1078" s="3" t="s">
        <v>95</v>
      </c>
      <c r="V1078" s="27" t="n">
        <f>2048512000</f>
        <v>2.048512E9</v>
      </c>
      <c r="W1078" s="3" t="s">
        <v>854</v>
      </c>
      <c r="X1078" s="27" t="str">
        <f>"－"</f>
        <v>－</v>
      </c>
      <c r="Y1078" s="27" t="n">
        <f>12686</f>
        <v>12686.0</v>
      </c>
      <c r="Z1078" s="25" t="n">
        <f>11317</f>
        <v>11317.0</v>
      </c>
      <c r="AA1078" s="25" t="n">
        <f>17981</f>
        <v>17981.0</v>
      </c>
      <c r="AB1078" s="2" t="s">
        <v>1142</v>
      </c>
      <c r="AC1078" s="26" t="n">
        <f>41179</f>
        <v>41179.0</v>
      </c>
      <c r="AD1078" s="3" t="s">
        <v>54</v>
      </c>
      <c r="AE1078" s="27" t="n">
        <f>17499</f>
        <v>17499.0</v>
      </c>
    </row>
    <row r="1079">
      <c r="A1079" s="20" t="s">
        <v>1907</v>
      </c>
      <c r="B1079" s="21" t="s">
        <v>1908</v>
      </c>
      <c r="C1079" s="22" t="s">
        <v>1764</v>
      </c>
      <c r="D1079" s="23" t="s">
        <v>1765</v>
      </c>
      <c r="E1079" s="24" t="s">
        <v>48</v>
      </c>
      <c r="F1079" s="28" t="n">
        <f>124</f>
        <v>124.0</v>
      </c>
      <c r="G1079" s="25" t="n">
        <f>126897</f>
        <v>126897.0</v>
      </c>
      <c r="H1079" s="25"/>
      <c r="I1079" s="25" t="n">
        <f>126881</f>
        <v>126881.0</v>
      </c>
      <c r="J1079" s="25" t="n">
        <f>1023</f>
        <v>1023.0</v>
      </c>
      <c r="K1079" s="25" t="n">
        <f>1023</f>
        <v>1023.0</v>
      </c>
      <c r="L1079" s="2" t="s">
        <v>1166</v>
      </c>
      <c r="M1079" s="26" t="n">
        <f>10892</f>
        <v>10892.0</v>
      </c>
      <c r="N1079" s="3" t="s">
        <v>1445</v>
      </c>
      <c r="O1079" s="27" t="str">
        <f>"－"</f>
        <v>－</v>
      </c>
      <c r="P1079" s="29" t="s">
        <v>2091</v>
      </c>
      <c r="Q1079" s="25"/>
      <c r="R1079" s="29" t="s">
        <v>2092</v>
      </c>
      <c r="S1079" s="25" t="n">
        <f>175259718</f>
        <v>1.75259718E8</v>
      </c>
      <c r="T1079" s="25" t="n">
        <f>175238411</f>
        <v>1.75238411E8</v>
      </c>
      <c r="U1079" s="3" t="s">
        <v>95</v>
      </c>
      <c r="V1079" s="27" t="n">
        <f>2151490000</f>
        <v>2.15149E9</v>
      </c>
      <c r="W1079" s="3" t="s">
        <v>1445</v>
      </c>
      <c r="X1079" s="27" t="str">
        <f>"－"</f>
        <v>－</v>
      </c>
      <c r="Y1079" s="27" t="n">
        <f>38503</f>
        <v>38503.0</v>
      </c>
      <c r="Z1079" s="25" t="n">
        <f>28290</f>
        <v>28290.0</v>
      </c>
      <c r="AA1079" s="25" t="n">
        <f>29824</f>
        <v>29824.0</v>
      </c>
      <c r="AB1079" s="2" t="s">
        <v>1142</v>
      </c>
      <c r="AC1079" s="26" t="n">
        <f>56053</f>
        <v>56053.0</v>
      </c>
      <c r="AD1079" s="3" t="s">
        <v>891</v>
      </c>
      <c r="AE1079" s="27" t="n">
        <f>21101</f>
        <v>21101.0</v>
      </c>
    </row>
    <row r="1080">
      <c r="A1080" s="20" t="s">
        <v>1907</v>
      </c>
      <c r="B1080" s="21" t="s">
        <v>1908</v>
      </c>
      <c r="C1080" s="22" t="s">
        <v>1768</v>
      </c>
      <c r="D1080" s="23" t="s">
        <v>1769</v>
      </c>
      <c r="E1080" s="24" t="s">
        <v>48</v>
      </c>
      <c r="F1080" s="28" t="n">
        <f>124</f>
        <v>124.0</v>
      </c>
      <c r="G1080" s="25" t="n">
        <f>211573</f>
        <v>211573.0</v>
      </c>
      <c r="H1080" s="25"/>
      <c r="I1080" s="25" t="n">
        <f>211337</f>
        <v>211337.0</v>
      </c>
      <c r="J1080" s="25" t="n">
        <f>1706</f>
        <v>1706.0</v>
      </c>
      <c r="K1080" s="25" t="n">
        <f>1704</f>
        <v>1704.0</v>
      </c>
      <c r="L1080" s="2" t="s">
        <v>1166</v>
      </c>
      <c r="M1080" s="26" t="n">
        <f>21784</f>
        <v>21784.0</v>
      </c>
      <c r="N1080" s="3" t="s">
        <v>1445</v>
      </c>
      <c r="O1080" s="27" t="str">
        <f>"－"</f>
        <v>－</v>
      </c>
      <c r="P1080" s="29" t="s">
        <v>2093</v>
      </c>
      <c r="Q1080" s="25"/>
      <c r="R1080" s="29" t="s">
        <v>2094</v>
      </c>
      <c r="S1080" s="25" t="n">
        <f>301166339</f>
        <v>3.01166339E8</v>
      </c>
      <c r="T1080" s="25" t="n">
        <f>301036177</f>
        <v>3.01036177E8</v>
      </c>
      <c r="U1080" s="3" t="s">
        <v>95</v>
      </c>
      <c r="V1080" s="27" t="n">
        <f>4200002000</f>
        <v>4.200002E9</v>
      </c>
      <c r="W1080" s="3" t="s">
        <v>1445</v>
      </c>
      <c r="X1080" s="27" t="str">
        <f>"－"</f>
        <v>－</v>
      </c>
      <c r="Y1080" s="27" t="n">
        <f>51189</f>
        <v>51189.0</v>
      </c>
      <c r="Z1080" s="25" t="n">
        <f>39607</f>
        <v>39607.0</v>
      </c>
      <c r="AA1080" s="25" t="n">
        <f>47805</f>
        <v>47805.0</v>
      </c>
      <c r="AB1080" s="2" t="s">
        <v>1142</v>
      </c>
      <c r="AC1080" s="26" t="n">
        <f>97232</f>
        <v>97232.0</v>
      </c>
      <c r="AD1080" s="3" t="s">
        <v>891</v>
      </c>
      <c r="AE1080" s="27" t="n">
        <f>40523</f>
        <v>40523.0</v>
      </c>
    </row>
    <row r="1081">
      <c r="A1081" s="20" t="s">
        <v>1907</v>
      </c>
      <c r="B1081" s="21" t="s">
        <v>1908</v>
      </c>
      <c r="C1081" s="22" t="s">
        <v>1760</v>
      </c>
      <c r="D1081" s="23" t="s">
        <v>1761</v>
      </c>
      <c r="E1081" s="24" t="s">
        <v>55</v>
      </c>
      <c r="F1081" s="28" t="n">
        <f>121</f>
        <v>121.0</v>
      </c>
      <c r="G1081" s="25" t="n">
        <f>93371</f>
        <v>93371.0</v>
      </c>
      <c r="H1081" s="25"/>
      <c r="I1081" s="25" t="n">
        <f>93351</f>
        <v>93351.0</v>
      </c>
      <c r="J1081" s="25" t="n">
        <f>772</f>
        <v>772.0</v>
      </c>
      <c r="K1081" s="25" t="n">
        <f>771</f>
        <v>771.0</v>
      </c>
      <c r="L1081" s="2" t="s">
        <v>180</v>
      </c>
      <c r="M1081" s="26" t="n">
        <f>9617</f>
        <v>9617.0</v>
      </c>
      <c r="N1081" s="3" t="s">
        <v>171</v>
      </c>
      <c r="O1081" s="27" t="str">
        <f>"－"</f>
        <v>－</v>
      </c>
      <c r="P1081" s="29" t="s">
        <v>2095</v>
      </c>
      <c r="Q1081" s="25"/>
      <c r="R1081" s="29" t="s">
        <v>2096</v>
      </c>
      <c r="S1081" s="25" t="n">
        <f>161237793</f>
        <v>1.61237793E8</v>
      </c>
      <c r="T1081" s="25" t="n">
        <f>161218620</f>
        <v>1.6121862E8</v>
      </c>
      <c r="U1081" s="3" t="s">
        <v>85</v>
      </c>
      <c r="V1081" s="27" t="n">
        <f>1564114000</f>
        <v>1.564114E9</v>
      </c>
      <c r="W1081" s="3" t="s">
        <v>171</v>
      </c>
      <c r="X1081" s="27" t="str">
        <f>"－"</f>
        <v>－</v>
      </c>
      <c r="Y1081" s="27" t="n">
        <f>24927</f>
        <v>24927.0</v>
      </c>
      <c r="Z1081" s="25" t="n">
        <f>6045</f>
        <v>6045.0</v>
      </c>
      <c r="AA1081" s="25" t="n">
        <f>19032</f>
        <v>19032.0</v>
      </c>
      <c r="AB1081" s="2" t="s">
        <v>1326</v>
      </c>
      <c r="AC1081" s="26" t="n">
        <f>32563</f>
        <v>32563.0</v>
      </c>
      <c r="AD1081" s="3" t="s">
        <v>188</v>
      </c>
      <c r="AE1081" s="27" t="n">
        <f>9758</f>
        <v>9758.0</v>
      </c>
    </row>
    <row r="1082">
      <c r="A1082" s="20" t="s">
        <v>1907</v>
      </c>
      <c r="B1082" s="21" t="s">
        <v>1908</v>
      </c>
      <c r="C1082" s="22" t="s">
        <v>1764</v>
      </c>
      <c r="D1082" s="23" t="s">
        <v>1765</v>
      </c>
      <c r="E1082" s="24" t="s">
        <v>55</v>
      </c>
      <c r="F1082" s="28" t="n">
        <f>121</f>
        <v>121.0</v>
      </c>
      <c r="G1082" s="25" t="n">
        <f>162857</f>
        <v>162857.0</v>
      </c>
      <c r="H1082" s="25"/>
      <c r="I1082" s="25" t="n">
        <f>162811</f>
        <v>162811.0</v>
      </c>
      <c r="J1082" s="25" t="n">
        <f>1346</f>
        <v>1346.0</v>
      </c>
      <c r="K1082" s="25" t="n">
        <f>1346</f>
        <v>1346.0</v>
      </c>
      <c r="L1082" s="2" t="s">
        <v>180</v>
      </c>
      <c r="M1082" s="26" t="n">
        <f>9817</f>
        <v>9817.0</v>
      </c>
      <c r="N1082" s="3" t="s">
        <v>328</v>
      </c>
      <c r="O1082" s="27" t="str">
        <f>"－"</f>
        <v>－</v>
      </c>
      <c r="P1082" s="29" t="s">
        <v>2097</v>
      </c>
      <c r="Q1082" s="25"/>
      <c r="R1082" s="29" t="s">
        <v>2098</v>
      </c>
      <c r="S1082" s="25" t="n">
        <f>290610479</f>
        <v>2.90610479E8</v>
      </c>
      <c r="T1082" s="25" t="n">
        <f>290566339</f>
        <v>2.90566339E8</v>
      </c>
      <c r="U1082" s="3" t="s">
        <v>765</v>
      </c>
      <c r="V1082" s="27" t="n">
        <f>3350184000</f>
        <v>3.350184E9</v>
      </c>
      <c r="W1082" s="3" t="s">
        <v>328</v>
      </c>
      <c r="X1082" s="27" t="str">
        <f>"－"</f>
        <v>－</v>
      </c>
      <c r="Y1082" s="27" t="n">
        <f>48436</f>
        <v>48436.0</v>
      </c>
      <c r="Z1082" s="25" t="n">
        <f>40355</f>
        <v>40355.0</v>
      </c>
      <c r="AA1082" s="25" t="n">
        <f>29642</f>
        <v>29642.0</v>
      </c>
      <c r="AB1082" s="2" t="s">
        <v>1326</v>
      </c>
      <c r="AC1082" s="26" t="n">
        <f>48540</f>
        <v>48540.0</v>
      </c>
      <c r="AD1082" s="3" t="s">
        <v>188</v>
      </c>
      <c r="AE1082" s="27" t="n">
        <f>16089</f>
        <v>16089.0</v>
      </c>
    </row>
    <row r="1083">
      <c r="A1083" s="20" t="s">
        <v>1907</v>
      </c>
      <c r="B1083" s="21" t="s">
        <v>1908</v>
      </c>
      <c r="C1083" s="22" t="s">
        <v>1768</v>
      </c>
      <c r="D1083" s="23" t="s">
        <v>1769</v>
      </c>
      <c r="E1083" s="24" t="s">
        <v>55</v>
      </c>
      <c r="F1083" s="28" t="n">
        <f>121</f>
        <v>121.0</v>
      </c>
      <c r="G1083" s="25" t="n">
        <f>256228</f>
        <v>256228.0</v>
      </c>
      <c r="H1083" s="25"/>
      <c r="I1083" s="25" t="n">
        <f>256162</f>
        <v>256162.0</v>
      </c>
      <c r="J1083" s="25" t="n">
        <f>2118</f>
        <v>2118.0</v>
      </c>
      <c r="K1083" s="25" t="n">
        <f>2117</f>
        <v>2117.0</v>
      </c>
      <c r="L1083" s="2" t="s">
        <v>180</v>
      </c>
      <c r="M1083" s="26" t="n">
        <f>19434</f>
        <v>19434.0</v>
      </c>
      <c r="N1083" s="3" t="s">
        <v>171</v>
      </c>
      <c r="O1083" s="27" t="str">
        <f>"－"</f>
        <v>－</v>
      </c>
      <c r="P1083" s="29" t="s">
        <v>2099</v>
      </c>
      <c r="Q1083" s="25"/>
      <c r="R1083" s="29" t="s">
        <v>2100</v>
      </c>
      <c r="S1083" s="25" t="n">
        <f>451848273</f>
        <v>4.51848273E8</v>
      </c>
      <c r="T1083" s="25" t="n">
        <f>451784959</f>
        <v>4.51784959E8</v>
      </c>
      <c r="U1083" s="3" t="s">
        <v>765</v>
      </c>
      <c r="V1083" s="27" t="n">
        <f>3437684000</f>
        <v>3.437684E9</v>
      </c>
      <c r="W1083" s="3" t="s">
        <v>171</v>
      </c>
      <c r="X1083" s="27" t="str">
        <f>"－"</f>
        <v>－</v>
      </c>
      <c r="Y1083" s="27" t="n">
        <f>73363</f>
        <v>73363.0</v>
      </c>
      <c r="Z1083" s="25" t="n">
        <f>46400</f>
        <v>46400.0</v>
      </c>
      <c r="AA1083" s="25" t="n">
        <f>48674</f>
        <v>48674.0</v>
      </c>
      <c r="AB1083" s="2" t="s">
        <v>1326</v>
      </c>
      <c r="AC1083" s="26" t="n">
        <f>81103</f>
        <v>81103.0</v>
      </c>
      <c r="AD1083" s="3" t="s">
        <v>188</v>
      </c>
      <c r="AE1083" s="27" t="n">
        <f>25847</f>
        <v>25847.0</v>
      </c>
    </row>
    <row r="1084">
      <c r="A1084" s="20" t="s">
        <v>1907</v>
      </c>
      <c r="B1084" s="21" t="s">
        <v>1908</v>
      </c>
      <c r="C1084" s="22" t="s">
        <v>1760</v>
      </c>
      <c r="D1084" s="23" t="s">
        <v>1761</v>
      </c>
      <c r="E1084" s="24" t="s">
        <v>62</v>
      </c>
      <c r="F1084" s="28" t="n">
        <f>123</f>
        <v>123.0</v>
      </c>
      <c r="G1084" s="25" t="n">
        <f>25381</f>
        <v>25381.0</v>
      </c>
      <c r="H1084" s="25"/>
      <c r="I1084" s="25" t="n">
        <f>25381</f>
        <v>25381.0</v>
      </c>
      <c r="J1084" s="25" t="n">
        <f>206</f>
        <v>206.0</v>
      </c>
      <c r="K1084" s="25" t="n">
        <f>206</f>
        <v>206.0</v>
      </c>
      <c r="L1084" s="2" t="s">
        <v>444</v>
      </c>
      <c r="M1084" s="26" t="n">
        <f>2780</f>
        <v>2780.0</v>
      </c>
      <c r="N1084" s="3" t="s">
        <v>68</v>
      </c>
      <c r="O1084" s="27" t="str">
        <f>"－"</f>
        <v>－</v>
      </c>
      <c r="P1084" s="29" t="s">
        <v>2101</v>
      </c>
      <c r="Q1084" s="25"/>
      <c r="R1084" s="29" t="s">
        <v>2101</v>
      </c>
      <c r="S1084" s="25" t="n">
        <f>40911797</f>
        <v>4.0911797E7</v>
      </c>
      <c r="T1084" s="25" t="n">
        <f>40911797</f>
        <v>4.0911797E7</v>
      </c>
      <c r="U1084" s="3" t="s">
        <v>444</v>
      </c>
      <c r="V1084" s="27" t="n">
        <f>645933000</f>
        <v>6.45933E8</v>
      </c>
      <c r="W1084" s="3" t="s">
        <v>68</v>
      </c>
      <c r="X1084" s="27" t="str">
        <f>"－"</f>
        <v>－</v>
      </c>
      <c r="Y1084" s="27" t="n">
        <f>9743</f>
        <v>9743.0</v>
      </c>
      <c r="Z1084" s="25" t="n">
        <f>3379</f>
        <v>3379.0</v>
      </c>
      <c r="AA1084" s="25" t="n">
        <f>10596</f>
        <v>10596.0</v>
      </c>
      <c r="AB1084" s="2" t="s">
        <v>854</v>
      </c>
      <c r="AC1084" s="26" t="n">
        <f>22062</f>
        <v>22062.0</v>
      </c>
      <c r="AD1084" s="3" t="s">
        <v>67</v>
      </c>
      <c r="AE1084" s="27" t="n">
        <f>10524</f>
        <v>10524.0</v>
      </c>
    </row>
    <row r="1085">
      <c r="A1085" s="20" t="s">
        <v>1907</v>
      </c>
      <c r="B1085" s="21" t="s">
        <v>1908</v>
      </c>
      <c r="C1085" s="22" t="s">
        <v>1764</v>
      </c>
      <c r="D1085" s="23" t="s">
        <v>1765</v>
      </c>
      <c r="E1085" s="24" t="s">
        <v>62</v>
      </c>
      <c r="F1085" s="28" t="n">
        <f>123</f>
        <v>123.0</v>
      </c>
      <c r="G1085" s="25" t="n">
        <f>47920</f>
        <v>47920.0</v>
      </c>
      <c r="H1085" s="25"/>
      <c r="I1085" s="25" t="n">
        <f>47920</f>
        <v>47920.0</v>
      </c>
      <c r="J1085" s="25" t="n">
        <f>390</f>
        <v>390.0</v>
      </c>
      <c r="K1085" s="25" t="n">
        <f>390</f>
        <v>390.0</v>
      </c>
      <c r="L1085" s="2" t="s">
        <v>287</v>
      </c>
      <c r="M1085" s="26" t="n">
        <f>4980</f>
        <v>4980.0</v>
      </c>
      <c r="N1085" s="3" t="s">
        <v>68</v>
      </c>
      <c r="O1085" s="27" t="str">
        <f>"－"</f>
        <v>－</v>
      </c>
      <c r="P1085" s="29" t="s">
        <v>2102</v>
      </c>
      <c r="Q1085" s="25"/>
      <c r="R1085" s="29" t="s">
        <v>2102</v>
      </c>
      <c r="S1085" s="25" t="n">
        <f>116464415</f>
        <v>1.16464415E8</v>
      </c>
      <c r="T1085" s="25" t="n">
        <f>116464415</f>
        <v>1.16464415E8</v>
      </c>
      <c r="U1085" s="3" t="s">
        <v>287</v>
      </c>
      <c r="V1085" s="27" t="n">
        <f>3359330000</f>
        <v>3.35933E9</v>
      </c>
      <c r="W1085" s="3" t="s">
        <v>68</v>
      </c>
      <c r="X1085" s="27" t="str">
        <f>"－"</f>
        <v>－</v>
      </c>
      <c r="Y1085" s="27" t="n">
        <f>17146</f>
        <v>17146.0</v>
      </c>
      <c r="Z1085" s="25" t="n">
        <f>20002</f>
        <v>20002.0</v>
      </c>
      <c r="AA1085" s="25" t="n">
        <f>8549</f>
        <v>8549.0</v>
      </c>
      <c r="AB1085" s="2" t="s">
        <v>854</v>
      </c>
      <c r="AC1085" s="26" t="n">
        <f>33472</f>
        <v>33472.0</v>
      </c>
      <c r="AD1085" s="3" t="s">
        <v>67</v>
      </c>
      <c r="AE1085" s="27" t="n">
        <f>7361</f>
        <v>7361.0</v>
      </c>
    </row>
    <row r="1086">
      <c r="A1086" s="20" t="s">
        <v>1907</v>
      </c>
      <c r="B1086" s="21" t="s">
        <v>1908</v>
      </c>
      <c r="C1086" s="22" t="s">
        <v>1768</v>
      </c>
      <c r="D1086" s="23" t="s">
        <v>1769</v>
      </c>
      <c r="E1086" s="24" t="s">
        <v>62</v>
      </c>
      <c r="F1086" s="28" t="n">
        <f>123</f>
        <v>123.0</v>
      </c>
      <c r="G1086" s="25" t="n">
        <f>73301</f>
        <v>73301.0</v>
      </c>
      <c r="H1086" s="25"/>
      <c r="I1086" s="25" t="n">
        <f>73301</f>
        <v>73301.0</v>
      </c>
      <c r="J1086" s="25" t="n">
        <f>596</f>
        <v>596.0</v>
      </c>
      <c r="K1086" s="25" t="n">
        <f>596</f>
        <v>596.0</v>
      </c>
      <c r="L1086" s="2" t="s">
        <v>1024</v>
      </c>
      <c r="M1086" s="26" t="n">
        <f>6340</f>
        <v>6340.0</v>
      </c>
      <c r="N1086" s="3" t="s">
        <v>68</v>
      </c>
      <c r="O1086" s="27" t="str">
        <f>"－"</f>
        <v>－</v>
      </c>
      <c r="P1086" s="29" t="s">
        <v>2103</v>
      </c>
      <c r="Q1086" s="25"/>
      <c r="R1086" s="29" t="s">
        <v>2103</v>
      </c>
      <c r="S1086" s="25" t="n">
        <f>157376211</f>
        <v>1.57376211E8</v>
      </c>
      <c r="T1086" s="25" t="n">
        <f>157376211</f>
        <v>1.57376211E8</v>
      </c>
      <c r="U1086" s="3" t="s">
        <v>287</v>
      </c>
      <c r="V1086" s="27" t="n">
        <f>3359330000</f>
        <v>3.35933E9</v>
      </c>
      <c r="W1086" s="3" t="s">
        <v>68</v>
      </c>
      <c r="X1086" s="27" t="str">
        <f>"－"</f>
        <v>－</v>
      </c>
      <c r="Y1086" s="27" t="n">
        <f>26889</f>
        <v>26889.0</v>
      </c>
      <c r="Z1086" s="25" t="n">
        <f>23381</f>
        <v>23381.0</v>
      </c>
      <c r="AA1086" s="25" t="n">
        <f>19145</f>
        <v>19145.0</v>
      </c>
      <c r="AB1086" s="2" t="s">
        <v>854</v>
      </c>
      <c r="AC1086" s="26" t="n">
        <f>55534</f>
        <v>55534.0</v>
      </c>
      <c r="AD1086" s="3" t="s">
        <v>67</v>
      </c>
      <c r="AE1086" s="27" t="n">
        <f>17885</f>
        <v>17885.0</v>
      </c>
    </row>
    <row r="1087">
      <c r="A1087" s="20" t="s">
        <v>1907</v>
      </c>
      <c r="B1087" s="21" t="s">
        <v>1908</v>
      </c>
      <c r="C1087" s="22" t="s">
        <v>1760</v>
      </c>
      <c r="D1087" s="23" t="s">
        <v>1761</v>
      </c>
      <c r="E1087" s="24" t="s">
        <v>69</v>
      </c>
      <c r="F1087" s="28" t="n">
        <f>122</f>
        <v>122.0</v>
      </c>
      <c r="G1087" s="25" t="n">
        <f>14488</f>
        <v>14488.0</v>
      </c>
      <c r="H1087" s="25"/>
      <c r="I1087" s="25" t="n">
        <f>14236</f>
        <v>14236.0</v>
      </c>
      <c r="J1087" s="25" t="n">
        <f>119</f>
        <v>119.0</v>
      </c>
      <c r="K1087" s="25" t="n">
        <f>117</f>
        <v>117.0</v>
      </c>
      <c r="L1087" s="2" t="s">
        <v>56</v>
      </c>
      <c r="M1087" s="26" t="n">
        <f>2830</f>
        <v>2830.0</v>
      </c>
      <c r="N1087" s="3" t="s">
        <v>156</v>
      </c>
      <c r="O1087" s="27" t="str">
        <f>"－"</f>
        <v>－</v>
      </c>
      <c r="P1087" s="29" t="s">
        <v>2104</v>
      </c>
      <c r="Q1087" s="25"/>
      <c r="R1087" s="29" t="s">
        <v>2105</v>
      </c>
      <c r="S1087" s="25" t="n">
        <f>42168369</f>
        <v>4.2168369E7</v>
      </c>
      <c r="T1087" s="25" t="n">
        <f>40296451</f>
        <v>4.0296451E7</v>
      </c>
      <c r="U1087" s="3" t="s">
        <v>56</v>
      </c>
      <c r="V1087" s="27" t="n">
        <f>1395858000</f>
        <v>1.395858E9</v>
      </c>
      <c r="W1087" s="3" t="s">
        <v>156</v>
      </c>
      <c r="X1087" s="27" t="str">
        <f>"－"</f>
        <v>－</v>
      </c>
      <c r="Y1087" s="27" t="n">
        <f>5783</f>
        <v>5783.0</v>
      </c>
      <c r="Z1087" s="25" t="n">
        <f>11123</f>
        <v>11123.0</v>
      </c>
      <c r="AA1087" s="25" t="n">
        <f>10095</f>
        <v>10095.0</v>
      </c>
      <c r="AB1087" s="2" t="s">
        <v>56</v>
      </c>
      <c r="AC1087" s="26" t="n">
        <f>17506</f>
        <v>17506.0</v>
      </c>
      <c r="AD1087" s="3" t="s">
        <v>307</v>
      </c>
      <c r="AE1087" s="27" t="n">
        <f>9571</f>
        <v>9571.0</v>
      </c>
    </row>
    <row r="1088">
      <c r="A1088" s="20" t="s">
        <v>1907</v>
      </c>
      <c r="B1088" s="21" t="s">
        <v>1908</v>
      </c>
      <c r="C1088" s="22" t="s">
        <v>1764</v>
      </c>
      <c r="D1088" s="23" t="s">
        <v>1765</v>
      </c>
      <c r="E1088" s="24" t="s">
        <v>69</v>
      </c>
      <c r="F1088" s="28" t="n">
        <f>122</f>
        <v>122.0</v>
      </c>
      <c r="G1088" s="25" t="n">
        <f>12691</f>
        <v>12691.0</v>
      </c>
      <c r="H1088" s="25"/>
      <c r="I1088" s="25" t="n">
        <f>12510</f>
        <v>12510.0</v>
      </c>
      <c r="J1088" s="25" t="n">
        <f>104</f>
        <v>104.0</v>
      </c>
      <c r="K1088" s="25" t="n">
        <f>103</f>
        <v>103.0</v>
      </c>
      <c r="L1088" s="2" t="s">
        <v>74</v>
      </c>
      <c r="M1088" s="26" t="n">
        <f>2132</f>
        <v>2132.0</v>
      </c>
      <c r="N1088" s="3" t="s">
        <v>156</v>
      </c>
      <c r="O1088" s="27" t="str">
        <f>"－"</f>
        <v>－</v>
      </c>
      <c r="P1088" s="29" t="s">
        <v>2106</v>
      </c>
      <c r="Q1088" s="25"/>
      <c r="R1088" s="29" t="s">
        <v>2107</v>
      </c>
      <c r="S1088" s="25" t="n">
        <f>36379656</f>
        <v>3.6379656E7</v>
      </c>
      <c r="T1088" s="25" t="n">
        <f>35831033</f>
        <v>3.5831033E7</v>
      </c>
      <c r="U1088" s="3" t="s">
        <v>74</v>
      </c>
      <c r="V1088" s="27" t="n">
        <f>1288690000</f>
        <v>1.28869E9</v>
      </c>
      <c r="W1088" s="3" t="s">
        <v>156</v>
      </c>
      <c r="X1088" s="27" t="str">
        <f>"－"</f>
        <v>－</v>
      </c>
      <c r="Y1088" s="27" t="n">
        <f>949</f>
        <v>949.0</v>
      </c>
      <c r="Z1088" s="25" t="n">
        <f>7967</f>
        <v>7967.0</v>
      </c>
      <c r="AA1088" s="25" t="n">
        <f>4714</f>
        <v>4714.0</v>
      </c>
      <c r="AB1088" s="2" t="s">
        <v>56</v>
      </c>
      <c r="AC1088" s="26" t="n">
        <f>10925</f>
        <v>10925.0</v>
      </c>
      <c r="AD1088" s="3" t="s">
        <v>307</v>
      </c>
      <c r="AE1088" s="27" t="n">
        <f>3917</f>
        <v>3917.0</v>
      </c>
    </row>
    <row r="1089">
      <c r="A1089" s="20" t="s">
        <v>1907</v>
      </c>
      <c r="B1089" s="21" t="s">
        <v>1908</v>
      </c>
      <c r="C1089" s="22" t="s">
        <v>1768</v>
      </c>
      <c r="D1089" s="23" t="s">
        <v>1769</v>
      </c>
      <c r="E1089" s="24" t="s">
        <v>69</v>
      </c>
      <c r="F1089" s="28" t="n">
        <f>122</f>
        <v>122.0</v>
      </c>
      <c r="G1089" s="25" t="n">
        <f>27179</f>
        <v>27179.0</v>
      </c>
      <c r="H1089" s="25"/>
      <c r="I1089" s="25" t="n">
        <f>26746</f>
        <v>26746.0</v>
      </c>
      <c r="J1089" s="25" t="n">
        <f>223</f>
        <v>223.0</v>
      </c>
      <c r="K1089" s="25" t="n">
        <f>219</f>
        <v>219.0</v>
      </c>
      <c r="L1089" s="2" t="s">
        <v>56</v>
      </c>
      <c r="M1089" s="26" t="n">
        <f>4178</f>
        <v>4178.0</v>
      </c>
      <c r="N1089" s="3" t="s">
        <v>156</v>
      </c>
      <c r="O1089" s="27" t="str">
        <f>"－"</f>
        <v>－</v>
      </c>
      <c r="P1089" s="29" t="s">
        <v>2108</v>
      </c>
      <c r="Q1089" s="25"/>
      <c r="R1089" s="29" t="s">
        <v>2109</v>
      </c>
      <c r="S1089" s="25" t="n">
        <f>78548025</f>
        <v>7.8548025E7</v>
      </c>
      <c r="T1089" s="25" t="n">
        <f>76127484</f>
        <v>7.6127484E7</v>
      </c>
      <c r="U1089" s="3" t="s">
        <v>56</v>
      </c>
      <c r="V1089" s="27" t="n">
        <f>2309433000</f>
        <v>2.309433E9</v>
      </c>
      <c r="W1089" s="3" t="s">
        <v>156</v>
      </c>
      <c r="X1089" s="27" t="str">
        <f>"－"</f>
        <v>－</v>
      </c>
      <c r="Y1089" s="27" t="n">
        <f>6732</f>
        <v>6732.0</v>
      </c>
      <c r="Z1089" s="25" t="n">
        <f>19090</f>
        <v>19090.0</v>
      </c>
      <c r="AA1089" s="25" t="n">
        <f>14809</f>
        <v>14809.0</v>
      </c>
      <c r="AB1089" s="2" t="s">
        <v>56</v>
      </c>
      <c r="AC1089" s="26" t="n">
        <f>28431</f>
        <v>28431.0</v>
      </c>
      <c r="AD1089" s="3" t="s">
        <v>307</v>
      </c>
      <c r="AE1089" s="27" t="n">
        <f>13488</f>
        <v>13488.0</v>
      </c>
    </row>
    <row r="1090">
      <c r="A1090" s="20" t="s">
        <v>1907</v>
      </c>
      <c r="B1090" s="21" t="s">
        <v>1908</v>
      </c>
      <c r="C1090" s="22" t="s">
        <v>1760</v>
      </c>
      <c r="D1090" s="23" t="s">
        <v>1761</v>
      </c>
      <c r="E1090" s="24" t="s">
        <v>76</v>
      </c>
      <c r="F1090" s="28" t="n">
        <f>123</f>
        <v>123.0</v>
      </c>
      <c r="G1090" s="25" t="n">
        <f>62223</f>
        <v>62223.0</v>
      </c>
      <c r="H1090" s="25"/>
      <c r="I1090" s="25" t="n">
        <f>62203</f>
        <v>62203.0</v>
      </c>
      <c r="J1090" s="25" t="n">
        <f>506</f>
        <v>506.0</v>
      </c>
      <c r="K1090" s="25" t="n">
        <f>506</f>
        <v>506.0</v>
      </c>
      <c r="L1090" s="2" t="s">
        <v>53</v>
      </c>
      <c r="M1090" s="26" t="n">
        <f>8027</f>
        <v>8027.0</v>
      </c>
      <c r="N1090" s="3" t="s">
        <v>68</v>
      </c>
      <c r="O1090" s="27" t="str">
        <f>"－"</f>
        <v>－</v>
      </c>
      <c r="P1090" s="29" t="s">
        <v>2110</v>
      </c>
      <c r="Q1090" s="25"/>
      <c r="R1090" s="29" t="s">
        <v>2111</v>
      </c>
      <c r="S1090" s="25" t="n">
        <f>113696815</f>
        <v>1.13696815E8</v>
      </c>
      <c r="T1090" s="25" t="n">
        <f>113671409</f>
        <v>1.13671409E8</v>
      </c>
      <c r="U1090" s="3" t="s">
        <v>1452</v>
      </c>
      <c r="V1090" s="27" t="n">
        <f>1789278000</f>
        <v>1.789278E9</v>
      </c>
      <c r="W1090" s="3" t="s">
        <v>68</v>
      </c>
      <c r="X1090" s="27" t="str">
        <f>"－"</f>
        <v>－</v>
      </c>
      <c r="Y1090" s="27" t="n">
        <f>2724</f>
        <v>2724.0</v>
      </c>
      <c r="Z1090" s="25" t="n">
        <f>36372</f>
        <v>36372.0</v>
      </c>
      <c r="AA1090" s="25" t="n">
        <f>35484</f>
        <v>35484.0</v>
      </c>
      <c r="AB1090" s="2" t="s">
        <v>269</v>
      </c>
      <c r="AC1090" s="26" t="n">
        <f>35484</f>
        <v>35484.0</v>
      </c>
      <c r="AD1090" s="3" t="s">
        <v>879</v>
      </c>
      <c r="AE1090" s="27" t="n">
        <f>10040</f>
        <v>10040.0</v>
      </c>
    </row>
    <row r="1091">
      <c r="A1091" s="20" t="s">
        <v>1907</v>
      </c>
      <c r="B1091" s="21" t="s">
        <v>1908</v>
      </c>
      <c r="C1091" s="22" t="s">
        <v>1764</v>
      </c>
      <c r="D1091" s="23" t="s">
        <v>1765</v>
      </c>
      <c r="E1091" s="24" t="s">
        <v>76</v>
      </c>
      <c r="F1091" s="28" t="n">
        <f>123</f>
        <v>123.0</v>
      </c>
      <c r="G1091" s="25" t="n">
        <f>56314</f>
        <v>56314.0</v>
      </c>
      <c r="H1091" s="25"/>
      <c r="I1091" s="25" t="n">
        <f>56049</f>
        <v>56049.0</v>
      </c>
      <c r="J1091" s="25" t="n">
        <f>458</f>
        <v>458.0</v>
      </c>
      <c r="K1091" s="25" t="n">
        <f>456</f>
        <v>456.0</v>
      </c>
      <c r="L1091" s="2" t="s">
        <v>1002</v>
      </c>
      <c r="M1091" s="26" t="n">
        <f>9844</f>
        <v>9844.0</v>
      </c>
      <c r="N1091" s="3" t="s">
        <v>68</v>
      </c>
      <c r="O1091" s="27" t="str">
        <f>"－"</f>
        <v>－</v>
      </c>
      <c r="P1091" s="29" t="s">
        <v>2112</v>
      </c>
      <c r="Q1091" s="25"/>
      <c r="R1091" s="29" t="s">
        <v>2113</v>
      </c>
      <c r="S1091" s="25" t="n">
        <f>82198941</f>
        <v>8.2198941E7</v>
      </c>
      <c r="T1091" s="25" t="n">
        <f>81168372</f>
        <v>8.1168372E7</v>
      </c>
      <c r="U1091" s="3" t="s">
        <v>507</v>
      </c>
      <c r="V1091" s="27" t="n">
        <f>1349621825</f>
        <v>1.349621825E9</v>
      </c>
      <c r="W1091" s="3" t="s">
        <v>68</v>
      </c>
      <c r="X1091" s="27" t="str">
        <f>"－"</f>
        <v>－</v>
      </c>
      <c r="Y1091" s="27" t="n">
        <f>9264</f>
        <v>9264.0</v>
      </c>
      <c r="Z1091" s="25" t="n">
        <f>23416</f>
        <v>23416.0</v>
      </c>
      <c r="AA1091" s="25" t="n">
        <f>11157</f>
        <v>11157.0</v>
      </c>
      <c r="AB1091" s="2" t="s">
        <v>1259</v>
      </c>
      <c r="AC1091" s="26" t="n">
        <f>15849</f>
        <v>15849.0</v>
      </c>
      <c r="AD1091" s="3" t="s">
        <v>879</v>
      </c>
      <c r="AE1091" s="27" t="n">
        <f>4649</f>
        <v>4649.0</v>
      </c>
    </row>
    <row r="1092">
      <c r="A1092" s="20" t="s">
        <v>1907</v>
      </c>
      <c r="B1092" s="21" t="s">
        <v>1908</v>
      </c>
      <c r="C1092" s="22" t="s">
        <v>1768</v>
      </c>
      <c r="D1092" s="23" t="s">
        <v>1769</v>
      </c>
      <c r="E1092" s="24" t="s">
        <v>76</v>
      </c>
      <c r="F1092" s="28" t="n">
        <f>123</f>
        <v>123.0</v>
      </c>
      <c r="G1092" s="25" t="n">
        <f>118537</f>
        <v>118537.0</v>
      </c>
      <c r="H1092" s="25"/>
      <c r="I1092" s="25" t="n">
        <f>118252</f>
        <v>118252.0</v>
      </c>
      <c r="J1092" s="25" t="n">
        <f>964</f>
        <v>964.0</v>
      </c>
      <c r="K1092" s="25" t="n">
        <f>961</f>
        <v>961.0</v>
      </c>
      <c r="L1092" s="2" t="s">
        <v>1002</v>
      </c>
      <c r="M1092" s="26" t="n">
        <f>9844</f>
        <v>9844.0</v>
      </c>
      <c r="N1092" s="3" t="s">
        <v>68</v>
      </c>
      <c r="O1092" s="27" t="str">
        <f>"－"</f>
        <v>－</v>
      </c>
      <c r="P1092" s="29" t="s">
        <v>2114</v>
      </c>
      <c r="Q1092" s="25"/>
      <c r="R1092" s="29" t="s">
        <v>2115</v>
      </c>
      <c r="S1092" s="25" t="n">
        <f>195895756</f>
        <v>1.95895756E8</v>
      </c>
      <c r="T1092" s="25" t="n">
        <f>194839780</f>
        <v>1.9483978E8</v>
      </c>
      <c r="U1092" s="3" t="s">
        <v>1452</v>
      </c>
      <c r="V1092" s="27" t="n">
        <f>1790868288</f>
        <v>1.790868288E9</v>
      </c>
      <c r="W1092" s="3" t="s">
        <v>68</v>
      </c>
      <c r="X1092" s="27" t="str">
        <f>"－"</f>
        <v>－</v>
      </c>
      <c r="Y1092" s="27" t="n">
        <f>11988</f>
        <v>11988.0</v>
      </c>
      <c r="Z1092" s="25" t="n">
        <f>59788</f>
        <v>59788.0</v>
      </c>
      <c r="AA1092" s="25" t="n">
        <f>46641</f>
        <v>46641.0</v>
      </c>
      <c r="AB1092" s="2" t="s">
        <v>269</v>
      </c>
      <c r="AC1092" s="26" t="n">
        <f>46641</f>
        <v>46641.0</v>
      </c>
      <c r="AD1092" s="3" t="s">
        <v>879</v>
      </c>
      <c r="AE1092" s="27" t="n">
        <f>14689</f>
        <v>14689.0</v>
      </c>
    </row>
    <row r="1093">
      <c r="A1093" s="20" t="s">
        <v>1907</v>
      </c>
      <c r="B1093" s="21" t="s">
        <v>1908</v>
      </c>
      <c r="C1093" s="22" t="s">
        <v>1760</v>
      </c>
      <c r="D1093" s="23" t="s">
        <v>1761</v>
      </c>
      <c r="E1093" s="24" t="s">
        <v>83</v>
      </c>
      <c r="F1093" s="28" t="n">
        <f>123</f>
        <v>123.0</v>
      </c>
      <c r="G1093" s="25" t="n">
        <f>90945</f>
        <v>90945.0</v>
      </c>
      <c r="H1093" s="25"/>
      <c r="I1093" s="25" t="n">
        <f>90512</f>
        <v>90512.0</v>
      </c>
      <c r="J1093" s="25" t="n">
        <f>739</f>
        <v>739.0</v>
      </c>
      <c r="K1093" s="25" t="n">
        <f>736</f>
        <v>736.0</v>
      </c>
      <c r="L1093" s="2" t="s">
        <v>74</v>
      </c>
      <c r="M1093" s="26" t="n">
        <f>19371</f>
        <v>19371.0</v>
      </c>
      <c r="N1093" s="3" t="s">
        <v>706</v>
      </c>
      <c r="O1093" s="27" t="str">
        <f>"－"</f>
        <v>－</v>
      </c>
      <c r="P1093" s="29" t="s">
        <v>2116</v>
      </c>
      <c r="Q1093" s="25"/>
      <c r="R1093" s="29" t="s">
        <v>2117</v>
      </c>
      <c r="S1093" s="25" t="n">
        <f>204080091</f>
        <v>2.04080091E8</v>
      </c>
      <c r="T1093" s="25" t="n">
        <f>203138091</f>
        <v>2.03138091E8</v>
      </c>
      <c r="U1093" s="3" t="s">
        <v>427</v>
      </c>
      <c r="V1093" s="27" t="n">
        <f>4135141000</f>
        <v>4.135141E9</v>
      </c>
      <c r="W1093" s="3" t="s">
        <v>706</v>
      </c>
      <c r="X1093" s="27" t="str">
        <f>"－"</f>
        <v>－</v>
      </c>
      <c r="Y1093" s="27" t="n">
        <f>19383</f>
        <v>19383.0</v>
      </c>
      <c r="Z1093" s="25" t="n">
        <f>41203</f>
        <v>41203.0</v>
      </c>
      <c r="AA1093" s="25" t="n">
        <f>47760</f>
        <v>47760.0</v>
      </c>
      <c r="AB1093" s="2" t="s">
        <v>212</v>
      </c>
      <c r="AC1093" s="26" t="n">
        <f>56916</f>
        <v>56916.0</v>
      </c>
      <c r="AD1093" s="3" t="s">
        <v>156</v>
      </c>
      <c r="AE1093" s="27" t="n">
        <f>35484</f>
        <v>35484.0</v>
      </c>
    </row>
    <row r="1094">
      <c r="A1094" s="20" t="s">
        <v>1907</v>
      </c>
      <c r="B1094" s="21" t="s">
        <v>1908</v>
      </c>
      <c r="C1094" s="22" t="s">
        <v>1764</v>
      </c>
      <c r="D1094" s="23" t="s">
        <v>1765</v>
      </c>
      <c r="E1094" s="24" t="s">
        <v>83</v>
      </c>
      <c r="F1094" s="28" t="n">
        <f>123</f>
        <v>123.0</v>
      </c>
      <c r="G1094" s="25" t="n">
        <f>59332</f>
        <v>59332.0</v>
      </c>
      <c r="H1094" s="25"/>
      <c r="I1094" s="25" t="n">
        <f>59332</f>
        <v>59332.0</v>
      </c>
      <c r="J1094" s="25" t="n">
        <f>482</f>
        <v>482.0</v>
      </c>
      <c r="K1094" s="25" t="n">
        <f>482</f>
        <v>482.0</v>
      </c>
      <c r="L1094" s="2" t="s">
        <v>209</v>
      </c>
      <c r="M1094" s="26" t="n">
        <f>6050</f>
        <v>6050.0</v>
      </c>
      <c r="N1094" s="3" t="s">
        <v>147</v>
      </c>
      <c r="O1094" s="27" t="str">
        <f>"－"</f>
        <v>－</v>
      </c>
      <c r="P1094" s="29" t="s">
        <v>2118</v>
      </c>
      <c r="Q1094" s="25"/>
      <c r="R1094" s="29" t="s">
        <v>2118</v>
      </c>
      <c r="S1094" s="25" t="n">
        <f>118848988</f>
        <v>1.18848988E8</v>
      </c>
      <c r="T1094" s="25" t="n">
        <f>118848988</f>
        <v>1.18848988E8</v>
      </c>
      <c r="U1094" s="3" t="s">
        <v>146</v>
      </c>
      <c r="V1094" s="27" t="n">
        <f>3430621000</f>
        <v>3.430621E9</v>
      </c>
      <c r="W1094" s="3" t="s">
        <v>147</v>
      </c>
      <c r="X1094" s="27" t="str">
        <f>"－"</f>
        <v>－</v>
      </c>
      <c r="Y1094" s="27" t="n">
        <f>12430</f>
        <v>12430.0</v>
      </c>
      <c r="Z1094" s="25" t="n">
        <f>17188</f>
        <v>17188.0</v>
      </c>
      <c r="AA1094" s="25" t="n">
        <f>9992</f>
        <v>9992.0</v>
      </c>
      <c r="AB1094" s="2" t="s">
        <v>212</v>
      </c>
      <c r="AC1094" s="26" t="n">
        <f>24849</f>
        <v>24849.0</v>
      </c>
      <c r="AD1094" s="3" t="s">
        <v>88</v>
      </c>
      <c r="AE1094" s="27" t="n">
        <f>6139</f>
        <v>6139.0</v>
      </c>
    </row>
    <row r="1095">
      <c r="A1095" s="20" t="s">
        <v>1907</v>
      </c>
      <c r="B1095" s="21" t="s">
        <v>1908</v>
      </c>
      <c r="C1095" s="22" t="s">
        <v>1768</v>
      </c>
      <c r="D1095" s="23" t="s">
        <v>1769</v>
      </c>
      <c r="E1095" s="24" t="s">
        <v>83</v>
      </c>
      <c r="F1095" s="28" t="n">
        <f>123</f>
        <v>123.0</v>
      </c>
      <c r="G1095" s="25" t="n">
        <f>150277</f>
        <v>150277.0</v>
      </c>
      <c r="H1095" s="25"/>
      <c r="I1095" s="25" t="n">
        <f>149844</f>
        <v>149844.0</v>
      </c>
      <c r="J1095" s="25" t="n">
        <f>1222</f>
        <v>1222.0</v>
      </c>
      <c r="K1095" s="25" t="n">
        <f>1218</f>
        <v>1218.0</v>
      </c>
      <c r="L1095" s="2" t="s">
        <v>74</v>
      </c>
      <c r="M1095" s="26" t="n">
        <f>21831</f>
        <v>21831.0</v>
      </c>
      <c r="N1095" s="3" t="s">
        <v>706</v>
      </c>
      <c r="O1095" s="27" t="str">
        <f>"－"</f>
        <v>－</v>
      </c>
      <c r="P1095" s="29" t="s">
        <v>2119</v>
      </c>
      <c r="Q1095" s="25"/>
      <c r="R1095" s="29" t="s">
        <v>2120</v>
      </c>
      <c r="S1095" s="25" t="n">
        <f>322929079</f>
        <v>3.22929079E8</v>
      </c>
      <c r="T1095" s="25" t="n">
        <f>321987079</f>
        <v>3.21987079E8</v>
      </c>
      <c r="U1095" s="3" t="s">
        <v>146</v>
      </c>
      <c r="V1095" s="27" t="n">
        <f>7059875100</f>
        <v>7.0598751E9</v>
      </c>
      <c r="W1095" s="3" t="s">
        <v>706</v>
      </c>
      <c r="X1095" s="27" t="str">
        <f>"－"</f>
        <v>－</v>
      </c>
      <c r="Y1095" s="27" t="n">
        <f>31813</f>
        <v>31813.0</v>
      </c>
      <c r="Z1095" s="25" t="n">
        <f>58391</f>
        <v>58391.0</v>
      </c>
      <c r="AA1095" s="25" t="n">
        <f>57752</f>
        <v>57752.0</v>
      </c>
      <c r="AB1095" s="2" t="s">
        <v>212</v>
      </c>
      <c r="AC1095" s="26" t="n">
        <f>81765</f>
        <v>81765.0</v>
      </c>
      <c r="AD1095" s="3" t="s">
        <v>188</v>
      </c>
      <c r="AE1095" s="27" t="n">
        <f>44302</f>
        <v>44302.0</v>
      </c>
    </row>
    <row r="1096">
      <c r="A1096" s="20" t="s">
        <v>1907</v>
      </c>
      <c r="B1096" s="21" t="s">
        <v>1908</v>
      </c>
      <c r="C1096" s="22" t="s">
        <v>1760</v>
      </c>
      <c r="D1096" s="23" t="s">
        <v>1761</v>
      </c>
      <c r="E1096" s="24" t="s">
        <v>89</v>
      </c>
      <c r="F1096" s="28" t="n">
        <f>124</f>
        <v>124.0</v>
      </c>
      <c r="G1096" s="25" t="n">
        <f>53609</f>
        <v>53609.0</v>
      </c>
      <c r="H1096" s="25"/>
      <c r="I1096" s="25" t="n">
        <f>53609</f>
        <v>53609.0</v>
      </c>
      <c r="J1096" s="25" t="n">
        <f>432</f>
        <v>432.0</v>
      </c>
      <c r="K1096" s="25" t="n">
        <f>432</f>
        <v>432.0</v>
      </c>
      <c r="L1096" s="2" t="s">
        <v>53</v>
      </c>
      <c r="M1096" s="26" t="n">
        <f>9350</f>
        <v>9350.0</v>
      </c>
      <c r="N1096" s="3" t="s">
        <v>633</v>
      </c>
      <c r="O1096" s="27" t="str">
        <f>"－"</f>
        <v>－</v>
      </c>
      <c r="P1096" s="29" t="s">
        <v>2121</v>
      </c>
      <c r="Q1096" s="25"/>
      <c r="R1096" s="29" t="s">
        <v>2121</v>
      </c>
      <c r="S1096" s="25" t="n">
        <f>162736750</f>
        <v>1.6273675E8</v>
      </c>
      <c r="T1096" s="25" t="n">
        <f>162736750</f>
        <v>1.6273675E8</v>
      </c>
      <c r="U1096" s="3" t="s">
        <v>53</v>
      </c>
      <c r="V1096" s="27" t="n">
        <f>4008700000</f>
        <v>4.0087E9</v>
      </c>
      <c r="W1096" s="3" t="s">
        <v>633</v>
      </c>
      <c r="X1096" s="27" t="str">
        <f>"－"</f>
        <v>－</v>
      </c>
      <c r="Y1096" s="27" t="n">
        <f>7291</f>
        <v>7291.0</v>
      </c>
      <c r="Z1096" s="25" t="n">
        <f>24184</f>
        <v>24184.0</v>
      </c>
      <c r="AA1096" s="25" t="n">
        <f>51190</f>
        <v>51190.0</v>
      </c>
      <c r="AB1096" s="2" t="s">
        <v>872</v>
      </c>
      <c r="AC1096" s="26" t="n">
        <f>55342</f>
        <v>55342.0</v>
      </c>
      <c r="AD1096" s="3" t="s">
        <v>128</v>
      </c>
      <c r="AE1096" s="27" t="n">
        <f>37116</f>
        <v>37116.0</v>
      </c>
    </row>
    <row r="1097">
      <c r="A1097" s="20" t="s">
        <v>1907</v>
      </c>
      <c r="B1097" s="21" t="s">
        <v>1908</v>
      </c>
      <c r="C1097" s="22" t="s">
        <v>1764</v>
      </c>
      <c r="D1097" s="23" t="s">
        <v>1765</v>
      </c>
      <c r="E1097" s="24" t="s">
        <v>89</v>
      </c>
      <c r="F1097" s="28" t="n">
        <f>124</f>
        <v>124.0</v>
      </c>
      <c r="G1097" s="25" t="n">
        <f>55498</f>
        <v>55498.0</v>
      </c>
      <c r="H1097" s="25"/>
      <c r="I1097" s="25" t="n">
        <f>55498</f>
        <v>55498.0</v>
      </c>
      <c r="J1097" s="25" t="n">
        <f>448</f>
        <v>448.0</v>
      </c>
      <c r="K1097" s="25" t="n">
        <f>448</f>
        <v>448.0</v>
      </c>
      <c r="L1097" s="2" t="s">
        <v>192</v>
      </c>
      <c r="M1097" s="26" t="n">
        <f>6500</f>
        <v>6500.0</v>
      </c>
      <c r="N1097" s="3" t="s">
        <v>633</v>
      </c>
      <c r="O1097" s="27" t="str">
        <f>"－"</f>
        <v>－</v>
      </c>
      <c r="P1097" s="29" t="s">
        <v>2122</v>
      </c>
      <c r="Q1097" s="25"/>
      <c r="R1097" s="29" t="s">
        <v>2122</v>
      </c>
      <c r="S1097" s="25" t="n">
        <f>161632890</f>
        <v>1.6163289E8</v>
      </c>
      <c r="T1097" s="25" t="n">
        <f>161632890</f>
        <v>1.6163289E8</v>
      </c>
      <c r="U1097" s="3" t="s">
        <v>192</v>
      </c>
      <c r="V1097" s="27" t="n">
        <f>2821000000</f>
        <v>2.821E9</v>
      </c>
      <c r="W1097" s="3" t="s">
        <v>633</v>
      </c>
      <c r="X1097" s="27" t="str">
        <f>"－"</f>
        <v>－</v>
      </c>
      <c r="Y1097" s="27" t="n">
        <f>9185</f>
        <v>9185.0</v>
      </c>
      <c r="Z1097" s="25" t="n">
        <f>26535</f>
        <v>26535.0</v>
      </c>
      <c r="AA1097" s="25" t="n">
        <f>25768</f>
        <v>25768.0</v>
      </c>
      <c r="AB1097" s="2" t="s">
        <v>137</v>
      </c>
      <c r="AC1097" s="26" t="n">
        <f>28100</f>
        <v>28100.0</v>
      </c>
      <c r="AD1097" s="3" t="s">
        <v>388</v>
      </c>
      <c r="AE1097" s="27" t="n">
        <f>8180</f>
        <v>8180.0</v>
      </c>
    </row>
    <row r="1098">
      <c r="A1098" s="20" t="s">
        <v>1907</v>
      </c>
      <c r="B1098" s="21" t="s">
        <v>1908</v>
      </c>
      <c r="C1098" s="22" t="s">
        <v>1768</v>
      </c>
      <c r="D1098" s="23" t="s">
        <v>1769</v>
      </c>
      <c r="E1098" s="24" t="s">
        <v>89</v>
      </c>
      <c r="F1098" s="28" t="n">
        <f>124</f>
        <v>124.0</v>
      </c>
      <c r="G1098" s="25" t="n">
        <f>109107</f>
        <v>109107.0</v>
      </c>
      <c r="H1098" s="25"/>
      <c r="I1098" s="25" t="n">
        <f>109107</f>
        <v>109107.0</v>
      </c>
      <c r="J1098" s="25" t="n">
        <f>880</f>
        <v>880.0</v>
      </c>
      <c r="K1098" s="25" t="n">
        <f>880</f>
        <v>880.0</v>
      </c>
      <c r="L1098" s="2" t="s">
        <v>95</v>
      </c>
      <c r="M1098" s="26" t="n">
        <f>10215</f>
        <v>10215.0</v>
      </c>
      <c r="N1098" s="3" t="s">
        <v>633</v>
      </c>
      <c r="O1098" s="27" t="str">
        <f>"－"</f>
        <v>－</v>
      </c>
      <c r="P1098" s="29" t="s">
        <v>2123</v>
      </c>
      <c r="Q1098" s="25"/>
      <c r="R1098" s="29" t="s">
        <v>2123</v>
      </c>
      <c r="S1098" s="25" t="n">
        <f>324369640</f>
        <v>3.2436964E8</v>
      </c>
      <c r="T1098" s="25" t="n">
        <f>324369640</f>
        <v>3.2436964E8</v>
      </c>
      <c r="U1098" s="3" t="s">
        <v>53</v>
      </c>
      <c r="V1098" s="27" t="n">
        <f>4765080000</f>
        <v>4.76508E9</v>
      </c>
      <c r="W1098" s="3" t="s">
        <v>633</v>
      </c>
      <c r="X1098" s="27" t="str">
        <f>"－"</f>
        <v>－</v>
      </c>
      <c r="Y1098" s="27" t="n">
        <f>16476</f>
        <v>16476.0</v>
      </c>
      <c r="Z1098" s="25" t="n">
        <f>50719</f>
        <v>50719.0</v>
      </c>
      <c r="AA1098" s="25" t="n">
        <f>76958</f>
        <v>76958.0</v>
      </c>
      <c r="AB1098" s="2" t="s">
        <v>181</v>
      </c>
      <c r="AC1098" s="26" t="n">
        <f>81947</f>
        <v>81947.0</v>
      </c>
      <c r="AD1098" s="3" t="s">
        <v>388</v>
      </c>
      <c r="AE1098" s="27" t="n">
        <f>47871</f>
        <v>47871.0</v>
      </c>
    </row>
    <row r="1099">
      <c r="A1099" s="20" t="s">
        <v>1907</v>
      </c>
      <c r="B1099" s="21" t="s">
        <v>1908</v>
      </c>
      <c r="C1099" s="22" t="s">
        <v>1760</v>
      </c>
      <c r="D1099" s="23" t="s">
        <v>1761</v>
      </c>
      <c r="E1099" s="24" t="s">
        <v>96</v>
      </c>
      <c r="F1099" s="28" t="n">
        <f>121</f>
        <v>121.0</v>
      </c>
      <c r="G1099" s="25" t="n">
        <f>49287</f>
        <v>49287.0</v>
      </c>
      <c r="H1099" s="25"/>
      <c r="I1099" s="25" t="n">
        <f>49287</f>
        <v>49287.0</v>
      </c>
      <c r="J1099" s="25" t="n">
        <f>407</f>
        <v>407.0</v>
      </c>
      <c r="K1099" s="25" t="n">
        <f>407</f>
        <v>407.0</v>
      </c>
      <c r="L1099" s="2" t="s">
        <v>74</v>
      </c>
      <c r="M1099" s="26" t="n">
        <f>8112</f>
        <v>8112.0</v>
      </c>
      <c r="N1099" s="3" t="s">
        <v>520</v>
      </c>
      <c r="O1099" s="27" t="str">
        <f>"－"</f>
        <v>－</v>
      </c>
      <c r="P1099" s="29" t="s">
        <v>2124</v>
      </c>
      <c r="Q1099" s="25"/>
      <c r="R1099" s="29" t="s">
        <v>2124</v>
      </c>
      <c r="S1099" s="25" t="n">
        <f>137575909</f>
        <v>1.37575909E8</v>
      </c>
      <c r="T1099" s="25" t="n">
        <f>137575909</f>
        <v>1.37575909E8</v>
      </c>
      <c r="U1099" s="3" t="s">
        <v>74</v>
      </c>
      <c r="V1099" s="27" t="n">
        <f>3921776604</f>
        <v>3.921776604E9</v>
      </c>
      <c r="W1099" s="3" t="s">
        <v>520</v>
      </c>
      <c r="X1099" s="27" t="str">
        <f>"－"</f>
        <v>－</v>
      </c>
      <c r="Y1099" s="27" t="n">
        <f>10138</f>
        <v>10138.0</v>
      </c>
      <c r="Z1099" s="25" t="n">
        <f>17509</f>
        <v>17509.0</v>
      </c>
      <c r="AA1099" s="25" t="n">
        <f>51980</f>
        <v>51980.0</v>
      </c>
      <c r="AB1099" s="2" t="s">
        <v>146</v>
      </c>
      <c r="AC1099" s="26" t="n">
        <f>64466</f>
        <v>64466.0</v>
      </c>
      <c r="AD1099" s="3" t="s">
        <v>427</v>
      </c>
      <c r="AE1099" s="27" t="n">
        <f>51092</f>
        <v>51092.0</v>
      </c>
    </row>
    <row r="1100">
      <c r="A1100" s="20" t="s">
        <v>1907</v>
      </c>
      <c r="B1100" s="21" t="s">
        <v>1908</v>
      </c>
      <c r="C1100" s="22" t="s">
        <v>1764</v>
      </c>
      <c r="D1100" s="23" t="s">
        <v>1765</v>
      </c>
      <c r="E1100" s="24" t="s">
        <v>96</v>
      </c>
      <c r="F1100" s="28" t="n">
        <f>121</f>
        <v>121.0</v>
      </c>
      <c r="G1100" s="25" t="n">
        <f>44482</f>
        <v>44482.0</v>
      </c>
      <c r="H1100" s="25"/>
      <c r="I1100" s="25" t="n">
        <f>44482</f>
        <v>44482.0</v>
      </c>
      <c r="J1100" s="25" t="n">
        <f>368</f>
        <v>368.0</v>
      </c>
      <c r="K1100" s="25" t="n">
        <f>368</f>
        <v>368.0</v>
      </c>
      <c r="L1100" s="2" t="s">
        <v>265</v>
      </c>
      <c r="M1100" s="26" t="n">
        <f>3739</f>
        <v>3739.0</v>
      </c>
      <c r="N1100" s="3" t="s">
        <v>863</v>
      </c>
      <c r="O1100" s="27" t="str">
        <f>"－"</f>
        <v>－</v>
      </c>
      <c r="P1100" s="29" t="s">
        <v>2125</v>
      </c>
      <c r="Q1100" s="25"/>
      <c r="R1100" s="29" t="s">
        <v>2125</v>
      </c>
      <c r="S1100" s="25" t="n">
        <f>105732168</f>
        <v>1.05732168E8</v>
      </c>
      <c r="T1100" s="25" t="n">
        <f>105732168</f>
        <v>1.05732168E8</v>
      </c>
      <c r="U1100" s="3" t="s">
        <v>482</v>
      </c>
      <c r="V1100" s="27" t="n">
        <f>1957608000</f>
        <v>1.957608E9</v>
      </c>
      <c r="W1100" s="3" t="s">
        <v>863</v>
      </c>
      <c r="X1100" s="27" t="str">
        <f>"－"</f>
        <v>－</v>
      </c>
      <c r="Y1100" s="27" t="n">
        <f>13666</f>
        <v>13666.0</v>
      </c>
      <c r="Z1100" s="25" t="n">
        <f>12340</f>
        <v>12340.0</v>
      </c>
      <c r="AA1100" s="25" t="n">
        <f>9041</f>
        <v>9041.0</v>
      </c>
      <c r="AB1100" s="2" t="s">
        <v>265</v>
      </c>
      <c r="AC1100" s="26" t="n">
        <f>33772</f>
        <v>33772.0</v>
      </c>
      <c r="AD1100" s="3" t="s">
        <v>427</v>
      </c>
      <c r="AE1100" s="27" t="n">
        <f>7868</f>
        <v>7868.0</v>
      </c>
    </row>
    <row r="1101">
      <c r="A1101" s="20" t="s">
        <v>1907</v>
      </c>
      <c r="B1101" s="21" t="s">
        <v>1908</v>
      </c>
      <c r="C1101" s="22" t="s">
        <v>1768</v>
      </c>
      <c r="D1101" s="23" t="s">
        <v>1769</v>
      </c>
      <c r="E1101" s="24" t="s">
        <v>96</v>
      </c>
      <c r="F1101" s="28" t="n">
        <f>121</f>
        <v>121.0</v>
      </c>
      <c r="G1101" s="25" t="n">
        <f>93769</f>
        <v>93769.0</v>
      </c>
      <c r="H1101" s="25"/>
      <c r="I1101" s="25" t="n">
        <f>93769</f>
        <v>93769.0</v>
      </c>
      <c r="J1101" s="25" t="n">
        <f>775</f>
        <v>775.0</v>
      </c>
      <c r="K1101" s="25" t="n">
        <f>775</f>
        <v>775.0</v>
      </c>
      <c r="L1101" s="2" t="s">
        <v>74</v>
      </c>
      <c r="M1101" s="26" t="n">
        <f>8262</f>
        <v>8262.0</v>
      </c>
      <c r="N1101" s="3" t="s">
        <v>2003</v>
      </c>
      <c r="O1101" s="27" t="str">
        <f>"－"</f>
        <v>－</v>
      </c>
      <c r="P1101" s="29" t="s">
        <v>2126</v>
      </c>
      <c r="Q1101" s="25"/>
      <c r="R1101" s="29" t="s">
        <v>2126</v>
      </c>
      <c r="S1101" s="25" t="n">
        <f>243308077</f>
        <v>2.43308077E8</v>
      </c>
      <c r="T1101" s="25" t="n">
        <f>243308077</f>
        <v>2.43308077E8</v>
      </c>
      <c r="U1101" s="3" t="s">
        <v>74</v>
      </c>
      <c r="V1101" s="27" t="n">
        <f>3996776604</f>
        <v>3.996776604E9</v>
      </c>
      <c r="W1101" s="3" t="s">
        <v>2003</v>
      </c>
      <c r="X1101" s="27" t="str">
        <f>"－"</f>
        <v>－</v>
      </c>
      <c r="Y1101" s="27" t="n">
        <f>23804</f>
        <v>23804.0</v>
      </c>
      <c r="Z1101" s="25" t="n">
        <f>29849</f>
        <v>29849.0</v>
      </c>
      <c r="AA1101" s="25" t="n">
        <f>61021</f>
        <v>61021.0</v>
      </c>
      <c r="AB1101" s="2" t="s">
        <v>265</v>
      </c>
      <c r="AC1101" s="26" t="n">
        <f>92037</f>
        <v>92037.0</v>
      </c>
      <c r="AD1101" s="3" t="s">
        <v>427</v>
      </c>
      <c r="AE1101" s="27" t="n">
        <f>58960</f>
        <v>58960.0</v>
      </c>
    </row>
    <row r="1102">
      <c r="A1102" s="20" t="s">
        <v>1907</v>
      </c>
      <c r="B1102" s="21" t="s">
        <v>1908</v>
      </c>
      <c r="C1102" s="22" t="s">
        <v>1760</v>
      </c>
      <c r="D1102" s="23" t="s">
        <v>1761</v>
      </c>
      <c r="E1102" s="24" t="s">
        <v>102</v>
      </c>
      <c r="F1102" s="28" t="n">
        <f>124</f>
        <v>124.0</v>
      </c>
      <c r="G1102" s="25" t="n">
        <f>40543</f>
        <v>40543.0</v>
      </c>
      <c r="H1102" s="25"/>
      <c r="I1102" s="25" t="n">
        <f>40543</f>
        <v>40543.0</v>
      </c>
      <c r="J1102" s="25" t="n">
        <f>327</f>
        <v>327.0</v>
      </c>
      <c r="K1102" s="25" t="n">
        <f>327</f>
        <v>327.0</v>
      </c>
      <c r="L1102" s="2" t="s">
        <v>141</v>
      </c>
      <c r="M1102" s="26" t="n">
        <f>12826</f>
        <v>12826.0</v>
      </c>
      <c r="N1102" s="3" t="s">
        <v>633</v>
      </c>
      <c r="O1102" s="27" t="str">
        <f>"－"</f>
        <v>－</v>
      </c>
      <c r="P1102" s="29" t="s">
        <v>2127</v>
      </c>
      <c r="Q1102" s="25"/>
      <c r="R1102" s="29" t="s">
        <v>2127</v>
      </c>
      <c r="S1102" s="25" t="n">
        <f>148536985</f>
        <v>1.48536985E8</v>
      </c>
      <c r="T1102" s="25" t="n">
        <f>148536985</f>
        <v>1.48536985E8</v>
      </c>
      <c r="U1102" s="3" t="s">
        <v>141</v>
      </c>
      <c r="V1102" s="27" t="n">
        <f>4822166000</f>
        <v>4.822166E9</v>
      </c>
      <c r="W1102" s="3" t="s">
        <v>633</v>
      </c>
      <c r="X1102" s="27" t="str">
        <f>"－"</f>
        <v>－</v>
      </c>
      <c r="Y1102" s="27" t="n">
        <f>3242</f>
        <v>3242.0</v>
      </c>
      <c r="Z1102" s="25" t="n">
        <f>30574</f>
        <v>30574.0</v>
      </c>
      <c r="AA1102" s="25" t="n">
        <f>58603</f>
        <v>58603.0</v>
      </c>
      <c r="AB1102" s="2" t="s">
        <v>82</v>
      </c>
      <c r="AC1102" s="26" t="n">
        <f>67788</f>
        <v>67788.0</v>
      </c>
      <c r="AD1102" s="3" t="s">
        <v>216</v>
      </c>
      <c r="AE1102" s="27" t="n">
        <f>48362</f>
        <v>48362.0</v>
      </c>
    </row>
    <row r="1103">
      <c r="A1103" s="20" t="s">
        <v>1907</v>
      </c>
      <c r="B1103" s="21" t="s">
        <v>1908</v>
      </c>
      <c r="C1103" s="22" t="s">
        <v>1764</v>
      </c>
      <c r="D1103" s="23" t="s">
        <v>1765</v>
      </c>
      <c r="E1103" s="24" t="s">
        <v>102</v>
      </c>
      <c r="F1103" s="28" t="n">
        <f>124</f>
        <v>124.0</v>
      </c>
      <c r="G1103" s="25" t="n">
        <f>44950</f>
        <v>44950.0</v>
      </c>
      <c r="H1103" s="25"/>
      <c r="I1103" s="25" t="n">
        <f>44950</f>
        <v>44950.0</v>
      </c>
      <c r="J1103" s="25" t="n">
        <f>363</f>
        <v>363.0</v>
      </c>
      <c r="K1103" s="25" t="n">
        <f>363</f>
        <v>363.0</v>
      </c>
      <c r="L1103" s="2" t="s">
        <v>1136</v>
      </c>
      <c r="M1103" s="26" t="n">
        <f>4236</f>
        <v>4236.0</v>
      </c>
      <c r="N1103" s="3" t="s">
        <v>633</v>
      </c>
      <c r="O1103" s="27" t="str">
        <f>"－"</f>
        <v>－</v>
      </c>
      <c r="P1103" s="29" t="s">
        <v>2128</v>
      </c>
      <c r="Q1103" s="25"/>
      <c r="R1103" s="29" t="s">
        <v>2128</v>
      </c>
      <c r="S1103" s="25" t="n">
        <f>104555279</f>
        <v>1.04555279E8</v>
      </c>
      <c r="T1103" s="25" t="n">
        <f>104555279</f>
        <v>1.04555279E8</v>
      </c>
      <c r="U1103" s="3" t="s">
        <v>95</v>
      </c>
      <c r="V1103" s="27" t="n">
        <f>1973952000</f>
        <v>1.973952E9</v>
      </c>
      <c r="W1103" s="3" t="s">
        <v>633</v>
      </c>
      <c r="X1103" s="27" t="str">
        <f>"－"</f>
        <v>－</v>
      </c>
      <c r="Y1103" s="27" t="n">
        <f>1976</f>
        <v>1976.0</v>
      </c>
      <c r="Z1103" s="25" t="n">
        <f>23631</f>
        <v>23631.0</v>
      </c>
      <c r="AA1103" s="25" t="n">
        <f>10510</f>
        <v>10510.0</v>
      </c>
      <c r="AB1103" s="2" t="s">
        <v>1331</v>
      </c>
      <c r="AC1103" s="26" t="n">
        <f>23046</f>
        <v>23046.0</v>
      </c>
      <c r="AD1103" s="3" t="s">
        <v>744</v>
      </c>
      <c r="AE1103" s="27" t="n">
        <f>8176</f>
        <v>8176.0</v>
      </c>
    </row>
    <row r="1104">
      <c r="A1104" s="20" t="s">
        <v>1907</v>
      </c>
      <c r="B1104" s="21" t="s">
        <v>1908</v>
      </c>
      <c r="C1104" s="22" t="s">
        <v>1768</v>
      </c>
      <c r="D1104" s="23" t="s">
        <v>1769</v>
      </c>
      <c r="E1104" s="24" t="s">
        <v>102</v>
      </c>
      <c r="F1104" s="28" t="n">
        <f>124</f>
        <v>124.0</v>
      </c>
      <c r="G1104" s="25" t="n">
        <f>85493</f>
        <v>85493.0</v>
      </c>
      <c r="H1104" s="25"/>
      <c r="I1104" s="25" t="n">
        <f>85493</f>
        <v>85493.0</v>
      </c>
      <c r="J1104" s="25" t="n">
        <f>689</f>
        <v>689.0</v>
      </c>
      <c r="K1104" s="25" t="n">
        <f>689</f>
        <v>689.0</v>
      </c>
      <c r="L1104" s="2" t="s">
        <v>141</v>
      </c>
      <c r="M1104" s="26" t="n">
        <f>12826</f>
        <v>12826.0</v>
      </c>
      <c r="N1104" s="3" t="s">
        <v>633</v>
      </c>
      <c r="O1104" s="27" t="str">
        <f>"－"</f>
        <v>－</v>
      </c>
      <c r="P1104" s="29" t="s">
        <v>2129</v>
      </c>
      <c r="Q1104" s="25"/>
      <c r="R1104" s="29" t="s">
        <v>2129</v>
      </c>
      <c r="S1104" s="25" t="n">
        <f>253092264</f>
        <v>2.53092264E8</v>
      </c>
      <c r="T1104" s="25" t="n">
        <f>253092264</f>
        <v>2.53092264E8</v>
      </c>
      <c r="U1104" s="3" t="s">
        <v>141</v>
      </c>
      <c r="V1104" s="27" t="n">
        <f>4822166000</f>
        <v>4.822166E9</v>
      </c>
      <c r="W1104" s="3" t="s">
        <v>633</v>
      </c>
      <c r="X1104" s="27" t="str">
        <f>"－"</f>
        <v>－</v>
      </c>
      <c r="Y1104" s="27" t="n">
        <f>5218</f>
        <v>5218.0</v>
      </c>
      <c r="Z1104" s="25" t="n">
        <f>54205</f>
        <v>54205.0</v>
      </c>
      <c r="AA1104" s="25" t="n">
        <f>69113</f>
        <v>69113.0</v>
      </c>
      <c r="AB1104" s="2" t="s">
        <v>894</v>
      </c>
      <c r="AC1104" s="26" t="n">
        <f>87189</f>
        <v>87189.0</v>
      </c>
      <c r="AD1104" s="3" t="s">
        <v>216</v>
      </c>
      <c r="AE1104" s="27" t="n">
        <f>58079</f>
        <v>58079.0</v>
      </c>
    </row>
    <row r="1105">
      <c r="A1105" s="20" t="s">
        <v>1907</v>
      </c>
      <c r="B1105" s="21" t="s">
        <v>1908</v>
      </c>
      <c r="C1105" s="22" t="s">
        <v>1760</v>
      </c>
      <c r="D1105" s="23" t="s">
        <v>1761</v>
      </c>
      <c r="E1105" s="24" t="s">
        <v>107</v>
      </c>
      <c r="F1105" s="28" t="n">
        <f>117</f>
        <v>117.0</v>
      </c>
      <c r="G1105" s="25" t="n">
        <f>86288</f>
        <v>86288.0</v>
      </c>
      <c r="H1105" s="25"/>
      <c r="I1105" s="25" t="n">
        <f>86288</f>
        <v>86288.0</v>
      </c>
      <c r="J1105" s="25" t="n">
        <f>738</f>
        <v>738.0</v>
      </c>
      <c r="K1105" s="25" t="n">
        <f>738</f>
        <v>738.0</v>
      </c>
      <c r="L1105" s="2" t="s">
        <v>70</v>
      </c>
      <c r="M1105" s="26" t="n">
        <f>20163</f>
        <v>20163.0</v>
      </c>
      <c r="N1105" s="3" t="s">
        <v>369</v>
      </c>
      <c r="O1105" s="27" t="str">
        <f>"－"</f>
        <v>－</v>
      </c>
      <c r="P1105" s="29" t="s">
        <v>2130</v>
      </c>
      <c r="Q1105" s="25"/>
      <c r="R1105" s="29" t="s">
        <v>2130</v>
      </c>
      <c r="S1105" s="25" t="n">
        <f>275298558</f>
        <v>2.75298558E8</v>
      </c>
      <c r="T1105" s="25" t="n">
        <f>275298558</f>
        <v>2.75298558E8</v>
      </c>
      <c r="U1105" s="3" t="s">
        <v>70</v>
      </c>
      <c r="V1105" s="27" t="n">
        <f>7329519037</f>
        <v>7.329519037E9</v>
      </c>
      <c r="W1105" s="3" t="s">
        <v>369</v>
      </c>
      <c r="X1105" s="27" t="str">
        <f>"－"</f>
        <v>－</v>
      </c>
      <c r="Y1105" s="27" t="n">
        <f>4780</f>
        <v>4780.0</v>
      </c>
      <c r="Z1105" s="25" t="n">
        <f>43924</f>
        <v>43924.0</v>
      </c>
      <c r="AA1105" s="25" t="n">
        <f>84692</f>
        <v>84692.0</v>
      </c>
      <c r="AB1105" s="2" t="s">
        <v>307</v>
      </c>
      <c r="AC1105" s="26" t="n">
        <f>88604</f>
        <v>88604.0</v>
      </c>
      <c r="AD1105" s="3" t="s">
        <v>156</v>
      </c>
      <c r="AE1105" s="27" t="n">
        <f>58728</f>
        <v>58728.0</v>
      </c>
    </row>
    <row r="1106">
      <c r="A1106" s="20" t="s">
        <v>1907</v>
      </c>
      <c r="B1106" s="21" t="s">
        <v>1908</v>
      </c>
      <c r="C1106" s="22" t="s">
        <v>1764</v>
      </c>
      <c r="D1106" s="23" t="s">
        <v>1765</v>
      </c>
      <c r="E1106" s="24" t="s">
        <v>107</v>
      </c>
      <c r="F1106" s="28" t="n">
        <f>117</f>
        <v>117.0</v>
      </c>
      <c r="G1106" s="25" t="n">
        <f>30979</f>
        <v>30979.0</v>
      </c>
      <c r="H1106" s="25"/>
      <c r="I1106" s="25" t="n">
        <f>30979</f>
        <v>30979.0</v>
      </c>
      <c r="J1106" s="25" t="n">
        <f>265</f>
        <v>265.0</v>
      </c>
      <c r="K1106" s="25" t="n">
        <f>265</f>
        <v>265.0</v>
      </c>
      <c r="L1106" s="2" t="s">
        <v>249</v>
      </c>
      <c r="M1106" s="26" t="n">
        <f>2618</f>
        <v>2618.0</v>
      </c>
      <c r="N1106" s="3" t="s">
        <v>369</v>
      </c>
      <c r="O1106" s="27" t="str">
        <f>"－"</f>
        <v>－</v>
      </c>
      <c r="P1106" s="29" t="s">
        <v>2131</v>
      </c>
      <c r="Q1106" s="25"/>
      <c r="R1106" s="29" t="s">
        <v>2131</v>
      </c>
      <c r="S1106" s="25" t="n">
        <f>113154112</f>
        <v>1.13154112E8</v>
      </c>
      <c r="T1106" s="25" t="n">
        <f>113154112</f>
        <v>1.13154112E8</v>
      </c>
      <c r="U1106" s="3" t="s">
        <v>101</v>
      </c>
      <c r="V1106" s="27" t="n">
        <f>2338740000</f>
        <v>2.33874E9</v>
      </c>
      <c r="W1106" s="3" t="s">
        <v>369</v>
      </c>
      <c r="X1106" s="27" t="str">
        <f>"－"</f>
        <v>－</v>
      </c>
      <c r="Y1106" s="27" t="n">
        <f>1785</f>
        <v>1785.0</v>
      </c>
      <c r="Z1106" s="25" t="n">
        <f>13953</f>
        <v>13953.0</v>
      </c>
      <c r="AA1106" s="25" t="n">
        <f>14539</f>
        <v>14539.0</v>
      </c>
      <c r="AB1106" s="2" t="s">
        <v>546</v>
      </c>
      <c r="AC1106" s="26" t="n">
        <f>16846</f>
        <v>16846.0</v>
      </c>
      <c r="AD1106" s="3" t="s">
        <v>265</v>
      </c>
      <c r="AE1106" s="27" t="n">
        <f>9796</f>
        <v>9796.0</v>
      </c>
    </row>
    <row r="1107">
      <c r="A1107" s="20" t="s">
        <v>1907</v>
      </c>
      <c r="B1107" s="21" t="s">
        <v>1908</v>
      </c>
      <c r="C1107" s="22" t="s">
        <v>1768</v>
      </c>
      <c r="D1107" s="23" t="s">
        <v>1769</v>
      </c>
      <c r="E1107" s="24" t="s">
        <v>107</v>
      </c>
      <c r="F1107" s="28" t="n">
        <f>117</f>
        <v>117.0</v>
      </c>
      <c r="G1107" s="25" t="n">
        <f>117267</f>
        <v>117267.0</v>
      </c>
      <c r="H1107" s="25"/>
      <c r="I1107" s="25" t="n">
        <f>117267</f>
        <v>117267.0</v>
      </c>
      <c r="J1107" s="25" t="n">
        <f>1002</f>
        <v>1002.0</v>
      </c>
      <c r="K1107" s="25" t="n">
        <f>1002</f>
        <v>1002.0</v>
      </c>
      <c r="L1107" s="2" t="s">
        <v>70</v>
      </c>
      <c r="M1107" s="26" t="n">
        <f>20163</f>
        <v>20163.0</v>
      </c>
      <c r="N1107" s="3" t="s">
        <v>369</v>
      </c>
      <c r="O1107" s="27" t="str">
        <f>"－"</f>
        <v>－</v>
      </c>
      <c r="P1107" s="29" t="s">
        <v>2132</v>
      </c>
      <c r="Q1107" s="25"/>
      <c r="R1107" s="29" t="s">
        <v>2132</v>
      </c>
      <c r="S1107" s="25" t="n">
        <f>388452670</f>
        <v>3.8845267E8</v>
      </c>
      <c r="T1107" s="25" t="n">
        <f>388452670</f>
        <v>3.8845267E8</v>
      </c>
      <c r="U1107" s="3" t="s">
        <v>70</v>
      </c>
      <c r="V1107" s="27" t="n">
        <f>7329519037</f>
        <v>7.329519037E9</v>
      </c>
      <c r="W1107" s="3" t="s">
        <v>369</v>
      </c>
      <c r="X1107" s="27" t="str">
        <f>"－"</f>
        <v>－</v>
      </c>
      <c r="Y1107" s="27" t="n">
        <f>6565</f>
        <v>6565.0</v>
      </c>
      <c r="Z1107" s="25" t="n">
        <f>57877</f>
        <v>57877.0</v>
      </c>
      <c r="AA1107" s="25" t="n">
        <f>99231</f>
        <v>99231.0</v>
      </c>
      <c r="AB1107" s="2" t="s">
        <v>307</v>
      </c>
      <c r="AC1107" s="26" t="n">
        <f>104851</f>
        <v>104851.0</v>
      </c>
      <c r="AD1107" s="3" t="s">
        <v>265</v>
      </c>
      <c r="AE1107" s="27" t="n">
        <f>68590</f>
        <v>68590.0</v>
      </c>
    </row>
    <row r="1108">
      <c r="A1108" s="20" t="s">
        <v>1907</v>
      </c>
      <c r="B1108" s="21" t="s">
        <v>1908</v>
      </c>
      <c r="C1108" s="22" t="s">
        <v>1760</v>
      </c>
      <c r="D1108" s="23" t="s">
        <v>1761</v>
      </c>
      <c r="E1108" s="24" t="s">
        <v>113</v>
      </c>
      <c r="F1108" s="28" t="n">
        <f>124</f>
        <v>124.0</v>
      </c>
      <c r="G1108" s="25" t="n">
        <f>79403</f>
        <v>79403.0</v>
      </c>
      <c r="H1108" s="25"/>
      <c r="I1108" s="25" t="n">
        <f>79202</f>
        <v>79202.0</v>
      </c>
      <c r="J1108" s="25" t="n">
        <f>640</f>
        <v>640.0</v>
      </c>
      <c r="K1108" s="25" t="n">
        <f>639</f>
        <v>639.0</v>
      </c>
      <c r="L1108" s="2" t="s">
        <v>95</v>
      </c>
      <c r="M1108" s="26" t="n">
        <f>21464</f>
        <v>21464.0</v>
      </c>
      <c r="N1108" s="3" t="s">
        <v>215</v>
      </c>
      <c r="O1108" s="27" t="str">
        <f>"－"</f>
        <v>－</v>
      </c>
      <c r="P1108" s="29" t="s">
        <v>2133</v>
      </c>
      <c r="Q1108" s="25"/>
      <c r="R1108" s="29" t="s">
        <v>2134</v>
      </c>
      <c r="S1108" s="25" t="n">
        <f>156564362</f>
        <v>1.56564362E8</v>
      </c>
      <c r="T1108" s="25" t="n">
        <f>156362063</f>
        <v>1.56362063E8</v>
      </c>
      <c r="U1108" s="3" t="s">
        <v>95</v>
      </c>
      <c r="V1108" s="27" t="n">
        <f>6099314700</f>
        <v>6.0993147E9</v>
      </c>
      <c r="W1108" s="3" t="s">
        <v>215</v>
      </c>
      <c r="X1108" s="27" t="str">
        <f>"－"</f>
        <v>－</v>
      </c>
      <c r="Y1108" s="27" t="n">
        <f>685</f>
        <v>685.0</v>
      </c>
      <c r="Z1108" s="25" t="n">
        <f>36643</f>
        <v>36643.0</v>
      </c>
      <c r="AA1108" s="25" t="n">
        <f>79851</f>
        <v>79851.0</v>
      </c>
      <c r="AB1108" s="2" t="s">
        <v>473</v>
      </c>
      <c r="AC1108" s="26" t="n">
        <f>107485</f>
        <v>107485.0</v>
      </c>
      <c r="AD1108" s="3" t="s">
        <v>117</v>
      </c>
      <c r="AE1108" s="27" t="n">
        <f>79377</f>
        <v>79377.0</v>
      </c>
    </row>
    <row r="1109">
      <c r="A1109" s="20" t="s">
        <v>1907</v>
      </c>
      <c r="B1109" s="21" t="s">
        <v>1908</v>
      </c>
      <c r="C1109" s="22" t="s">
        <v>1764</v>
      </c>
      <c r="D1109" s="23" t="s">
        <v>1765</v>
      </c>
      <c r="E1109" s="24" t="s">
        <v>113</v>
      </c>
      <c r="F1109" s="28" t="n">
        <f>124</f>
        <v>124.0</v>
      </c>
      <c r="G1109" s="25" t="n">
        <f>41649</f>
        <v>41649.0</v>
      </c>
      <c r="H1109" s="25"/>
      <c r="I1109" s="25" t="n">
        <f>41649</f>
        <v>41649.0</v>
      </c>
      <c r="J1109" s="25" t="n">
        <f>336</f>
        <v>336.0</v>
      </c>
      <c r="K1109" s="25" t="n">
        <f>336</f>
        <v>336.0</v>
      </c>
      <c r="L1109" s="2" t="s">
        <v>95</v>
      </c>
      <c r="M1109" s="26" t="n">
        <f>4091</f>
        <v>4091.0</v>
      </c>
      <c r="N1109" s="3" t="s">
        <v>68</v>
      </c>
      <c r="O1109" s="27" t="str">
        <f>"－"</f>
        <v>－</v>
      </c>
      <c r="P1109" s="29" t="s">
        <v>2135</v>
      </c>
      <c r="Q1109" s="25"/>
      <c r="R1109" s="29" t="s">
        <v>2135</v>
      </c>
      <c r="S1109" s="25" t="n">
        <f>105168683</f>
        <v>1.05168683E8</v>
      </c>
      <c r="T1109" s="25" t="n">
        <f>105168683</f>
        <v>1.05168683E8</v>
      </c>
      <c r="U1109" s="3" t="s">
        <v>49</v>
      </c>
      <c r="V1109" s="27" t="n">
        <f>3157514900</f>
        <v>3.1575149E9</v>
      </c>
      <c r="W1109" s="3" t="s">
        <v>68</v>
      </c>
      <c r="X1109" s="27" t="str">
        <f>"－"</f>
        <v>－</v>
      </c>
      <c r="Y1109" s="27" t="n">
        <f>14770</f>
        <v>14770.0</v>
      </c>
      <c r="Z1109" s="25" t="n">
        <f>18004</f>
        <v>18004.0</v>
      </c>
      <c r="AA1109" s="25" t="n">
        <f>20025</f>
        <v>20025.0</v>
      </c>
      <c r="AB1109" s="2" t="s">
        <v>53</v>
      </c>
      <c r="AC1109" s="26" t="n">
        <f>25280</f>
        <v>25280.0</v>
      </c>
      <c r="AD1109" s="3" t="s">
        <v>68</v>
      </c>
      <c r="AE1109" s="27" t="n">
        <f>14539</f>
        <v>14539.0</v>
      </c>
    </row>
    <row r="1110">
      <c r="A1110" s="20" t="s">
        <v>1907</v>
      </c>
      <c r="B1110" s="21" t="s">
        <v>1908</v>
      </c>
      <c r="C1110" s="22" t="s">
        <v>1768</v>
      </c>
      <c r="D1110" s="23" t="s">
        <v>1769</v>
      </c>
      <c r="E1110" s="24" t="s">
        <v>113</v>
      </c>
      <c r="F1110" s="28" t="n">
        <f>124</f>
        <v>124.0</v>
      </c>
      <c r="G1110" s="25" t="n">
        <f>121052</f>
        <v>121052.0</v>
      </c>
      <c r="H1110" s="25"/>
      <c r="I1110" s="25" t="n">
        <f>120851</f>
        <v>120851.0</v>
      </c>
      <c r="J1110" s="25" t="n">
        <f>976</f>
        <v>976.0</v>
      </c>
      <c r="K1110" s="25" t="n">
        <f>975</f>
        <v>975.0</v>
      </c>
      <c r="L1110" s="2" t="s">
        <v>95</v>
      </c>
      <c r="M1110" s="26" t="n">
        <f>25555</f>
        <v>25555.0</v>
      </c>
      <c r="N1110" s="3" t="s">
        <v>215</v>
      </c>
      <c r="O1110" s="27" t="str">
        <f>"－"</f>
        <v>－</v>
      </c>
      <c r="P1110" s="29" t="s">
        <v>2136</v>
      </c>
      <c r="Q1110" s="25"/>
      <c r="R1110" s="29" t="s">
        <v>2137</v>
      </c>
      <c r="S1110" s="25" t="n">
        <f>261733044</f>
        <v>2.61733044E8</v>
      </c>
      <c r="T1110" s="25" t="n">
        <f>261530746</f>
        <v>2.61530746E8</v>
      </c>
      <c r="U1110" s="3" t="s">
        <v>95</v>
      </c>
      <c r="V1110" s="27" t="n">
        <f>7336493100</f>
        <v>7.3364931E9</v>
      </c>
      <c r="W1110" s="3" t="s">
        <v>215</v>
      </c>
      <c r="X1110" s="27" t="str">
        <f>"－"</f>
        <v>－</v>
      </c>
      <c r="Y1110" s="27" t="n">
        <f>15455</f>
        <v>15455.0</v>
      </c>
      <c r="Z1110" s="25" t="n">
        <f>54647</f>
        <v>54647.0</v>
      </c>
      <c r="AA1110" s="25" t="n">
        <f>99876</f>
        <v>99876.0</v>
      </c>
      <c r="AB1110" s="2" t="s">
        <v>473</v>
      </c>
      <c r="AC1110" s="26" t="n">
        <f>129811</f>
        <v>129811.0</v>
      </c>
      <c r="AD1110" s="3" t="s">
        <v>117</v>
      </c>
      <c r="AE1110" s="27" t="n">
        <f>98717</f>
        <v>98717.0</v>
      </c>
    </row>
    <row r="1111">
      <c r="A1111" s="20" t="s">
        <v>1907</v>
      </c>
      <c r="B1111" s="21" t="s">
        <v>1908</v>
      </c>
      <c r="C1111" s="22" t="s">
        <v>1760</v>
      </c>
      <c r="D1111" s="23" t="s">
        <v>1761</v>
      </c>
      <c r="E1111" s="24" t="s">
        <v>119</v>
      </c>
      <c r="F1111" s="28" t="n">
        <f>119</f>
        <v>119.0</v>
      </c>
      <c r="G1111" s="25" t="n">
        <f>155557</f>
        <v>155557.0</v>
      </c>
      <c r="H1111" s="25"/>
      <c r="I1111" s="25" t="n">
        <f>155557</f>
        <v>155557.0</v>
      </c>
      <c r="J1111" s="25" t="n">
        <f>1307</f>
        <v>1307.0</v>
      </c>
      <c r="K1111" s="25" t="n">
        <f>1307</f>
        <v>1307.0</v>
      </c>
      <c r="L1111" s="2" t="s">
        <v>209</v>
      </c>
      <c r="M1111" s="26" t="n">
        <f>41916</f>
        <v>41916.0</v>
      </c>
      <c r="N1111" s="3" t="s">
        <v>328</v>
      </c>
      <c r="O1111" s="27" t="str">
        <f>"－"</f>
        <v>－</v>
      </c>
      <c r="P1111" s="29" t="s">
        <v>2138</v>
      </c>
      <c r="Q1111" s="25"/>
      <c r="R1111" s="29" t="s">
        <v>2138</v>
      </c>
      <c r="S1111" s="25" t="n">
        <f>538624038</f>
        <v>5.38624038E8</v>
      </c>
      <c r="T1111" s="25" t="n">
        <f>538624038</f>
        <v>5.38624038E8</v>
      </c>
      <c r="U1111" s="3" t="s">
        <v>209</v>
      </c>
      <c r="V1111" s="27" t="n">
        <f>17145539132</f>
        <v>1.7145539132E10</v>
      </c>
      <c r="W1111" s="3" t="s">
        <v>328</v>
      </c>
      <c r="X1111" s="27" t="str">
        <f>"－"</f>
        <v>－</v>
      </c>
      <c r="Y1111" s="27" t="n">
        <f>8461</f>
        <v>8461.0</v>
      </c>
      <c r="Z1111" s="25" t="n">
        <f>114245</f>
        <v>114245.0</v>
      </c>
      <c r="AA1111" s="25" t="n">
        <f>92126</f>
        <v>92126.0</v>
      </c>
      <c r="AB1111" s="2" t="s">
        <v>111</v>
      </c>
      <c r="AC1111" s="26" t="n">
        <f>135363</f>
        <v>135363.0</v>
      </c>
      <c r="AD1111" s="3" t="s">
        <v>328</v>
      </c>
      <c r="AE1111" s="27" t="n">
        <f>79851</f>
        <v>79851.0</v>
      </c>
    </row>
    <row r="1112">
      <c r="A1112" s="20" t="s">
        <v>1907</v>
      </c>
      <c r="B1112" s="21" t="s">
        <v>1908</v>
      </c>
      <c r="C1112" s="22" t="s">
        <v>1764</v>
      </c>
      <c r="D1112" s="23" t="s">
        <v>1765</v>
      </c>
      <c r="E1112" s="24" t="s">
        <v>119</v>
      </c>
      <c r="F1112" s="28" t="n">
        <f>119</f>
        <v>119.0</v>
      </c>
      <c r="G1112" s="25" t="n">
        <f>23245</f>
        <v>23245.0</v>
      </c>
      <c r="H1112" s="25"/>
      <c r="I1112" s="25" t="n">
        <f>23245</f>
        <v>23245.0</v>
      </c>
      <c r="J1112" s="25" t="n">
        <f>195</f>
        <v>195.0</v>
      </c>
      <c r="K1112" s="25" t="n">
        <f>195</f>
        <v>195.0</v>
      </c>
      <c r="L1112" s="2" t="s">
        <v>111</v>
      </c>
      <c r="M1112" s="26" t="n">
        <f>3664</f>
        <v>3664.0</v>
      </c>
      <c r="N1112" s="3" t="s">
        <v>328</v>
      </c>
      <c r="O1112" s="27" t="str">
        <f>"－"</f>
        <v>－</v>
      </c>
      <c r="P1112" s="29" t="s">
        <v>2139</v>
      </c>
      <c r="Q1112" s="25"/>
      <c r="R1112" s="29" t="s">
        <v>2139</v>
      </c>
      <c r="S1112" s="25" t="n">
        <f>122094295</f>
        <v>1.22094295E8</v>
      </c>
      <c r="T1112" s="25" t="n">
        <f>122094295</f>
        <v>1.22094295E8</v>
      </c>
      <c r="U1112" s="3" t="s">
        <v>88</v>
      </c>
      <c r="V1112" s="27" t="n">
        <f>3456146000</f>
        <v>3.456146E9</v>
      </c>
      <c r="W1112" s="3" t="s">
        <v>328</v>
      </c>
      <c r="X1112" s="27" t="str">
        <f>"－"</f>
        <v>－</v>
      </c>
      <c r="Y1112" s="27" t="n">
        <f>7380</f>
        <v>7380.0</v>
      </c>
      <c r="Z1112" s="25" t="n">
        <f>11587</f>
        <v>11587.0</v>
      </c>
      <c r="AA1112" s="25" t="n">
        <f>14499</f>
        <v>14499.0</v>
      </c>
      <c r="AB1112" s="2" t="s">
        <v>134</v>
      </c>
      <c r="AC1112" s="26" t="n">
        <f>23994</f>
        <v>23994.0</v>
      </c>
      <c r="AD1112" s="3" t="s">
        <v>189</v>
      </c>
      <c r="AE1112" s="27" t="n">
        <f>13809</f>
        <v>13809.0</v>
      </c>
    </row>
    <row r="1113">
      <c r="A1113" s="20" t="s">
        <v>1907</v>
      </c>
      <c r="B1113" s="21" t="s">
        <v>1908</v>
      </c>
      <c r="C1113" s="22" t="s">
        <v>1768</v>
      </c>
      <c r="D1113" s="23" t="s">
        <v>1769</v>
      </c>
      <c r="E1113" s="24" t="s">
        <v>119</v>
      </c>
      <c r="F1113" s="28" t="n">
        <f>119</f>
        <v>119.0</v>
      </c>
      <c r="G1113" s="25" t="n">
        <f>178802</f>
        <v>178802.0</v>
      </c>
      <c r="H1113" s="25"/>
      <c r="I1113" s="25" t="n">
        <f>178802</f>
        <v>178802.0</v>
      </c>
      <c r="J1113" s="25" t="n">
        <f>1503</f>
        <v>1503.0</v>
      </c>
      <c r="K1113" s="25" t="n">
        <f>1503</f>
        <v>1503.0</v>
      </c>
      <c r="L1113" s="2" t="s">
        <v>209</v>
      </c>
      <c r="M1113" s="26" t="n">
        <f>41916</f>
        <v>41916.0</v>
      </c>
      <c r="N1113" s="3" t="s">
        <v>328</v>
      </c>
      <c r="O1113" s="27" t="str">
        <f>"－"</f>
        <v>－</v>
      </c>
      <c r="P1113" s="29" t="s">
        <v>2140</v>
      </c>
      <c r="Q1113" s="25"/>
      <c r="R1113" s="29" t="s">
        <v>2140</v>
      </c>
      <c r="S1113" s="25" t="n">
        <f>660718332</f>
        <v>6.60718332E8</v>
      </c>
      <c r="T1113" s="25" t="n">
        <f>660718332</f>
        <v>6.60718332E8</v>
      </c>
      <c r="U1113" s="3" t="s">
        <v>209</v>
      </c>
      <c r="V1113" s="27" t="n">
        <f>17145539132</f>
        <v>1.7145539132E10</v>
      </c>
      <c r="W1113" s="3" t="s">
        <v>328</v>
      </c>
      <c r="X1113" s="27" t="str">
        <f>"－"</f>
        <v>－</v>
      </c>
      <c r="Y1113" s="27" t="n">
        <f>15841</f>
        <v>15841.0</v>
      </c>
      <c r="Z1113" s="25" t="n">
        <f>125832</f>
        <v>125832.0</v>
      </c>
      <c r="AA1113" s="25" t="n">
        <f>106625</f>
        <v>106625.0</v>
      </c>
      <c r="AB1113" s="2" t="s">
        <v>56</v>
      </c>
      <c r="AC1113" s="26" t="n">
        <f>157632</f>
        <v>157632.0</v>
      </c>
      <c r="AD1113" s="3" t="s">
        <v>706</v>
      </c>
      <c r="AE1113" s="27" t="n">
        <f>99064</f>
        <v>99064.0</v>
      </c>
    </row>
    <row r="1114">
      <c r="A1114" s="20" t="s">
        <v>1907</v>
      </c>
      <c r="B1114" s="21" t="s">
        <v>1908</v>
      </c>
      <c r="C1114" s="22" t="s">
        <v>1760</v>
      </c>
      <c r="D1114" s="23" t="s">
        <v>1761</v>
      </c>
      <c r="E1114" s="24" t="s">
        <v>124</v>
      </c>
      <c r="F1114" s="28" t="n">
        <f>124</f>
        <v>124.0</v>
      </c>
      <c r="G1114" s="25" t="n">
        <f>97967</f>
        <v>97967.0</v>
      </c>
      <c r="H1114" s="25"/>
      <c r="I1114" s="25" t="n">
        <f>97967</f>
        <v>97967.0</v>
      </c>
      <c r="J1114" s="25" t="n">
        <f>790</f>
        <v>790.0</v>
      </c>
      <c r="K1114" s="25" t="n">
        <f>790</f>
        <v>790.0</v>
      </c>
      <c r="L1114" s="2" t="s">
        <v>128</v>
      </c>
      <c r="M1114" s="26" t="n">
        <f>9463</f>
        <v>9463.0</v>
      </c>
      <c r="N1114" s="3" t="s">
        <v>633</v>
      </c>
      <c r="O1114" s="27" t="str">
        <f>"－"</f>
        <v>－</v>
      </c>
      <c r="P1114" s="29" t="s">
        <v>2141</v>
      </c>
      <c r="Q1114" s="25"/>
      <c r="R1114" s="29" t="s">
        <v>2141</v>
      </c>
      <c r="S1114" s="25" t="n">
        <f>202312315</f>
        <v>2.02312315E8</v>
      </c>
      <c r="T1114" s="25" t="n">
        <f>202312315</f>
        <v>2.02312315E8</v>
      </c>
      <c r="U1114" s="3" t="s">
        <v>295</v>
      </c>
      <c r="V1114" s="27" t="n">
        <f>3185927160</f>
        <v>3.18592716E9</v>
      </c>
      <c r="W1114" s="3" t="s">
        <v>633</v>
      </c>
      <c r="X1114" s="27" t="str">
        <f>"－"</f>
        <v>－</v>
      </c>
      <c r="Y1114" s="27" t="n">
        <f>900</f>
        <v>900.0</v>
      </c>
      <c r="Z1114" s="25" t="n">
        <f>48201</f>
        <v>48201.0</v>
      </c>
      <c r="AA1114" s="25" t="n">
        <f>64151</f>
        <v>64151.0</v>
      </c>
      <c r="AB1114" s="2" t="s">
        <v>295</v>
      </c>
      <c r="AC1114" s="26" t="n">
        <f>107652</f>
        <v>107652.0</v>
      </c>
      <c r="AD1114" s="3" t="s">
        <v>67</v>
      </c>
      <c r="AE1114" s="27" t="n">
        <f>61927</f>
        <v>61927.0</v>
      </c>
    </row>
    <row r="1115">
      <c r="A1115" s="20" t="s">
        <v>1907</v>
      </c>
      <c r="B1115" s="21" t="s">
        <v>1908</v>
      </c>
      <c r="C1115" s="22" t="s">
        <v>1764</v>
      </c>
      <c r="D1115" s="23" t="s">
        <v>1765</v>
      </c>
      <c r="E1115" s="24" t="s">
        <v>124</v>
      </c>
      <c r="F1115" s="28" t="n">
        <f>124</f>
        <v>124.0</v>
      </c>
      <c r="G1115" s="25" t="n">
        <f>30209</f>
        <v>30209.0</v>
      </c>
      <c r="H1115" s="25"/>
      <c r="I1115" s="25" t="n">
        <f>30209</f>
        <v>30209.0</v>
      </c>
      <c r="J1115" s="25" t="n">
        <f>244</f>
        <v>244.0</v>
      </c>
      <c r="K1115" s="25" t="n">
        <f>244</f>
        <v>244.0</v>
      </c>
      <c r="L1115" s="2" t="s">
        <v>335</v>
      </c>
      <c r="M1115" s="26" t="n">
        <f>2678</f>
        <v>2678.0</v>
      </c>
      <c r="N1115" s="3" t="s">
        <v>215</v>
      </c>
      <c r="O1115" s="27" t="str">
        <f>"－"</f>
        <v>－</v>
      </c>
      <c r="P1115" s="29" t="s">
        <v>2142</v>
      </c>
      <c r="Q1115" s="25"/>
      <c r="R1115" s="29" t="s">
        <v>2142</v>
      </c>
      <c r="S1115" s="25" t="n">
        <f>121943208</f>
        <v>1.21943208E8</v>
      </c>
      <c r="T1115" s="25" t="n">
        <f>121943208</f>
        <v>1.21943208E8</v>
      </c>
      <c r="U1115" s="3" t="s">
        <v>388</v>
      </c>
      <c r="V1115" s="27" t="n">
        <f>3546746378</f>
        <v>3.546746378E9</v>
      </c>
      <c r="W1115" s="3" t="s">
        <v>215</v>
      </c>
      <c r="X1115" s="27" t="str">
        <f>"－"</f>
        <v>－</v>
      </c>
      <c r="Y1115" s="27" t="n">
        <f>8930</f>
        <v>8930.0</v>
      </c>
      <c r="Z1115" s="25" t="n">
        <f>14897</f>
        <v>14897.0</v>
      </c>
      <c r="AA1115" s="25" t="n">
        <f>14438</f>
        <v>14438.0</v>
      </c>
      <c r="AB1115" s="2" t="s">
        <v>49</v>
      </c>
      <c r="AC1115" s="26" t="n">
        <f>21121</f>
        <v>21121.0</v>
      </c>
      <c r="AD1115" s="3" t="s">
        <v>95</v>
      </c>
      <c r="AE1115" s="27" t="n">
        <f>14229</f>
        <v>14229.0</v>
      </c>
    </row>
    <row r="1116">
      <c r="A1116" s="20" t="s">
        <v>1907</v>
      </c>
      <c r="B1116" s="21" t="s">
        <v>1908</v>
      </c>
      <c r="C1116" s="22" t="s">
        <v>1768</v>
      </c>
      <c r="D1116" s="23" t="s">
        <v>1769</v>
      </c>
      <c r="E1116" s="24" t="s">
        <v>124</v>
      </c>
      <c r="F1116" s="28" t="n">
        <f>124</f>
        <v>124.0</v>
      </c>
      <c r="G1116" s="25" t="n">
        <f>128176</f>
        <v>128176.0</v>
      </c>
      <c r="H1116" s="25"/>
      <c r="I1116" s="25" t="n">
        <f>128176</f>
        <v>128176.0</v>
      </c>
      <c r="J1116" s="25" t="n">
        <f>1034</f>
        <v>1034.0</v>
      </c>
      <c r="K1116" s="25" t="n">
        <f>1034</f>
        <v>1034.0</v>
      </c>
      <c r="L1116" s="2" t="s">
        <v>128</v>
      </c>
      <c r="M1116" s="26" t="n">
        <f>10236</f>
        <v>10236.0</v>
      </c>
      <c r="N1116" s="3" t="s">
        <v>633</v>
      </c>
      <c r="O1116" s="27" t="str">
        <f>"－"</f>
        <v>－</v>
      </c>
      <c r="P1116" s="29" t="s">
        <v>2143</v>
      </c>
      <c r="Q1116" s="25"/>
      <c r="R1116" s="29" t="s">
        <v>2143</v>
      </c>
      <c r="S1116" s="25" t="n">
        <f>324255523</f>
        <v>3.24255523E8</v>
      </c>
      <c r="T1116" s="25" t="n">
        <f>324255523</f>
        <v>3.24255523E8</v>
      </c>
      <c r="U1116" s="3" t="s">
        <v>128</v>
      </c>
      <c r="V1116" s="27" t="n">
        <f>5927194400</f>
        <v>5.9271944E9</v>
      </c>
      <c r="W1116" s="3" t="s">
        <v>633</v>
      </c>
      <c r="X1116" s="27" t="str">
        <f>"－"</f>
        <v>－</v>
      </c>
      <c r="Y1116" s="27" t="n">
        <f>9830</f>
        <v>9830.0</v>
      </c>
      <c r="Z1116" s="25" t="n">
        <f>63098</f>
        <v>63098.0</v>
      </c>
      <c r="AA1116" s="25" t="n">
        <f>78589</f>
        <v>78589.0</v>
      </c>
      <c r="AB1116" s="2" t="s">
        <v>295</v>
      </c>
      <c r="AC1116" s="26" t="n">
        <f>125763</f>
        <v>125763.0</v>
      </c>
      <c r="AD1116" s="3" t="s">
        <v>67</v>
      </c>
      <c r="AE1116" s="27" t="n">
        <f>76265</f>
        <v>76265.0</v>
      </c>
    </row>
    <row r="1117">
      <c r="A1117" s="20" t="s">
        <v>1907</v>
      </c>
      <c r="B1117" s="21" t="s">
        <v>1908</v>
      </c>
      <c r="C1117" s="22" t="s">
        <v>1760</v>
      </c>
      <c r="D1117" s="23" t="s">
        <v>1761</v>
      </c>
      <c r="E1117" s="24" t="s">
        <v>130</v>
      </c>
      <c r="F1117" s="28" t="n">
        <f>121</f>
        <v>121.0</v>
      </c>
      <c r="G1117" s="25" t="n">
        <f>131684</f>
        <v>131684.0</v>
      </c>
      <c r="H1117" s="25"/>
      <c r="I1117" s="25" t="n">
        <f>131684</f>
        <v>131684.0</v>
      </c>
      <c r="J1117" s="25" t="n">
        <f>1088</f>
        <v>1088.0</v>
      </c>
      <c r="K1117" s="25" t="n">
        <f>1088</f>
        <v>1088.0</v>
      </c>
      <c r="L1117" s="2" t="s">
        <v>737</v>
      </c>
      <c r="M1117" s="26" t="n">
        <f>10903</f>
        <v>10903.0</v>
      </c>
      <c r="N1117" s="3" t="s">
        <v>188</v>
      </c>
      <c r="O1117" s="27" t="str">
        <f>"－"</f>
        <v>－</v>
      </c>
      <c r="P1117" s="29" t="s">
        <v>2144</v>
      </c>
      <c r="Q1117" s="25"/>
      <c r="R1117" s="29" t="s">
        <v>2144</v>
      </c>
      <c r="S1117" s="25" t="n">
        <f>331945870</f>
        <v>3.3194587E8</v>
      </c>
      <c r="T1117" s="25" t="n">
        <f>331945870</f>
        <v>3.3194587E8</v>
      </c>
      <c r="U1117" s="3" t="s">
        <v>419</v>
      </c>
      <c r="V1117" s="27" t="n">
        <f>4173490497</f>
        <v>4.173490497E9</v>
      </c>
      <c r="W1117" s="3" t="s">
        <v>188</v>
      </c>
      <c r="X1117" s="27" t="str">
        <f>"－"</f>
        <v>－</v>
      </c>
      <c r="Y1117" s="27" t="n">
        <f>352</f>
        <v>352.0</v>
      </c>
      <c r="Z1117" s="25" t="n">
        <f>90555</f>
        <v>90555.0</v>
      </c>
      <c r="AA1117" s="25" t="n">
        <f>89632</f>
        <v>89632.0</v>
      </c>
      <c r="AB1117" s="2" t="s">
        <v>307</v>
      </c>
      <c r="AC1117" s="26" t="n">
        <f>91654</f>
        <v>91654.0</v>
      </c>
      <c r="AD1117" s="3" t="s">
        <v>565</v>
      </c>
      <c r="AE1117" s="27" t="n">
        <f>63207</f>
        <v>63207.0</v>
      </c>
    </row>
    <row r="1118">
      <c r="A1118" s="20" t="s">
        <v>1907</v>
      </c>
      <c r="B1118" s="21" t="s">
        <v>1908</v>
      </c>
      <c r="C1118" s="22" t="s">
        <v>1764</v>
      </c>
      <c r="D1118" s="23" t="s">
        <v>1765</v>
      </c>
      <c r="E1118" s="24" t="s">
        <v>130</v>
      </c>
      <c r="F1118" s="28" t="n">
        <f>121</f>
        <v>121.0</v>
      </c>
      <c r="G1118" s="25" t="n">
        <f>56588</f>
        <v>56588.0</v>
      </c>
      <c r="H1118" s="25"/>
      <c r="I1118" s="25" t="n">
        <f>56588</f>
        <v>56588.0</v>
      </c>
      <c r="J1118" s="25" t="n">
        <f>468</f>
        <v>468.0</v>
      </c>
      <c r="K1118" s="25" t="n">
        <f>468</f>
        <v>468.0</v>
      </c>
      <c r="L1118" s="2" t="s">
        <v>546</v>
      </c>
      <c r="M1118" s="26" t="n">
        <f>2816</f>
        <v>2816.0</v>
      </c>
      <c r="N1118" s="3" t="s">
        <v>375</v>
      </c>
      <c r="O1118" s="27" t="str">
        <f>"－"</f>
        <v>－</v>
      </c>
      <c r="P1118" s="29" t="s">
        <v>2145</v>
      </c>
      <c r="Q1118" s="25"/>
      <c r="R1118" s="29" t="s">
        <v>2145</v>
      </c>
      <c r="S1118" s="25" t="n">
        <f>240038246</f>
        <v>2.40038246E8</v>
      </c>
      <c r="T1118" s="25" t="n">
        <f>240038246</f>
        <v>2.40038246E8</v>
      </c>
      <c r="U1118" s="3" t="s">
        <v>427</v>
      </c>
      <c r="V1118" s="27" t="n">
        <f>4227305352</f>
        <v>4.227305352E9</v>
      </c>
      <c r="W1118" s="3" t="s">
        <v>375</v>
      </c>
      <c r="X1118" s="27" t="str">
        <f>"－"</f>
        <v>－</v>
      </c>
      <c r="Y1118" s="27" t="n">
        <f>10643</f>
        <v>10643.0</v>
      </c>
      <c r="Z1118" s="25" t="n">
        <f>38858</f>
        <v>38858.0</v>
      </c>
      <c r="AA1118" s="25" t="n">
        <f>30562</f>
        <v>30562.0</v>
      </c>
      <c r="AB1118" s="2" t="s">
        <v>251</v>
      </c>
      <c r="AC1118" s="26" t="n">
        <f>30562</f>
        <v>30562.0</v>
      </c>
      <c r="AD1118" s="3" t="s">
        <v>290</v>
      </c>
      <c r="AE1118" s="27" t="n">
        <f>13045</f>
        <v>13045.0</v>
      </c>
    </row>
    <row r="1119">
      <c r="A1119" s="20" t="s">
        <v>1907</v>
      </c>
      <c r="B1119" s="21" t="s">
        <v>1908</v>
      </c>
      <c r="C1119" s="22" t="s">
        <v>1768</v>
      </c>
      <c r="D1119" s="23" t="s">
        <v>1769</v>
      </c>
      <c r="E1119" s="24" t="s">
        <v>130</v>
      </c>
      <c r="F1119" s="28" t="n">
        <f>121</f>
        <v>121.0</v>
      </c>
      <c r="G1119" s="25" t="n">
        <f>188272</f>
        <v>188272.0</v>
      </c>
      <c r="H1119" s="25"/>
      <c r="I1119" s="25" t="n">
        <f>188272</f>
        <v>188272.0</v>
      </c>
      <c r="J1119" s="25" t="n">
        <f>1556</f>
        <v>1556.0</v>
      </c>
      <c r="K1119" s="25" t="n">
        <f>1556</f>
        <v>1556.0</v>
      </c>
      <c r="L1119" s="2" t="s">
        <v>737</v>
      </c>
      <c r="M1119" s="26" t="n">
        <f>11003</f>
        <v>11003.0</v>
      </c>
      <c r="N1119" s="3" t="s">
        <v>1091</v>
      </c>
      <c r="O1119" s="27" t="str">
        <f>"－"</f>
        <v>－</v>
      </c>
      <c r="P1119" s="29" t="s">
        <v>2146</v>
      </c>
      <c r="Q1119" s="25"/>
      <c r="R1119" s="29" t="s">
        <v>2146</v>
      </c>
      <c r="S1119" s="25" t="n">
        <f>571984116</f>
        <v>5.71984116E8</v>
      </c>
      <c r="T1119" s="25" t="n">
        <f>571984116</f>
        <v>5.71984116E8</v>
      </c>
      <c r="U1119" s="3" t="s">
        <v>427</v>
      </c>
      <c r="V1119" s="27" t="n">
        <f>4632656602</f>
        <v>4.632656602E9</v>
      </c>
      <c r="W1119" s="3" t="s">
        <v>1091</v>
      </c>
      <c r="X1119" s="27" t="str">
        <f>"－"</f>
        <v>－</v>
      </c>
      <c r="Y1119" s="27" t="n">
        <f>10995</f>
        <v>10995.0</v>
      </c>
      <c r="Z1119" s="25" t="n">
        <f>129413</f>
        <v>129413.0</v>
      </c>
      <c r="AA1119" s="25" t="n">
        <f>120194</f>
        <v>120194.0</v>
      </c>
      <c r="AB1119" s="2" t="s">
        <v>307</v>
      </c>
      <c r="AC1119" s="26" t="n">
        <f>120594</f>
        <v>120594.0</v>
      </c>
      <c r="AD1119" s="3" t="s">
        <v>565</v>
      </c>
      <c r="AE1119" s="27" t="n">
        <f>77145</f>
        <v>77145.0</v>
      </c>
    </row>
    <row r="1120">
      <c r="A1120" s="20" t="s">
        <v>1907</v>
      </c>
      <c r="B1120" s="21" t="s">
        <v>1908</v>
      </c>
      <c r="C1120" s="22" t="s">
        <v>1760</v>
      </c>
      <c r="D1120" s="23" t="s">
        <v>1761</v>
      </c>
      <c r="E1120" s="24" t="s">
        <v>136</v>
      </c>
      <c r="F1120" s="28" t="n">
        <f>124</f>
        <v>124.0</v>
      </c>
      <c r="G1120" s="25" t="n">
        <f>167628</f>
        <v>167628.0</v>
      </c>
      <c r="H1120" s="25"/>
      <c r="I1120" s="25" t="n">
        <f>167628</f>
        <v>167628.0</v>
      </c>
      <c r="J1120" s="25" t="n">
        <f>1352</f>
        <v>1352.0</v>
      </c>
      <c r="K1120" s="25" t="n">
        <f>1352</f>
        <v>1352.0</v>
      </c>
      <c r="L1120" s="2" t="s">
        <v>90</v>
      </c>
      <c r="M1120" s="26" t="n">
        <f>11340</f>
        <v>11340.0</v>
      </c>
      <c r="N1120" s="3" t="s">
        <v>225</v>
      </c>
      <c r="O1120" s="27" t="str">
        <f>"－"</f>
        <v>－</v>
      </c>
      <c r="P1120" s="29" t="s">
        <v>2147</v>
      </c>
      <c r="Q1120" s="25"/>
      <c r="R1120" s="29" t="s">
        <v>2147</v>
      </c>
      <c r="S1120" s="25" t="n">
        <f>307578458</f>
        <v>3.07578458E8</v>
      </c>
      <c r="T1120" s="25" t="n">
        <f>307578458</f>
        <v>3.07578458E8</v>
      </c>
      <c r="U1120" s="3" t="s">
        <v>90</v>
      </c>
      <c r="V1120" s="27" t="n">
        <f>3071891100</f>
        <v>3.0718911E9</v>
      </c>
      <c r="W1120" s="3" t="s">
        <v>225</v>
      </c>
      <c r="X1120" s="27" t="str">
        <f>"－"</f>
        <v>－</v>
      </c>
      <c r="Y1120" s="27" t="n">
        <f>3786</f>
        <v>3786.0</v>
      </c>
      <c r="Z1120" s="25" t="n">
        <f>137512</f>
        <v>137512.0</v>
      </c>
      <c r="AA1120" s="25" t="n">
        <f>70219</f>
        <v>70219.0</v>
      </c>
      <c r="AB1120" s="2" t="s">
        <v>137</v>
      </c>
      <c r="AC1120" s="26" t="n">
        <f>102717</f>
        <v>102717.0</v>
      </c>
      <c r="AD1120" s="3" t="s">
        <v>49</v>
      </c>
      <c r="AE1120" s="27" t="n">
        <f>63272</f>
        <v>63272.0</v>
      </c>
    </row>
    <row r="1121">
      <c r="A1121" s="20" t="s">
        <v>1907</v>
      </c>
      <c r="B1121" s="21" t="s">
        <v>1908</v>
      </c>
      <c r="C1121" s="22" t="s">
        <v>1764</v>
      </c>
      <c r="D1121" s="23" t="s">
        <v>1765</v>
      </c>
      <c r="E1121" s="24" t="s">
        <v>136</v>
      </c>
      <c r="F1121" s="28" t="n">
        <f>124</f>
        <v>124.0</v>
      </c>
      <c r="G1121" s="25" t="n">
        <f>76016</f>
        <v>76016.0</v>
      </c>
      <c r="H1121" s="25"/>
      <c r="I1121" s="25" t="n">
        <f>76016</f>
        <v>76016.0</v>
      </c>
      <c r="J1121" s="25" t="n">
        <f>613</f>
        <v>613.0</v>
      </c>
      <c r="K1121" s="25" t="n">
        <f>613</f>
        <v>613.0</v>
      </c>
      <c r="L1121" s="2" t="s">
        <v>719</v>
      </c>
      <c r="M1121" s="26" t="n">
        <f>4302</f>
        <v>4302.0</v>
      </c>
      <c r="N1121" s="3" t="s">
        <v>68</v>
      </c>
      <c r="O1121" s="27" t="str">
        <f>"－"</f>
        <v>－</v>
      </c>
      <c r="P1121" s="29" t="s">
        <v>2148</v>
      </c>
      <c r="Q1121" s="25"/>
      <c r="R1121" s="29" t="s">
        <v>2148</v>
      </c>
      <c r="S1121" s="25" t="n">
        <f>205859283</f>
        <v>2.05859283E8</v>
      </c>
      <c r="T1121" s="25" t="n">
        <f>205859283</f>
        <v>2.05859283E8</v>
      </c>
      <c r="U1121" s="3" t="s">
        <v>90</v>
      </c>
      <c r="V1121" s="27" t="n">
        <f>5925517600</f>
        <v>5.9255176E9</v>
      </c>
      <c r="W1121" s="3" t="s">
        <v>68</v>
      </c>
      <c r="X1121" s="27" t="str">
        <f>"－"</f>
        <v>－</v>
      </c>
      <c r="Y1121" s="27" t="n">
        <f>15610</f>
        <v>15610.0</v>
      </c>
      <c r="Z1121" s="25" t="n">
        <f>63082</f>
        <v>63082.0</v>
      </c>
      <c r="AA1121" s="25" t="n">
        <f>13492</f>
        <v>13492.0</v>
      </c>
      <c r="AB1121" s="2" t="s">
        <v>761</v>
      </c>
      <c r="AC1121" s="26" t="n">
        <f>34753</f>
        <v>34753.0</v>
      </c>
      <c r="AD1121" s="3" t="s">
        <v>49</v>
      </c>
      <c r="AE1121" s="27" t="n">
        <f>9805</f>
        <v>9805.0</v>
      </c>
    </row>
    <row r="1122">
      <c r="A1122" s="20" t="s">
        <v>1907</v>
      </c>
      <c r="B1122" s="21" t="s">
        <v>1908</v>
      </c>
      <c r="C1122" s="22" t="s">
        <v>1768</v>
      </c>
      <c r="D1122" s="23" t="s">
        <v>1769</v>
      </c>
      <c r="E1122" s="24" t="s">
        <v>136</v>
      </c>
      <c r="F1122" s="28" t="n">
        <f>124</f>
        <v>124.0</v>
      </c>
      <c r="G1122" s="25" t="n">
        <f>243644</f>
        <v>243644.0</v>
      </c>
      <c r="H1122" s="25"/>
      <c r="I1122" s="25" t="n">
        <f>243644</f>
        <v>243644.0</v>
      </c>
      <c r="J1122" s="25" t="n">
        <f>1965</f>
        <v>1965.0</v>
      </c>
      <c r="K1122" s="25" t="n">
        <f>1965</f>
        <v>1965.0</v>
      </c>
      <c r="L1122" s="2" t="s">
        <v>90</v>
      </c>
      <c r="M1122" s="26" t="n">
        <f>14744</f>
        <v>14744.0</v>
      </c>
      <c r="N1122" s="3" t="s">
        <v>225</v>
      </c>
      <c r="O1122" s="27" t="str">
        <f>"－"</f>
        <v>－</v>
      </c>
      <c r="P1122" s="29" t="s">
        <v>2149</v>
      </c>
      <c r="Q1122" s="25"/>
      <c r="R1122" s="29" t="s">
        <v>2149</v>
      </c>
      <c r="S1122" s="25" t="n">
        <f>513437741</f>
        <v>5.13437741E8</v>
      </c>
      <c r="T1122" s="25" t="n">
        <f>513437741</f>
        <v>5.13437741E8</v>
      </c>
      <c r="U1122" s="3" t="s">
        <v>90</v>
      </c>
      <c r="V1122" s="27" t="n">
        <f>8997408700</f>
        <v>8.9974087E9</v>
      </c>
      <c r="W1122" s="3" t="s">
        <v>225</v>
      </c>
      <c r="X1122" s="27" t="str">
        <f>"－"</f>
        <v>－</v>
      </c>
      <c r="Y1122" s="27" t="n">
        <f>19396</f>
        <v>19396.0</v>
      </c>
      <c r="Z1122" s="25" t="n">
        <f>200594</f>
        <v>200594.0</v>
      </c>
      <c r="AA1122" s="25" t="n">
        <f>83711</f>
        <v>83711.0</v>
      </c>
      <c r="AB1122" s="2" t="s">
        <v>761</v>
      </c>
      <c r="AC1122" s="26" t="n">
        <f>136647</f>
        <v>136647.0</v>
      </c>
      <c r="AD1122" s="3" t="s">
        <v>49</v>
      </c>
      <c r="AE1122" s="27" t="n">
        <f>73077</f>
        <v>73077.0</v>
      </c>
    </row>
    <row r="1123">
      <c r="A1123" s="20" t="s">
        <v>1907</v>
      </c>
      <c r="B1123" s="21" t="s">
        <v>1908</v>
      </c>
      <c r="C1123" s="22" t="s">
        <v>1760</v>
      </c>
      <c r="D1123" s="23" t="s">
        <v>1761</v>
      </c>
      <c r="E1123" s="24" t="s">
        <v>142</v>
      </c>
      <c r="F1123" s="28" t="n">
        <f>120</f>
        <v>120.0</v>
      </c>
      <c r="G1123" s="25" t="n">
        <f>255110</f>
        <v>255110.0</v>
      </c>
      <c r="H1123" s="25"/>
      <c r="I1123" s="25" t="n">
        <f>255075</f>
        <v>255075.0</v>
      </c>
      <c r="J1123" s="25" t="n">
        <f>2126</f>
        <v>2126.0</v>
      </c>
      <c r="K1123" s="25" t="n">
        <f>2126</f>
        <v>2126.0</v>
      </c>
      <c r="L1123" s="2" t="s">
        <v>243</v>
      </c>
      <c r="M1123" s="26" t="n">
        <f>15437</f>
        <v>15437.0</v>
      </c>
      <c r="N1123" s="3" t="s">
        <v>156</v>
      </c>
      <c r="O1123" s="27" t="str">
        <f>"－"</f>
        <v>－</v>
      </c>
      <c r="P1123" s="29" t="s">
        <v>2150</v>
      </c>
      <c r="Q1123" s="25"/>
      <c r="R1123" s="29" t="s">
        <v>2151</v>
      </c>
      <c r="S1123" s="25" t="n">
        <f>666886248</f>
        <v>6.66886248E8</v>
      </c>
      <c r="T1123" s="25" t="n">
        <f>666800665</f>
        <v>6.66800665E8</v>
      </c>
      <c r="U1123" s="3" t="s">
        <v>74</v>
      </c>
      <c r="V1123" s="27" t="n">
        <f>5900423100</f>
        <v>5.9004231E9</v>
      </c>
      <c r="W1123" s="3" t="s">
        <v>156</v>
      </c>
      <c r="X1123" s="27" t="str">
        <f>"－"</f>
        <v>－</v>
      </c>
      <c r="Y1123" s="27" t="n">
        <f>13264</f>
        <v>13264.0</v>
      </c>
      <c r="Z1123" s="25" t="n">
        <f>173501</f>
        <v>173501.0</v>
      </c>
      <c r="AA1123" s="25" t="n">
        <f>74645</f>
        <v>74645.0</v>
      </c>
      <c r="AB1123" s="2" t="s">
        <v>56</v>
      </c>
      <c r="AC1123" s="26" t="n">
        <f>97673</f>
        <v>97673.0</v>
      </c>
      <c r="AD1123" s="3" t="s">
        <v>307</v>
      </c>
      <c r="AE1123" s="27" t="n">
        <f>68214</f>
        <v>68214.0</v>
      </c>
    </row>
    <row r="1124">
      <c r="A1124" s="20" t="s">
        <v>1907</v>
      </c>
      <c r="B1124" s="21" t="s">
        <v>1908</v>
      </c>
      <c r="C1124" s="22" t="s">
        <v>1764</v>
      </c>
      <c r="D1124" s="23" t="s">
        <v>1765</v>
      </c>
      <c r="E1124" s="24" t="s">
        <v>142</v>
      </c>
      <c r="F1124" s="28" t="n">
        <f>120</f>
        <v>120.0</v>
      </c>
      <c r="G1124" s="25" t="n">
        <f>64063</f>
        <v>64063.0</v>
      </c>
      <c r="H1124" s="25"/>
      <c r="I1124" s="25" t="n">
        <f>64013</f>
        <v>64013.0</v>
      </c>
      <c r="J1124" s="25" t="n">
        <f>534</f>
        <v>534.0</v>
      </c>
      <c r="K1124" s="25" t="n">
        <f>533</f>
        <v>533.0</v>
      </c>
      <c r="L1124" s="2" t="s">
        <v>70</v>
      </c>
      <c r="M1124" s="26" t="n">
        <f>3522</f>
        <v>3522.0</v>
      </c>
      <c r="N1124" s="3" t="s">
        <v>147</v>
      </c>
      <c r="O1124" s="27" t="str">
        <f>"－"</f>
        <v>－</v>
      </c>
      <c r="P1124" s="29" t="s">
        <v>2152</v>
      </c>
      <c r="Q1124" s="25"/>
      <c r="R1124" s="29" t="s">
        <v>2153</v>
      </c>
      <c r="S1124" s="25" t="n">
        <f>132959867</f>
        <v>1.32959867E8</v>
      </c>
      <c r="T1124" s="25" t="n">
        <f>132884992</f>
        <v>1.32884992E8</v>
      </c>
      <c r="U1124" s="3" t="s">
        <v>146</v>
      </c>
      <c r="V1124" s="27" t="n">
        <f>2506756000</f>
        <v>2.506756E9</v>
      </c>
      <c r="W1124" s="3" t="s">
        <v>147</v>
      </c>
      <c r="X1124" s="27" t="str">
        <f>"－"</f>
        <v>－</v>
      </c>
      <c r="Y1124" s="27" t="n">
        <f>3123</f>
        <v>3123.0</v>
      </c>
      <c r="Z1124" s="25" t="n">
        <f>47119</f>
        <v>47119.0</v>
      </c>
      <c r="AA1124" s="25" t="n">
        <f>11990</f>
        <v>11990.0</v>
      </c>
      <c r="AB1124" s="2" t="s">
        <v>70</v>
      </c>
      <c r="AC1124" s="26" t="n">
        <f>20531</f>
        <v>20531.0</v>
      </c>
      <c r="AD1124" s="3" t="s">
        <v>323</v>
      </c>
      <c r="AE1124" s="27" t="n">
        <f>9964</f>
        <v>9964.0</v>
      </c>
    </row>
    <row r="1125">
      <c r="A1125" s="20" t="s">
        <v>1907</v>
      </c>
      <c r="B1125" s="21" t="s">
        <v>1908</v>
      </c>
      <c r="C1125" s="22" t="s">
        <v>1768</v>
      </c>
      <c r="D1125" s="23" t="s">
        <v>1769</v>
      </c>
      <c r="E1125" s="24" t="s">
        <v>142</v>
      </c>
      <c r="F1125" s="28" t="n">
        <f>120</f>
        <v>120.0</v>
      </c>
      <c r="G1125" s="25" t="n">
        <f>319173</f>
        <v>319173.0</v>
      </c>
      <c r="H1125" s="25"/>
      <c r="I1125" s="25" t="n">
        <f>319088</f>
        <v>319088.0</v>
      </c>
      <c r="J1125" s="25" t="n">
        <f>2660</f>
        <v>2660.0</v>
      </c>
      <c r="K1125" s="25" t="n">
        <f>2659</f>
        <v>2659.0</v>
      </c>
      <c r="L1125" s="2" t="s">
        <v>243</v>
      </c>
      <c r="M1125" s="26" t="n">
        <f>15437</f>
        <v>15437.0</v>
      </c>
      <c r="N1125" s="3" t="s">
        <v>147</v>
      </c>
      <c r="O1125" s="27" t="str">
        <f>"－"</f>
        <v>－</v>
      </c>
      <c r="P1125" s="29" t="s">
        <v>2154</v>
      </c>
      <c r="Q1125" s="25"/>
      <c r="R1125" s="29" t="s">
        <v>2155</v>
      </c>
      <c r="S1125" s="25" t="n">
        <f>799846115</f>
        <v>7.99846115E8</v>
      </c>
      <c r="T1125" s="25" t="n">
        <f>799685657</f>
        <v>7.99685657E8</v>
      </c>
      <c r="U1125" s="3" t="s">
        <v>74</v>
      </c>
      <c r="V1125" s="27" t="n">
        <f>5900423100</f>
        <v>5.9004231E9</v>
      </c>
      <c r="W1125" s="3" t="s">
        <v>147</v>
      </c>
      <c r="X1125" s="27" t="str">
        <f>"－"</f>
        <v>－</v>
      </c>
      <c r="Y1125" s="27" t="n">
        <f>16387</f>
        <v>16387.0</v>
      </c>
      <c r="Z1125" s="25" t="n">
        <f>220620</f>
        <v>220620.0</v>
      </c>
      <c r="AA1125" s="25" t="n">
        <f>86635</f>
        <v>86635.0</v>
      </c>
      <c r="AB1125" s="2" t="s">
        <v>56</v>
      </c>
      <c r="AC1125" s="26" t="n">
        <f>118204</f>
        <v>118204.0</v>
      </c>
      <c r="AD1125" s="3" t="s">
        <v>307</v>
      </c>
      <c r="AE1125" s="27" t="n">
        <f>78875</f>
        <v>78875.0</v>
      </c>
    </row>
    <row r="1126">
      <c r="A1126" s="20" t="s">
        <v>1907</v>
      </c>
      <c r="B1126" s="21" t="s">
        <v>1908</v>
      </c>
      <c r="C1126" s="22" t="s">
        <v>1760</v>
      </c>
      <c r="D1126" s="23" t="s">
        <v>1761</v>
      </c>
      <c r="E1126" s="24" t="s">
        <v>148</v>
      </c>
      <c r="F1126" s="28" t="n">
        <f>124</f>
        <v>124.0</v>
      </c>
      <c r="G1126" s="25" t="n">
        <f>230522</f>
        <v>230522.0</v>
      </c>
      <c r="H1126" s="25"/>
      <c r="I1126" s="25" t="n">
        <f>230236</f>
        <v>230236.0</v>
      </c>
      <c r="J1126" s="25" t="n">
        <f>1859</f>
        <v>1859.0</v>
      </c>
      <c r="K1126" s="25" t="n">
        <f>1857</f>
        <v>1857.0</v>
      </c>
      <c r="L1126" s="2" t="s">
        <v>1072</v>
      </c>
      <c r="M1126" s="26" t="n">
        <f>16068</f>
        <v>16068.0</v>
      </c>
      <c r="N1126" s="3" t="s">
        <v>68</v>
      </c>
      <c r="O1126" s="27" t="str">
        <f>"－"</f>
        <v>－</v>
      </c>
      <c r="P1126" s="29" t="s">
        <v>2156</v>
      </c>
      <c r="Q1126" s="25"/>
      <c r="R1126" s="29" t="s">
        <v>2157</v>
      </c>
      <c r="S1126" s="25" t="n">
        <f>642568051</f>
        <v>6.42568051E8</v>
      </c>
      <c r="T1126" s="25" t="n">
        <f>642486342</f>
        <v>6.42486342E8</v>
      </c>
      <c r="U1126" s="3" t="s">
        <v>1072</v>
      </c>
      <c r="V1126" s="27" t="n">
        <f>5155711267</f>
        <v>5.155711267E9</v>
      </c>
      <c r="W1126" s="3" t="s">
        <v>68</v>
      </c>
      <c r="X1126" s="27" t="str">
        <f>"－"</f>
        <v>－</v>
      </c>
      <c r="Y1126" s="27" t="n">
        <f>2486</f>
        <v>2486.0</v>
      </c>
      <c r="Z1126" s="25" t="n">
        <f>156050</f>
        <v>156050.0</v>
      </c>
      <c r="AA1126" s="25" t="n">
        <f>84459</f>
        <v>84459.0</v>
      </c>
      <c r="AB1126" s="2" t="s">
        <v>77</v>
      </c>
      <c r="AC1126" s="26" t="n">
        <f>100788</f>
        <v>100788.0</v>
      </c>
      <c r="AD1126" s="3" t="s">
        <v>1445</v>
      </c>
      <c r="AE1126" s="27" t="n">
        <f>67473</f>
        <v>67473.0</v>
      </c>
    </row>
    <row r="1127">
      <c r="A1127" s="20" t="s">
        <v>1907</v>
      </c>
      <c r="B1127" s="21" t="s">
        <v>1908</v>
      </c>
      <c r="C1127" s="22" t="s">
        <v>1764</v>
      </c>
      <c r="D1127" s="23" t="s">
        <v>1765</v>
      </c>
      <c r="E1127" s="24" t="s">
        <v>148</v>
      </c>
      <c r="F1127" s="28" t="n">
        <f>124</f>
        <v>124.0</v>
      </c>
      <c r="G1127" s="25" t="n">
        <f>22897</f>
        <v>22897.0</v>
      </c>
      <c r="H1127" s="25"/>
      <c r="I1127" s="25" t="n">
        <f>22877</f>
        <v>22877.0</v>
      </c>
      <c r="J1127" s="25" t="n">
        <f>185</f>
        <v>185.0</v>
      </c>
      <c r="K1127" s="25" t="n">
        <f>184</f>
        <v>184.0</v>
      </c>
      <c r="L1127" s="2" t="s">
        <v>952</v>
      </c>
      <c r="M1127" s="26" t="n">
        <f>2266</f>
        <v>2266.0</v>
      </c>
      <c r="N1127" s="3" t="s">
        <v>68</v>
      </c>
      <c r="O1127" s="27" t="str">
        <f>"－"</f>
        <v>－</v>
      </c>
      <c r="P1127" s="29" t="s">
        <v>2158</v>
      </c>
      <c r="Q1127" s="25"/>
      <c r="R1127" s="29" t="s">
        <v>2159</v>
      </c>
      <c r="S1127" s="25" t="n">
        <f>129815826</f>
        <v>1.29815826E8</v>
      </c>
      <c r="T1127" s="25" t="n">
        <f>129809536</f>
        <v>1.29809536E8</v>
      </c>
      <c r="U1127" s="3" t="s">
        <v>77</v>
      </c>
      <c r="V1127" s="27" t="n">
        <f>1926727500</f>
        <v>1.9267275E9</v>
      </c>
      <c r="W1127" s="3" t="s">
        <v>68</v>
      </c>
      <c r="X1127" s="27" t="str">
        <f>"－"</f>
        <v>－</v>
      </c>
      <c r="Y1127" s="27" t="n">
        <f>7566</f>
        <v>7566.0</v>
      </c>
      <c r="Z1127" s="25" t="n">
        <f>10393</f>
        <v>10393.0</v>
      </c>
      <c r="AA1127" s="25" t="n">
        <f>13669</f>
        <v>13669.0</v>
      </c>
      <c r="AB1127" s="2" t="s">
        <v>77</v>
      </c>
      <c r="AC1127" s="26" t="n">
        <f>18194</f>
        <v>18194.0</v>
      </c>
      <c r="AD1127" s="3" t="s">
        <v>125</v>
      </c>
      <c r="AE1127" s="27" t="n">
        <f>7960</f>
        <v>7960.0</v>
      </c>
    </row>
    <row r="1128">
      <c r="A1128" s="20" t="s">
        <v>1907</v>
      </c>
      <c r="B1128" s="21" t="s">
        <v>1908</v>
      </c>
      <c r="C1128" s="22" t="s">
        <v>1768</v>
      </c>
      <c r="D1128" s="23" t="s">
        <v>1769</v>
      </c>
      <c r="E1128" s="24" t="s">
        <v>148</v>
      </c>
      <c r="F1128" s="28" t="n">
        <f>124</f>
        <v>124.0</v>
      </c>
      <c r="G1128" s="25" t="n">
        <f>253419</f>
        <v>253419.0</v>
      </c>
      <c r="H1128" s="25"/>
      <c r="I1128" s="25" t="n">
        <f>253113</f>
        <v>253113.0</v>
      </c>
      <c r="J1128" s="25" t="n">
        <f>2044</f>
        <v>2044.0</v>
      </c>
      <c r="K1128" s="25" t="n">
        <f>2041</f>
        <v>2041.0</v>
      </c>
      <c r="L1128" s="2" t="s">
        <v>1072</v>
      </c>
      <c r="M1128" s="26" t="n">
        <f>16351</f>
        <v>16351.0</v>
      </c>
      <c r="N1128" s="3" t="s">
        <v>68</v>
      </c>
      <c r="O1128" s="27" t="str">
        <f>"－"</f>
        <v>－</v>
      </c>
      <c r="P1128" s="29" t="s">
        <v>2160</v>
      </c>
      <c r="Q1128" s="25"/>
      <c r="R1128" s="29" t="s">
        <v>2161</v>
      </c>
      <c r="S1128" s="25" t="n">
        <f>772383877</f>
        <v>7.72383877E8</v>
      </c>
      <c r="T1128" s="25" t="n">
        <f>772295877</f>
        <v>7.72295877E8</v>
      </c>
      <c r="U1128" s="3" t="s">
        <v>1072</v>
      </c>
      <c r="V1128" s="27" t="n">
        <f>5382583757</f>
        <v>5.382583757E9</v>
      </c>
      <c r="W1128" s="3" t="s">
        <v>68</v>
      </c>
      <c r="X1128" s="27" t="str">
        <f>"－"</f>
        <v>－</v>
      </c>
      <c r="Y1128" s="27" t="n">
        <f>10052</f>
        <v>10052.0</v>
      </c>
      <c r="Z1128" s="25" t="n">
        <f>166443</f>
        <v>166443.0</v>
      </c>
      <c r="AA1128" s="25" t="n">
        <f>98128</f>
        <v>98128.0</v>
      </c>
      <c r="AB1128" s="2" t="s">
        <v>77</v>
      </c>
      <c r="AC1128" s="26" t="n">
        <f>118982</f>
        <v>118982.0</v>
      </c>
      <c r="AD1128" s="3" t="s">
        <v>1445</v>
      </c>
      <c r="AE1128" s="27" t="n">
        <f>78561</f>
        <v>78561.0</v>
      </c>
    </row>
    <row r="1129">
      <c r="A1129" s="20" t="s">
        <v>1907</v>
      </c>
      <c r="B1129" s="21" t="s">
        <v>1908</v>
      </c>
      <c r="C1129" s="22" t="s">
        <v>1760</v>
      </c>
      <c r="D1129" s="23" t="s">
        <v>1761</v>
      </c>
      <c r="E1129" s="24" t="s">
        <v>151</v>
      </c>
      <c r="F1129" s="28" t="n">
        <f>122</f>
        <v>122.0</v>
      </c>
      <c r="G1129" s="25" t="n">
        <f>224218</f>
        <v>224218.0</v>
      </c>
      <c r="H1129" s="25"/>
      <c r="I1129" s="25" t="n">
        <f>218827</f>
        <v>218827.0</v>
      </c>
      <c r="J1129" s="25" t="n">
        <f>1838</f>
        <v>1838.0</v>
      </c>
      <c r="K1129" s="25" t="n">
        <f>1794</f>
        <v>1794.0</v>
      </c>
      <c r="L1129" s="2" t="s">
        <v>981</v>
      </c>
      <c r="M1129" s="26" t="n">
        <f>11441</f>
        <v>11441.0</v>
      </c>
      <c r="N1129" s="3" t="s">
        <v>156</v>
      </c>
      <c r="O1129" s="27" t="str">
        <f>"－"</f>
        <v>－</v>
      </c>
      <c r="P1129" s="29" t="s">
        <v>2162</v>
      </c>
      <c r="Q1129" s="25"/>
      <c r="R1129" s="29" t="s">
        <v>2163</v>
      </c>
      <c r="S1129" s="25" t="n">
        <f>640887447</f>
        <v>6.40887447E8</v>
      </c>
      <c r="T1129" s="25" t="n">
        <f>639032250</f>
        <v>6.3903225E8</v>
      </c>
      <c r="U1129" s="3" t="s">
        <v>185</v>
      </c>
      <c r="V1129" s="27" t="n">
        <f>5265296028</f>
        <v>5.265296028E9</v>
      </c>
      <c r="W1129" s="3" t="s">
        <v>156</v>
      </c>
      <c r="X1129" s="27" t="str">
        <f>"－"</f>
        <v>－</v>
      </c>
      <c r="Y1129" s="27" t="n">
        <f>260</f>
        <v>260.0</v>
      </c>
      <c r="Z1129" s="25" t="n">
        <f>150788</f>
        <v>150788.0</v>
      </c>
      <c r="AA1129" s="25" t="n">
        <f>99564</f>
        <v>99564.0</v>
      </c>
      <c r="AB1129" s="2" t="s">
        <v>74</v>
      </c>
      <c r="AC1129" s="26" t="n">
        <f>106560</f>
        <v>106560.0</v>
      </c>
      <c r="AD1129" s="3" t="s">
        <v>217</v>
      </c>
      <c r="AE1129" s="27" t="n">
        <f>77378</f>
        <v>77378.0</v>
      </c>
    </row>
    <row r="1130">
      <c r="A1130" s="20" t="s">
        <v>1907</v>
      </c>
      <c r="B1130" s="21" t="s">
        <v>1908</v>
      </c>
      <c r="C1130" s="22" t="s">
        <v>1764</v>
      </c>
      <c r="D1130" s="23" t="s">
        <v>1765</v>
      </c>
      <c r="E1130" s="24" t="s">
        <v>151</v>
      </c>
      <c r="F1130" s="28" t="n">
        <f>122</f>
        <v>122.0</v>
      </c>
      <c r="G1130" s="25" t="n">
        <f>66603</f>
        <v>66603.0</v>
      </c>
      <c r="H1130" s="25"/>
      <c r="I1130" s="25" t="n">
        <f>65628</f>
        <v>65628.0</v>
      </c>
      <c r="J1130" s="25" t="n">
        <f>546</f>
        <v>546.0</v>
      </c>
      <c r="K1130" s="25" t="n">
        <f>538</f>
        <v>538.0</v>
      </c>
      <c r="L1130" s="2" t="s">
        <v>97</v>
      </c>
      <c r="M1130" s="26" t="n">
        <f>6250</f>
        <v>6250.0</v>
      </c>
      <c r="N1130" s="3" t="s">
        <v>156</v>
      </c>
      <c r="O1130" s="27" t="str">
        <f>"－"</f>
        <v>－</v>
      </c>
      <c r="P1130" s="29" t="s">
        <v>2164</v>
      </c>
      <c r="Q1130" s="25"/>
      <c r="R1130" s="29" t="s">
        <v>2165</v>
      </c>
      <c r="S1130" s="25" t="n">
        <f>298753357</f>
        <v>2.98753357E8</v>
      </c>
      <c r="T1130" s="25" t="n">
        <f>297677947</f>
        <v>2.97677947E8</v>
      </c>
      <c r="U1130" s="3" t="s">
        <v>152</v>
      </c>
      <c r="V1130" s="27" t="n">
        <f>3957701000</f>
        <v>3.957701E9</v>
      </c>
      <c r="W1130" s="3" t="s">
        <v>156</v>
      </c>
      <c r="X1130" s="27" t="str">
        <f>"－"</f>
        <v>－</v>
      </c>
      <c r="Y1130" s="27" t="n">
        <f>11271</f>
        <v>11271.0</v>
      </c>
      <c r="Z1130" s="25" t="n">
        <f>32476</f>
        <v>32476.0</v>
      </c>
      <c r="AA1130" s="25" t="n">
        <f>40821</f>
        <v>40821.0</v>
      </c>
      <c r="AB1130" s="2" t="s">
        <v>251</v>
      </c>
      <c r="AC1130" s="26" t="n">
        <f>40821</f>
        <v>40821.0</v>
      </c>
      <c r="AD1130" s="3" t="s">
        <v>120</v>
      </c>
      <c r="AE1130" s="27" t="n">
        <f>11818</f>
        <v>11818.0</v>
      </c>
    </row>
    <row r="1131">
      <c r="A1131" s="20" t="s">
        <v>1907</v>
      </c>
      <c r="B1131" s="21" t="s">
        <v>1908</v>
      </c>
      <c r="C1131" s="22" t="s">
        <v>1768</v>
      </c>
      <c r="D1131" s="23" t="s">
        <v>1769</v>
      </c>
      <c r="E1131" s="24" t="s">
        <v>151</v>
      </c>
      <c r="F1131" s="28" t="n">
        <f>122</f>
        <v>122.0</v>
      </c>
      <c r="G1131" s="25" t="n">
        <f>290821</f>
        <v>290821.0</v>
      </c>
      <c r="H1131" s="25"/>
      <c r="I1131" s="25" t="n">
        <f>284455</f>
        <v>284455.0</v>
      </c>
      <c r="J1131" s="25" t="n">
        <f>2384</f>
        <v>2384.0</v>
      </c>
      <c r="K1131" s="25" t="n">
        <f>2332</f>
        <v>2332.0</v>
      </c>
      <c r="L1131" s="2" t="s">
        <v>97</v>
      </c>
      <c r="M1131" s="26" t="n">
        <f>13482</f>
        <v>13482.0</v>
      </c>
      <c r="N1131" s="3" t="s">
        <v>156</v>
      </c>
      <c r="O1131" s="27" t="str">
        <f>"－"</f>
        <v>－</v>
      </c>
      <c r="P1131" s="29" t="s">
        <v>2166</v>
      </c>
      <c r="Q1131" s="25"/>
      <c r="R1131" s="29" t="s">
        <v>2167</v>
      </c>
      <c r="S1131" s="25" t="n">
        <f>939640803</f>
        <v>9.39640803E8</v>
      </c>
      <c r="T1131" s="25" t="n">
        <f>936710197</f>
        <v>9.36710197E8</v>
      </c>
      <c r="U1131" s="3" t="s">
        <v>185</v>
      </c>
      <c r="V1131" s="27" t="n">
        <f>8940107968</f>
        <v>8.940107968E9</v>
      </c>
      <c r="W1131" s="3" t="s">
        <v>156</v>
      </c>
      <c r="X1131" s="27" t="str">
        <f>"－"</f>
        <v>－</v>
      </c>
      <c r="Y1131" s="27" t="n">
        <f>11531</f>
        <v>11531.0</v>
      </c>
      <c r="Z1131" s="25" t="n">
        <f>183264</f>
        <v>183264.0</v>
      </c>
      <c r="AA1131" s="25" t="n">
        <f>140385</f>
        <v>140385.0</v>
      </c>
      <c r="AB1131" s="2" t="s">
        <v>251</v>
      </c>
      <c r="AC1131" s="26" t="n">
        <f>140385</f>
        <v>140385.0</v>
      </c>
      <c r="AD1131" s="3" t="s">
        <v>188</v>
      </c>
      <c r="AE1131" s="27" t="n">
        <f>93288</f>
        <v>93288.0</v>
      </c>
    </row>
    <row r="1132">
      <c r="A1132" s="20" t="s">
        <v>1907</v>
      </c>
      <c r="B1132" s="21" t="s">
        <v>1908</v>
      </c>
      <c r="C1132" s="22" t="s">
        <v>1760</v>
      </c>
      <c r="D1132" s="23" t="s">
        <v>1761</v>
      </c>
      <c r="E1132" s="24" t="s">
        <v>157</v>
      </c>
      <c r="F1132" s="28" t="n">
        <f>124</f>
        <v>124.0</v>
      </c>
      <c r="G1132" s="25" t="n">
        <f>216627</f>
        <v>216627.0</v>
      </c>
      <c r="H1132" s="25"/>
      <c r="I1132" s="25" t="n">
        <f>215093</f>
        <v>215093.0</v>
      </c>
      <c r="J1132" s="25" t="n">
        <f>1747</f>
        <v>1747.0</v>
      </c>
      <c r="K1132" s="25" t="n">
        <f>1735</f>
        <v>1735.0</v>
      </c>
      <c r="L1132" s="2" t="s">
        <v>705</v>
      </c>
      <c r="M1132" s="26" t="n">
        <f>14056</f>
        <v>14056.0</v>
      </c>
      <c r="N1132" s="3" t="s">
        <v>224</v>
      </c>
      <c r="O1132" s="27" t="str">
        <f>"－"</f>
        <v>－</v>
      </c>
      <c r="P1132" s="29" t="s">
        <v>2168</v>
      </c>
      <c r="Q1132" s="25"/>
      <c r="R1132" s="29" t="s">
        <v>2169</v>
      </c>
      <c r="S1132" s="25" t="n">
        <f>639916631</f>
        <v>6.39916631E8</v>
      </c>
      <c r="T1132" s="25" t="n">
        <f>638854744</f>
        <v>6.38854744E8</v>
      </c>
      <c r="U1132" s="3" t="s">
        <v>141</v>
      </c>
      <c r="V1132" s="27" t="n">
        <f>5714677979</f>
        <v>5.714677979E9</v>
      </c>
      <c r="W1132" s="3" t="s">
        <v>224</v>
      </c>
      <c r="X1132" s="27" t="str">
        <f>"－"</f>
        <v>－</v>
      </c>
      <c r="Y1132" s="27" t="n">
        <f>13273</f>
        <v>13273.0</v>
      </c>
      <c r="Z1132" s="25" t="n">
        <f>127262</f>
        <v>127262.0</v>
      </c>
      <c r="AA1132" s="25" t="n">
        <f>77768</f>
        <v>77768.0</v>
      </c>
      <c r="AB1132" s="2" t="s">
        <v>141</v>
      </c>
      <c r="AC1132" s="26" t="n">
        <f>118705</f>
        <v>118705.0</v>
      </c>
      <c r="AD1132" s="3" t="s">
        <v>128</v>
      </c>
      <c r="AE1132" s="27" t="n">
        <f>72904</f>
        <v>72904.0</v>
      </c>
    </row>
    <row r="1133">
      <c r="A1133" s="20" t="s">
        <v>1907</v>
      </c>
      <c r="B1133" s="21" t="s">
        <v>1908</v>
      </c>
      <c r="C1133" s="22" t="s">
        <v>1764</v>
      </c>
      <c r="D1133" s="23" t="s">
        <v>1765</v>
      </c>
      <c r="E1133" s="24" t="s">
        <v>157</v>
      </c>
      <c r="F1133" s="28" t="n">
        <f>124</f>
        <v>124.0</v>
      </c>
      <c r="G1133" s="25" t="n">
        <f>127571</f>
        <v>127571.0</v>
      </c>
      <c r="H1133" s="25"/>
      <c r="I1133" s="25" t="n">
        <f>124439</f>
        <v>124439.0</v>
      </c>
      <c r="J1133" s="25" t="n">
        <f>1029</f>
        <v>1029.0</v>
      </c>
      <c r="K1133" s="25" t="n">
        <f>1004</f>
        <v>1004.0</v>
      </c>
      <c r="L1133" s="2" t="s">
        <v>67</v>
      </c>
      <c r="M1133" s="26" t="n">
        <f>6162</f>
        <v>6162.0</v>
      </c>
      <c r="N1133" s="3" t="s">
        <v>254</v>
      </c>
      <c r="O1133" s="27" t="str">
        <f>"－"</f>
        <v>－</v>
      </c>
      <c r="P1133" s="29" t="s">
        <v>2170</v>
      </c>
      <c r="Q1133" s="25"/>
      <c r="R1133" s="29" t="s">
        <v>2171</v>
      </c>
      <c r="S1133" s="25" t="n">
        <f>481470399</f>
        <v>4.81470399E8</v>
      </c>
      <c r="T1133" s="25" t="n">
        <f>478557109</f>
        <v>4.78557109E8</v>
      </c>
      <c r="U1133" s="3" t="s">
        <v>93</v>
      </c>
      <c r="V1133" s="27" t="n">
        <f>5084801000</f>
        <v>5.084801E9</v>
      </c>
      <c r="W1133" s="3" t="s">
        <v>254</v>
      </c>
      <c r="X1133" s="27" t="str">
        <f>"－"</f>
        <v>－</v>
      </c>
      <c r="Y1133" s="27" t="n">
        <f>27750</f>
        <v>27750.0</v>
      </c>
      <c r="Z1133" s="25" t="n">
        <f>50539</f>
        <v>50539.0</v>
      </c>
      <c r="AA1133" s="25" t="n">
        <f>52878</f>
        <v>52878.0</v>
      </c>
      <c r="AB1133" s="2" t="s">
        <v>750</v>
      </c>
      <c r="AC1133" s="26" t="n">
        <f>60874</f>
        <v>60874.0</v>
      </c>
      <c r="AD1133" s="3" t="s">
        <v>947</v>
      </c>
      <c r="AE1133" s="27" t="n">
        <f>37834</f>
        <v>37834.0</v>
      </c>
    </row>
    <row r="1134">
      <c r="A1134" s="20" t="s">
        <v>1907</v>
      </c>
      <c r="B1134" s="21" t="s">
        <v>1908</v>
      </c>
      <c r="C1134" s="22" t="s">
        <v>1768</v>
      </c>
      <c r="D1134" s="23" t="s">
        <v>1769</v>
      </c>
      <c r="E1134" s="24" t="s">
        <v>157</v>
      </c>
      <c r="F1134" s="28" t="n">
        <f>124</f>
        <v>124.0</v>
      </c>
      <c r="G1134" s="25" t="n">
        <f>344198</f>
        <v>344198.0</v>
      </c>
      <c r="H1134" s="25"/>
      <c r="I1134" s="25" t="n">
        <f>339532</f>
        <v>339532.0</v>
      </c>
      <c r="J1134" s="25" t="n">
        <f>2776</f>
        <v>2776.0</v>
      </c>
      <c r="K1134" s="25" t="n">
        <f>2738</f>
        <v>2738.0</v>
      </c>
      <c r="L1134" s="2" t="s">
        <v>705</v>
      </c>
      <c r="M1134" s="26" t="n">
        <f>14680</f>
        <v>14680.0</v>
      </c>
      <c r="N1134" s="3" t="s">
        <v>240</v>
      </c>
      <c r="O1134" s="27" t="str">
        <f>"－"</f>
        <v>－</v>
      </c>
      <c r="P1134" s="29" t="s">
        <v>2172</v>
      </c>
      <c r="Q1134" s="25"/>
      <c r="R1134" s="29" t="s">
        <v>2173</v>
      </c>
      <c r="S1134" s="25" t="n">
        <f>1121387030</f>
        <v>1.12138703E9</v>
      </c>
      <c r="T1134" s="25" t="n">
        <f>1117411853</f>
        <v>1.117411853E9</v>
      </c>
      <c r="U1134" s="3" t="s">
        <v>141</v>
      </c>
      <c r="V1134" s="27" t="n">
        <f>7661520479</f>
        <v>7.661520479E9</v>
      </c>
      <c r="W1134" s="3" t="s">
        <v>240</v>
      </c>
      <c r="X1134" s="27" t="str">
        <f>"－"</f>
        <v>－</v>
      </c>
      <c r="Y1134" s="27" t="n">
        <f>41023</f>
        <v>41023.0</v>
      </c>
      <c r="Z1134" s="25" t="n">
        <f>177801</f>
        <v>177801.0</v>
      </c>
      <c r="AA1134" s="25" t="n">
        <f>130646</f>
        <v>130646.0</v>
      </c>
      <c r="AB1134" s="2" t="s">
        <v>137</v>
      </c>
      <c r="AC1134" s="26" t="n">
        <f>170426</f>
        <v>170426.0</v>
      </c>
      <c r="AD1134" s="3" t="s">
        <v>128</v>
      </c>
      <c r="AE1134" s="27" t="n">
        <f>117651</f>
        <v>117651.0</v>
      </c>
    </row>
    <row r="1135">
      <c r="A1135" s="20" t="s">
        <v>1907</v>
      </c>
      <c r="B1135" s="21" t="s">
        <v>1908</v>
      </c>
      <c r="C1135" s="22" t="s">
        <v>1760</v>
      </c>
      <c r="D1135" s="23" t="s">
        <v>1761</v>
      </c>
      <c r="E1135" s="24" t="s">
        <v>160</v>
      </c>
      <c r="F1135" s="28" t="n">
        <f>58</f>
        <v>58.0</v>
      </c>
      <c r="G1135" s="25" t="n">
        <f>144765</f>
        <v>144765.0</v>
      </c>
      <c r="H1135" s="25"/>
      <c r="I1135" s="25" t="n">
        <f>142623</f>
        <v>142623.0</v>
      </c>
      <c r="J1135" s="25" t="n">
        <f>2496</f>
        <v>2496.0</v>
      </c>
      <c r="K1135" s="25" t="n">
        <f>2459</f>
        <v>2459.0</v>
      </c>
      <c r="L1135" s="2" t="s">
        <v>2174</v>
      </c>
      <c r="M1135" s="26" t="n">
        <f>26489</f>
        <v>26489.0</v>
      </c>
      <c r="N1135" s="3" t="s">
        <v>171</v>
      </c>
      <c r="O1135" s="27" t="str">
        <f>"－"</f>
        <v>－</v>
      </c>
      <c r="P1135" s="29" t="s">
        <v>2175</v>
      </c>
      <c r="Q1135" s="25"/>
      <c r="R1135" s="29" t="s">
        <v>2176</v>
      </c>
      <c r="S1135" s="25" t="n">
        <f>1245559995</f>
        <v>1.245559995E9</v>
      </c>
      <c r="T1135" s="25" t="n">
        <f>1244178254</f>
        <v>1.244178254E9</v>
      </c>
      <c r="U1135" s="3" t="s">
        <v>2174</v>
      </c>
      <c r="V1135" s="27" t="n">
        <f>11444613355</f>
        <v>1.1444613355E10</v>
      </c>
      <c r="W1135" s="3" t="s">
        <v>171</v>
      </c>
      <c r="X1135" s="27" t="str">
        <f>"－"</f>
        <v>－</v>
      </c>
      <c r="Y1135" s="27" t="n">
        <f>160</f>
        <v>160.0</v>
      </c>
      <c r="Z1135" s="25" t="n">
        <f>64065</f>
        <v>64065.0</v>
      </c>
      <c r="AA1135" s="25" t="n">
        <f>112591</f>
        <v>112591.0</v>
      </c>
      <c r="AB1135" s="2" t="s">
        <v>84</v>
      </c>
      <c r="AC1135" s="26" t="n">
        <f>127747</f>
        <v>127747.0</v>
      </c>
      <c r="AD1135" s="3" t="s">
        <v>863</v>
      </c>
      <c r="AE1135" s="27" t="n">
        <f>74921</f>
        <v>74921.0</v>
      </c>
    </row>
    <row r="1136">
      <c r="A1136" s="20" t="s">
        <v>1907</v>
      </c>
      <c r="B1136" s="21" t="s">
        <v>1908</v>
      </c>
      <c r="C1136" s="22" t="s">
        <v>1764</v>
      </c>
      <c r="D1136" s="23" t="s">
        <v>1765</v>
      </c>
      <c r="E1136" s="24" t="s">
        <v>160</v>
      </c>
      <c r="F1136" s="28" t="n">
        <f>58</f>
        <v>58.0</v>
      </c>
      <c r="G1136" s="25" t="n">
        <f>92409</f>
        <v>92409.0</v>
      </c>
      <c r="H1136" s="25"/>
      <c r="I1136" s="25" t="n">
        <f>88732</f>
        <v>88732.0</v>
      </c>
      <c r="J1136" s="25" t="n">
        <f>1593</f>
        <v>1593.0</v>
      </c>
      <c r="K1136" s="25" t="n">
        <f>1530</f>
        <v>1530.0</v>
      </c>
      <c r="L1136" s="2" t="s">
        <v>168</v>
      </c>
      <c r="M1136" s="26" t="n">
        <f>8363</f>
        <v>8363.0</v>
      </c>
      <c r="N1136" s="3" t="s">
        <v>185</v>
      </c>
      <c r="O1136" s="27" t="str">
        <f>"－"</f>
        <v>－</v>
      </c>
      <c r="P1136" s="29" t="s">
        <v>2177</v>
      </c>
      <c r="Q1136" s="25"/>
      <c r="R1136" s="29" t="s">
        <v>2178</v>
      </c>
      <c r="S1136" s="25" t="n">
        <f>1234539900</f>
        <v>1.2345399E9</v>
      </c>
      <c r="T1136" s="25" t="n">
        <f>1220110159</f>
        <v>1.220110159E9</v>
      </c>
      <c r="U1136" s="3" t="s">
        <v>168</v>
      </c>
      <c r="V1136" s="27" t="n">
        <f>10112730602</f>
        <v>1.0112730602E10</v>
      </c>
      <c r="W1136" s="3" t="s">
        <v>185</v>
      </c>
      <c r="X1136" s="27" t="str">
        <f>"－"</f>
        <v>－</v>
      </c>
      <c r="Y1136" s="27" t="n">
        <f>20304</f>
        <v>20304.0</v>
      </c>
      <c r="Z1136" s="25" t="n">
        <f>36331</f>
        <v>36331.0</v>
      </c>
      <c r="AA1136" s="25" t="n">
        <f>79612</f>
        <v>79612.0</v>
      </c>
      <c r="AB1136" s="2" t="s">
        <v>243</v>
      </c>
      <c r="AC1136" s="26" t="n">
        <f>79612</f>
        <v>79612.0</v>
      </c>
      <c r="AD1136" s="3" t="s">
        <v>863</v>
      </c>
      <c r="AE1136" s="27" t="n">
        <f>52186</f>
        <v>52186.0</v>
      </c>
    </row>
    <row r="1137">
      <c r="A1137" s="20" t="s">
        <v>1907</v>
      </c>
      <c r="B1137" s="21" t="s">
        <v>1908</v>
      </c>
      <c r="C1137" s="22" t="s">
        <v>1768</v>
      </c>
      <c r="D1137" s="23" t="s">
        <v>1769</v>
      </c>
      <c r="E1137" s="24" t="s">
        <v>160</v>
      </c>
      <c r="F1137" s="28" t="n">
        <f>58</f>
        <v>58.0</v>
      </c>
      <c r="G1137" s="25" t="n">
        <f>237174</f>
        <v>237174.0</v>
      </c>
      <c r="H1137" s="25"/>
      <c r="I1137" s="25" t="n">
        <f>231355</f>
        <v>231355.0</v>
      </c>
      <c r="J1137" s="25" t="n">
        <f>4089</f>
        <v>4089.0</v>
      </c>
      <c r="K1137" s="25" t="n">
        <f>3989</f>
        <v>3989.0</v>
      </c>
      <c r="L1137" s="2" t="s">
        <v>2174</v>
      </c>
      <c r="M1137" s="26" t="n">
        <f>31934</f>
        <v>31934.0</v>
      </c>
      <c r="N1137" s="3" t="s">
        <v>185</v>
      </c>
      <c r="O1137" s="27" t="str">
        <f>"－"</f>
        <v>－</v>
      </c>
      <c r="P1137" s="29" t="s">
        <v>2179</v>
      </c>
      <c r="Q1137" s="25"/>
      <c r="R1137" s="29" t="s">
        <v>2180</v>
      </c>
      <c r="S1137" s="25" t="n">
        <f>2480099896</f>
        <v>2.480099896E9</v>
      </c>
      <c r="T1137" s="25" t="n">
        <f>2464288413</f>
        <v>2.464288413E9</v>
      </c>
      <c r="U1137" s="3" t="s">
        <v>168</v>
      </c>
      <c r="V1137" s="27" t="n">
        <f>19397431602</f>
        <v>1.9397431602E10</v>
      </c>
      <c r="W1137" s="3" t="s">
        <v>185</v>
      </c>
      <c r="X1137" s="27" t="str">
        <f>"－"</f>
        <v>－</v>
      </c>
      <c r="Y1137" s="27" t="n">
        <f>20464</f>
        <v>20464.0</v>
      </c>
      <c r="Z1137" s="25" t="n">
        <f>100396</f>
        <v>100396.0</v>
      </c>
      <c r="AA1137" s="25" t="n">
        <f>192203</f>
        <v>192203.0</v>
      </c>
      <c r="AB1137" s="2" t="s">
        <v>84</v>
      </c>
      <c r="AC1137" s="26" t="n">
        <f>207016</f>
        <v>207016.0</v>
      </c>
      <c r="AD1137" s="3" t="s">
        <v>863</v>
      </c>
      <c r="AE1137" s="27" t="n">
        <f>127107</f>
        <v>127107.0</v>
      </c>
    </row>
    <row r="1138">
      <c r="A1138" s="20" t="s">
        <v>2181</v>
      </c>
      <c r="B1138" s="21" t="s">
        <v>2182</v>
      </c>
      <c r="C1138" s="22" t="s">
        <v>1760</v>
      </c>
      <c r="D1138" s="23" t="s">
        <v>1761</v>
      </c>
      <c r="E1138" s="24" t="s">
        <v>76</v>
      </c>
      <c r="F1138" s="28" t="n">
        <f>112</f>
        <v>112.0</v>
      </c>
      <c r="G1138" s="25" t="n">
        <f>240</f>
        <v>240.0</v>
      </c>
      <c r="H1138" s="25"/>
      <c r="I1138" s="25" t="str">
        <f>"－"</f>
        <v>－</v>
      </c>
      <c r="J1138" s="25" t="n">
        <f>2</f>
        <v>2.0</v>
      </c>
      <c r="K1138" s="25" t="str">
        <f>"－"</f>
        <v>－</v>
      </c>
      <c r="L1138" s="2" t="s">
        <v>986</v>
      </c>
      <c r="M1138" s="26" t="n">
        <f>50</f>
        <v>50.0</v>
      </c>
      <c r="N1138" s="3" t="s">
        <v>224</v>
      </c>
      <c r="O1138" s="27" t="str">
        <f>"－"</f>
        <v>－</v>
      </c>
      <c r="P1138" s="29" t="s">
        <v>2183</v>
      </c>
      <c r="Q1138" s="25"/>
      <c r="R1138" s="29" t="s">
        <v>262</v>
      </c>
      <c r="S1138" s="25" t="n">
        <f>398304</f>
        <v>398304.0</v>
      </c>
      <c r="T1138" s="25" t="str">
        <f>"－"</f>
        <v>－</v>
      </c>
      <c r="U1138" s="3" t="s">
        <v>986</v>
      </c>
      <c r="V1138" s="27" t="n">
        <f>13250000</f>
        <v>1.325E7</v>
      </c>
      <c r="W1138" s="3" t="s">
        <v>224</v>
      </c>
      <c r="X1138" s="27" t="str">
        <f>"－"</f>
        <v>－</v>
      </c>
      <c r="Y1138" s="27" t="str">
        <f>"－"</f>
        <v>－</v>
      </c>
      <c r="Z1138" s="25" t="str">
        <f>"－"</f>
        <v>－</v>
      </c>
      <c r="AA1138" s="25" t="str">
        <f>"－"</f>
        <v>－</v>
      </c>
      <c r="AB1138" s="2" t="s">
        <v>986</v>
      </c>
      <c r="AC1138" s="26" t="n">
        <f>50</f>
        <v>50.0</v>
      </c>
      <c r="AD1138" s="3" t="s">
        <v>224</v>
      </c>
      <c r="AE1138" s="27" t="str">
        <f>"－"</f>
        <v>－</v>
      </c>
    </row>
    <row r="1139">
      <c r="A1139" s="20" t="s">
        <v>2181</v>
      </c>
      <c r="B1139" s="21" t="s">
        <v>2182</v>
      </c>
      <c r="C1139" s="22" t="s">
        <v>1764</v>
      </c>
      <c r="D1139" s="23" t="s">
        <v>1765</v>
      </c>
      <c r="E1139" s="24" t="s">
        <v>76</v>
      </c>
      <c r="F1139" s="28" t="n">
        <f>112</f>
        <v>112.0</v>
      </c>
      <c r="G1139" s="25" t="n">
        <f>240</f>
        <v>240.0</v>
      </c>
      <c r="H1139" s="25"/>
      <c r="I1139" s="25" t="n">
        <f>20</f>
        <v>20.0</v>
      </c>
      <c r="J1139" s="25" t="n">
        <f>2</f>
        <v>2.0</v>
      </c>
      <c r="K1139" s="25" t="n">
        <f>0</f>
        <v>0.0</v>
      </c>
      <c r="L1139" s="2" t="s">
        <v>986</v>
      </c>
      <c r="M1139" s="26" t="n">
        <f>50</f>
        <v>50.0</v>
      </c>
      <c r="N1139" s="3" t="s">
        <v>224</v>
      </c>
      <c r="O1139" s="27" t="str">
        <f>"－"</f>
        <v>－</v>
      </c>
      <c r="P1139" s="29" t="s">
        <v>2184</v>
      </c>
      <c r="Q1139" s="25"/>
      <c r="R1139" s="29" t="s">
        <v>2185</v>
      </c>
      <c r="S1139" s="25" t="n">
        <f>392946</f>
        <v>392946.0</v>
      </c>
      <c r="T1139" s="25" t="n">
        <f>4107</f>
        <v>4107.0</v>
      </c>
      <c r="U1139" s="3" t="s">
        <v>872</v>
      </c>
      <c r="V1139" s="27" t="n">
        <f>13500000</f>
        <v>1.35E7</v>
      </c>
      <c r="W1139" s="3" t="s">
        <v>224</v>
      </c>
      <c r="X1139" s="27" t="str">
        <f>"－"</f>
        <v>－</v>
      </c>
      <c r="Y1139" s="27" t="str">
        <f>"－"</f>
        <v>－</v>
      </c>
      <c r="Z1139" s="25" t="str">
        <f>"－"</f>
        <v>－</v>
      </c>
      <c r="AA1139" s="25" t="str">
        <f>"－"</f>
        <v>－</v>
      </c>
      <c r="AB1139" s="2" t="s">
        <v>986</v>
      </c>
      <c r="AC1139" s="26" t="n">
        <f>50</f>
        <v>50.0</v>
      </c>
      <c r="AD1139" s="3" t="s">
        <v>224</v>
      </c>
      <c r="AE1139" s="27" t="str">
        <f>"－"</f>
        <v>－</v>
      </c>
    </row>
    <row r="1140">
      <c r="A1140" s="20" t="s">
        <v>2181</v>
      </c>
      <c r="B1140" s="21" t="s">
        <v>2182</v>
      </c>
      <c r="C1140" s="22" t="s">
        <v>1768</v>
      </c>
      <c r="D1140" s="23" t="s">
        <v>1769</v>
      </c>
      <c r="E1140" s="24" t="s">
        <v>76</v>
      </c>
      <c r="F1140" s="28" t="n">
        <f>112</f>
        <v>112.0</v>
      </c>
      <c r="G1140" s="25" t="n">
        <f>480</f>
        <v>480.0</v>
      </c>
      <c r="H1140" s="25"/>
      <c r="I1140" s="25" t="n">
        <f>20</f>
        <v>20.0</v>
      </c>
      <c r="J1140" s="25" t="n">
        <f>4</f>
        <v>4.0</v>
      </c>
      <c r="K1140" s="25" t="n">
        <f>0</f>
        <v>0.0</v>
      </c>
      <c r="L1140" s="2" t="s">
        <v>986</v>
      </c>
      <c r="M1140" s="26" t="n">
        <f>100</f>
        <v>100.0</v>
      </c>
      <c r="N1140" s="3" t="s">
        <v>224</v>
      </c>
      <c r="O1140" s="27" t="str">
        <f>"－"</f>
        <v>－</v>
      </c>
      <c r="P1140" s="29" t="s">
        <v>2186</v>
      </c>
      <c r="Q1140" s="25"/>
      <c r="R1140" s="29" t="s">
        <v>2185</v>
      </c>
      <c r="S1140" s="25" t="n">
        <f>791250</f>
        <v>791250.0</v>
      </c>
      <c r="T1140" s="25" t="n">
        <f>4107</f>
        <v>4107.0</v>
      </c>
      <c r="U1140" s="3" t="s">
        <v>986</v>
      </c>
      <c r="V1140" s="27" t="n">
        <f>22250000</f>
        <v>2.225E7</v>
      </c>
      <c r="W1140" s="3" t="s">
        <v>224</v>
      </c>
      <c r="X1140" s="27" t="str">
        <f>"－"</f>
        <v>－</v>
      </c>
      <c r="Y1140" s="27" t="str">
        <f>"－"</f>
        <v>－</v>
      </c>
      <c r="Z1140" s="25" t="str">
        <f>"－"</f>
        <v>－</v>
      </c>
      <c r="AA1140" s="25" t="str">
        <f>"－"</f>
        <v>－</v>
      </c>
      <c r="AB1140" s="2" t="s">
        <v>986</v>
      </c>
      <c r="AC1140" s="26" t="n">
        <f>100</f>
        <v>100.0</v>
      </c>
      <c r="AD1140" s="3" t="s">
        <v>224</v>
      </c>
      <c r="AE1140" s="27" t="str">
        <f>"－"</f>
        <v>－</v>
      </c>
    </row>
    <row r="1141">
      <c r="A1141" s="20" t="s">
        <v>2181</v>
      </c>
      <c r="B1141" s="21" t="s">
        <v>2182</v>
      </c>
      <c r="C1141" s="22" t="s">
        <v>1760</v>
      </c>
      <c r="D1141" s="23" t="s">
        <v>1761</v>
      </c>
      <c r="E1141" s="24" t="s">
        <v>83</v>
      </c>
      <c r="F1141" s="28" t="n">
        <f>123</f>
        <v>123.0</v>
      </c>
      <c r="G1141" s="25" t="str">
        <f>"－"</f>
        <v>－</v>
      </c>
      <c r="H1141" s="25"/>
      <c r="I1141" s="25" t="str">
        <f>"－"</f>
        <v>－</v>
      </c>
      <c r="J1141" s="25" t="str">
        <f>"－"</f>
        <v>－</v>
      </c>
      <c r="K1141" s="25" t="str">
        <f>"－"</f>
        <v>－</v>
      </c>
      <c r="L1141" s="2" t="s">
        <v>156</v>
      </c>
      <c r="M1141" s="26" t="str">
        <f>"－"</f>
        <v>－</v>
      </c>
      <c r="N1141" s="3" t="s">
        <v>156</v>
      </c>
      <c r="O1141" s="27" t="str">
        <f>"－"</f>
        <v>－</v>
      </c>
      <c r="P1141" s="29" t="s">
        <v>262</v>
      </c>
      <c r="Q1141" s="25"/>
      <c r="R1141" s="29" t="s">
        <v>262</v>
      </c>
      <c r="S1141" s="25" t="str">
        <f>"－"</f>
        <v>－</v>
      </c>
      <c r="T1141" s="25" t="str">
        <f>"－"</f>
        <v>－</v>
      </c>
      <c r="U1141" s="3" t="s">
        <v>156</v>
      </c>
      <c r="V1141" s="27" t="str">
        <f>"－"</f>
        <v>－</v>
      </c>
      <c r="W1141" s="3" t="s">
        <v>156</v>
      </c>
      <c r="X1141" s="27" t="str">
        <f>"－"</f>
        <v>－</v>
      </c>
      <c r="Y1141" s="27" t="str">
        <f>"－"</f>
        <v>－</v>
      </c>
      <c r="Z1141" s="25" t="str">
        <f>"－"</f>
        <v>－</v>
      </c>
      <c r="AA1141" s="25" t="str">
        <f>"－"</f>
        <v>－</v>
      </c>
      <c r="AB1141" s="2" t="s">
        <v>156</v>
      </c>
      <c r="AC1141" s="26" t="str">
        <f>"－"</f>
        <v>－</v>
      </c>
      <c r="AD1141" s="3" t="s">
        <v>156</v>
      </c>
      <c r="AE1141" s="27" t="str">
        <f>"－"</f>
        <v>－</v>
      </c>
    </row>
    <row r="1142">
      <c r="A1142" s="20" t="s">
        <v>2181</v>
      </c>
      <c r="B1142" s="21" t="s">
        <v>2182</v>
      </c>
      <c r="C1142" s="22" t="s">
        <v>1764</v>
      </c>
      <c r="D1142" s="23" t="s">
        <v>1765</v>
      </c>
      <c r="E1142" s="24" t="s">
        <v>83</v>
      </c>
      <c r="F1142" s="28" t="n">
        <f>123</f>
        <v>123.0</v>
      </c>
      <c r="G1142" s="25" t="str">
        <f>"－"</f>
        <v>－</v>
      </c>
      <c r="H1142" s="25"/>
      <c r="I1142" s="25" t="str">
        <f>"－"</f>
        <v>－</v>
      </c>
      <c r="J1142" s="25" t="str">
        <f>"－"</f>
        <v>－</v>
      </c>
      <c r="K1142" s="25" t="str">
        <f>"－"</f>
        <v>－</v>
      </c>
      <c r="L1142" s="2" t="s">
        <v>156</v>
      </c>
      <c r="M1142" s="26" t="str">
        <f>"－"</f>
        <v>－</v>
      </c>
      <c r="N1142" s="3" t="s">
        <v>156</v>
      </c>
      <c r="O1142" s="27" t="str">
        <f>"－"</f>
        <v>－</v>
      </c>
      <c r="P1142" s="29" t="s">
        <v>262</v>
      </c>
      <c r="Q1142" s="25"/>
      <c r="R1142" s="29" t="s">
        <v>262</v>
      </c>
      <c r="S1142" s="25" t="str">
        <f>"－"</f>
        <v>－</v>
      </c>
      <c r="T1142" s="25" t="str">
        <f>"－"</f>
        <v>－</v>
      </c>
      <c r="U1142" s="3" t="s">
        <v>156</v>
      </c>
      <c r="V1142" s="27" t="str">
        <f>"－"</f>
        <v>－</v>
      </c>
      <c r="W1142" s="3" t="s">
        <v>156</v>
      </c>
      <c r="X1142" s="27" t="str">
        <f>"－"</f>
        <v>－</v>
      </c>
      <c r="Y1142" s="27" t="str">
        <f>"－"</f>
        <v>－</v>
      </c>
      <c r="Z1142" s="25" t="str">
        <f>"－"</f>
        <v>－</v>
      </c>
      <c r="AA1142" s="25" t="str">
        <f>"－"</f>
        <v>－</v>
      </c>
      <c r="AB1142" s="2" t="s">
        <v>156</v>
      </c>
      <c r="AC1142" s="26" t="str">
        <f>"－"</f>
        <v>－</v>
      </c>
      <c r="AD1142" s="3" t="s">
        <v>156</v>
      </c>
      <c r="AE1142" s="27" t="str">
        <f>"－"</f>
        <v>－</v>
      </c>
    </row>
    <row r="1143">
      <c r="A1143" s="20" t="s">
        <v>2181</v>
      </c>
      <c r="B1143" s="21" t="s">
        <v>2182</v>
      </c>
      <c r="C1143" s="22" t="s">
        <v>1768</v>
      </c>
      <c r="D1143" s="23" t="s">
        <v>1769</v>
      </c>
      <c r="E1143" s="24" t="s">
        <v>83</v>
      </c>
      <c r="F1143" s="28" t="n">
        <f>123</f>
        <v>123.0</v>
      </c>
      <c r="G1143" s="25" t="str">
        <f>"－"</f>
        <v>－</v>
      </c>
      <c r="H1143" s="25"/>
      <c r="I1143" s="25" t="str">
        <f>"－"</f>
        <v>－</v>
      </c>
      <c r="J1143" s="25" t="str">
        <f>"－"</f>
        <v>－</v>
      </c>
      <c r="K1143" s="25" t="str">
        <f>"－"</f>
        <v>－</v>
      </c>
      <c r="L1143" s="2" t="s">
        <v>156</v>
      </c>
      <c r="M1143" s="26" t="str">
        <f>"－"</f>
        <v>－</v>
      </c>
      <c r="N1143" s="3" t="s">
        <v>156</v>
      </c>
      <c r="O1143" s="27" t="str">
        <f>"－"</f>
        <v>－</v>
      </c>
      <c r="P1143" s="29" t="s">
        <v>262</v>
      </c>
      <c r="Q1143" s="25"/>
      <c r="R1143" s="29" t="s">
        <v>262</v>
      </c>
      <c r="S1143" s="25" t="str">
        <f>"－"</f>
        <v>－</v>
      </c>
      <c r="T1143" s="25" t="str">
        <f>"－"</f>
        <v>－</v>
      </c>
      <c r="U1143" s="3" t="s">
        <v>156</v>
      </c>
      <c r="V1143" s="27" t="str">
        <f>"－"</f>
        <v>－</v>
      </c>
      <c r="W1143" s="3" t="s">
        <v>156</v>
      </c>
      <c r="X1143" s="27" t="str">
        <f>"－"</f>
        <v>－</v>
      </c>
      <c r="Y1143" s="27" t="str">
        <f>"－"</f>
        <v>－</v>
      </c>
      <c r="Z1143" s="25" t="str">
        <f>"－"</f>
        <v>－</v>
      </c>
      <c r="AA1143" s="25" t="str">
        <f>"－"</f>
        <v>－</v>
      </c>
      <c r="AB1143" s="2" t="s">
        <v>156</v>
      </c>
      <c r="AC1143" s="26" t="str">
        <f>"－"</f>
        <v>－</v>
      </c>
      <c r="AD1143" s="3" t="s">
        <v>156</v>
      </c>
      <c r="AE1143" s="27" t="str">
        <f>"－"</f>
        <v>－</v>
      </c>
    </row>
    <row r="1144">
      <c r="A1144" s="20" t="s">
        <v>2181</v>
      </c>
      <c r="B1144" s="21" t="s">
        <v>2182</v>
      </c>
      <c r="C1144" s="22" t="s">
        <v>1760</v>
      </c>
      <c r="D1144" s="23" t="s">
        <v>1761</v>
      </c>
      <c r="E1144" s="24" t="s">
        <v>89</v>
      </c>
      <c r="F1144" s="28" t="n">
        <f>124</f>
        <v>124.0</v>
      </c>
      <c r="G1144" s="25" t="str">
        <f>"－"</f>
        <v>－</v>
      </c>
      <c r="H1144" s="25"/>
      <c r="I1144" s="25" t="str">
        <f>"－"</f>
        <v>－</v>
      </c>
      <c r="J1144" s="25" t="str">
        <f>"－"</f>
        <v>－</v>
      </c>
      <c r="K1144" s="25" t="str">
        <f>"－"</f>
        <v>－</v>
      </c>
      <c r="L1144" s="2" t="s">
        <v>633</v>
      </c>
      <c r="M1144" s="26" t="str">
        <f>"－"</f>
        <v>－</v>
      </c>
      <c r="N1144" s="3" t="s">
        <v>633</v>
      </c>
      <c r="O1144" s="27" t="str">
        <f>"－"</f>
        <v>－</v>
      </c>
      <c r="P1144" s="29" t="s">
        <v>262</v>
      </c>
      <c r="Q1144" s="25"/>
      <c r="R1144" s="29" t="s">
        <v>262</v>
      </c>
      <c r="S1144" s="25" t="str">
        <f>"－"</f>
        <v>－</v>
      </c>
      <c r="T1144" s="25" t="str">
        <f>"－"</f>
        <v>－</v>
      </c>
      <c r="U1144" s="3" t="s">
        <v>633</v>
      </c>
      <c r="V1144" s="27" t="str">
        <f>"－"</f>
        <v>－</v>
      </c>
      <c r="W1144" s="3" t="s">
        <v>633</v>
      </c>
      <c r="X1144" s="27" t="str">
        <f>"－"</f>
        <v>－</v>
      </c>
      <c r="Y1144" s="27" t="str">
        <f>"－"</f>
        <v>－</v>
      </c>
      <c r="Z1144" s="25" t="str">
        <f>"－"</f>
        <v>－</v>
      </c>
      <c r="AA1144" s="25" t="str">
        <f>"－"</f>
        <v>－</v>
      </c>
      <c r="AB1144" s="2" t="s">
        <v>633</v>
      </c>
      <c r="AC1144" s="26" t="str">
        <f>"－"</f>
        <v>－</v>
      </c>
      <c r="AD1144" s="3" t="s">
        <v>633</v>
      </c>
      <c r="AE1144" s="27" t="str">
        <f>"－"</f>
        <v>－</v>
      </c>
    </row>
    <row r="1145">
      <c r="A1145" s="20" t="s">
        <v>2181</v>
      </c>
      <c r="B1145" s="21" t="s">
        <v>2182</v>
      </c>
      <c r="C1145" s="22" t="s">
        <v>1764</v>
      </c>
      <c r="D1145" s="23" t="s">
        <v>1765</v>
      </c>
      <c r="E1145" s="24" t="s">
        <v>89</v>
      </c>
      <c r="F1145" s="28" t="n">
        <f>124</f>
        <v>124.0</v>
      </c>
      <c r="G1145" s="25" t="str">
        <f>"－"</f>
        <v>－</v>
      </c>
      <c r="H1145" s="25"/>
      <c r="I1145" s="25" t="str">
        <f>"－"</f>
        <v>－</v>
      </c>
      <c r="J1145" s="25" t="str">
        <f>"－"</f>
        <v>－</v>
      </c>
      <c r="K1145" s="25" t="str">
        <f>"－"</f>
        <v>－</v>
      </c>
      <c r="L1145" s="2" t="s">
        <v>633</v>
      </c>
      <c r="M1145" s="26" t="str">
        <f>"－"</f>
        <v>－</v>
      </c>
      <c r="N1145" s="3" t="s">
        <v>633</v>
      </c>
      <c r="O1145" s="27" t="str">
        <f>"－"</f>
        <v>－</v>
      </c>
      <c r="P1145" s="29" t="s">
        <v>262</v>
      </c>
      <c r="Q1145" s="25"/>
      <c r="R1145" s="29" t="s">
        <v>262</v>
      </c>
      <c r="S1145" s="25" t="str">
        <f>"－"</f>
        <v>－</v>
      </c>
      <c r="T1145" s="25" t="str">
        <f>"－"</f>
        <v>－</v>
      </c>
      <c r="U1145" s="3" t="s">
        <v>633</v>
      </c>
      <c r="V1145" s="27" t="str">
        <f>"－"</f>
        <v>－</v>
      </c>
      <c r="W1145" s="3" t="s">
        <v>633</v>
      </c>
      <c r="X1145" s="27" t="str">
        <f>"－"</f>
        <v>－</v>
      </c>
      <c r="Y1145" s="27" t="str">
        <f>"－"</f>
        <v>－</v>
      </c>
      <c r="Z1145" s="25" t="str">
        <f>"－"</f>
        <v>－</v>
      </c>
      <c r="AA1145" s="25" t="str">
        <f>"－"</f>
        <v>－</v>
      </c>
      <c r="AB1145" s="2" t="s">
        <v>633</v>
      </c>
      <c r="AC1145" s="26" t="str">
        <f>"－"</f>
        <v>－</v>
      </c>
      <c r="AD1145" s="3" t="s">
        <v>633</v>
      </c>
      <c r="AE1145" s="27" t="str">
        <f>"－"</f>
        <v>－</v>
      </c>
    </row>
    <row r="1146">
      <c r="A1146" s="20" t="s">
        <v>2181</v>
      </c>
      <c r="B1146" s="21" t="s">
        <v>2182</v>
      </c>
      <c r="C1146" s="22" t="s">
        <v>1768</v>
      </c>
      <c r="D1146" s="23" t="s">
        <v>1769</v>
      </c>
      <c r="E1146" s="24" t="s">
        <v>89</v>
      </c>
      <c r="F1146" s="28" t="n">
        <f>124</f>
        <v>124.0</v>
      </c>
      <c r="G1146" s="25" t="str">
        <f>"－"</f>
        <v>－</v>
      </c>
      <c r="H1146" s="25"/>
      <c r="I1146" s="25" t="str">
        <f>"－"</f>
        <v>－</v>
      </c>
      <c r="J1146" s="25" t="str">
        <f>"－"</f>
        <v>－</v>
      </c>
      <c r="K1146" s="25" t="str">
        <f>"－"</f>
        <v>－</v>
      </c>
      <c r="L1146" s="2" t="s">
        <v>633</v>
      </c>
      <c r="M1146" s="26" t="str">
        <f>"－"</f>
        <v>－</v>
      </c>
      <c r="N1146" s="3" t="s">
        <v>633</v>
      </c>
      <c r="O1146" s="27" t="str">
        <f>"－"</f>
        <v>－</v>
      </c>
      <c r="P1146" s="29" t="s">
        <v>262</v>
      </c>
      <c r="Q1146" s="25"/>
      <c r="R1146" s="29" t="s">
        <v>262</v>
      </c>
      <c r="S1146" s="25" t="str">
        <f>"－"</f>
        <v>－</v>
      </c>
      <c r="T1146" s="25" t="str">
        <f>"－"</f>
        <v>－</v>
      </c>
      <c r="U1146" s="3" t="s">
        <v>633</v>
      </c>
      <c r="V1146" s="27" t="str">
        <f>"－"</f>
        <v>－</v>
      </c>
      <c r="W1146" s="3" t="s">
        <v>633</v>
      </c>
      <c r="X1146" s="27" t="str">
        <f>"－"</f>
        <v>－</v>
      </c>
      <c r="Y1146" s="27" t="str">
        <f>"－"</f>
        <v>－</v>
      </c>
      <c r="Z1146" s="25" t="str">
        <f>"－"</f>
        <v>－</v>
      </c>
      <c r="AA1146" s="25" t="str">
        <f>"－"</f>
        <v>－</v>
      </c>
      <c r="AB1146" s="2" t="s">
        <v>633</v>
      </c>
      <c r="AC1146" s="26" t="str">
        <f>"－"</f>
        <v>－</v>
      </c>
      <c r="AD1146" s="3" t="s">
        <v>633</v>
      </c>
      <c r="AE1146" s="27" t="str">
        <f>"－"</f>
        <v>－</v>
      </c>
    </row>
    <row r="1147">
      <c r="A1147" s="20" t="s">
        <v>2181</v>
      </c>
      <c r="B1147" s="21" t="s">
        <v>2182</v>
      </c>
      <c r="C1147" s="22" t="s">
        <v>1760</v>
      </c>
      <c r="D1147" s="23" t="s">
        <v>1761</v>
      </c>
      <c r="E1147" s="24" t="s">
        <v>96</v>
      </c>
      <c r="F1147" s="28" t="n">
        <f>121</f>
        <v>121.0</v>
      </c>
      <c r="G1147" s="25" t="str">
        <f>"－"</f>
        <v>－</v>
      </c>
      <c r="H1147" s="25"/>
      <c r="I1147" s="25" t="str">
        <f>"－"</f>
        <v>－</v>
      </c>
      <c r="J1147" s="25" t="str">
        <f>"－"</f>
        <v>－</v>
      </c>
      <c r="K1147" s="25" t="str">
        <f>"－"</f>
        <v>－</v>
      </c>
      <c r="L1147" s="2" t="s">
        <v>156</v>
      </c>
      <c r="M1147" s="26" t="str">
        <f>"－"</f>
        <v>－</v>
      </c>
      <c r="N1147" s="3" t="s">
        <v>156</v>
      </c>
      <c r="O1147" s="27" t="str">
        <f>"－"</f>
        <v>－</v>
      </c>
      <c r="P1147" s="29" t="s">
        <v>262</v>
      </c>
      <c r="Q1147" s="25"/>
      <c r="R1147" s="29" t="s">
        <v>262</v>
      </c>
      <c r="S1147" s="25" t="str">
        <f>"－"</f>
        <v>－</v>
      </c>
      <c r="T1147" s="25" t="str">
        <f>"－"</f>
        <v>－</v>
      </c>
      <c r="U1147" s="3" t="s">
        <v>156</v>
      </c>
      <c r="V1147" s="27" t="str">
        <f>"－"</f>
        <v>－</v>
      </c>
      <c r="W1147" s="3" t="s">
        <v>156</v>
      </c>
      <c r="X1147" s="27" t="str">
        <f>"－"</f>
        <v>－</v>
      </c>
      <c r="Y1147" s="27" t="str">
        <f>"－"</f>
        <v>－</v>
      </c>
      <c r="Z1147" s="25" t="str">
        <f>"－"</f>
        <v>－</v>
      </c>
      <c r="AA1147" s="25" t="str">
        <f>"－"</f>
        <v>－</v>
      </c>
      <c r="AB1147" s="2" t="s">
        <v>156</v>
      </c>
      <c r="AC1147" s="26" t="str">
        <f>"－"</f>
        <v>－</v>
      </c>
      <c r="AD1147" s="3" t="s">
        <v>156</v>
      </c>
      <c r="AE1147" s="27" t="str">
        <f>"－"</f>
        <v>－</v>
      </c>
    </row>
    <row r="1148">
      <c r="A1148" s="20" t="s">
        <v>2181</v>
      </c>
      <c r="B1148" s="21" t="s">
        <v>2182</v>
      </c>
      <c r="C1148" s="22" t="s">
        <v>1764</v>
      </c>
      <c r="D1148" s="23" t="s">
        <v>1765</v>
      </c>
      <c r="E1148" s="24" t="s">
        <v>96</v>
      </c>
      <c r="F1148" s="28" t="n">
        <f>121</f>
        <v>121.0</v>
      </c>
      <c r="G1148" s="25" t="str">
        <f>"－"</f>
        <v>－</v>
      </c>
      <c r="H1148" s="25"/>
      <c r="I1148" s="25" t="str">
        <f>"－"</f>
        <v>－</v>
      </c>
      <c r="J1148" s="25" t="str">
        <f>"－"</f>
        <v>－</v>
      </c>
      <c r="K1148" s="25" t="str">
        <f>"－"</f>
        <v>－</v>
      </c>
      <c r="L1148" s="2" t="s">
        <v>156</v>
      </c>
      <c r="M1148" s="26" t="str">
        <f>"－"</f>
        <v>－</v>
      </c>
      <c r="N1148" s="3" t="s">
        <v>156</v>
      </c>
      <c r="O1148" s="27" t="str">
        <f>"－"</f>
        <v>－</v>
      </c>
      <c r="P1148" s="29" t="s">
        <v>262</v>
      </c>
      <c r="Q1148" s="25"/>
      <c r="R1148" s="29" t="s">
        <v>262</v>
      </c>
      <c r="S1148" s="25" t="str">
        <f>"－"</f>
        <v>－</v>
      </c>
      <c r="T1148" s="25" t="str">
        <f>"－"</f>
        <v>－</v>
      </c>
      <c r="U1148" s="3" t="s">
        <v>156</v>
      </c>
      <c r="V1148" s="27" t="str">
        <f>"－"</f>
        <v>－</v>
      </c>
      <c r="W1148" s="3" t="s">
        <v>156</v>
      </c>
      <c r="X1148" s="27" t="str">
        <f>"－"</f>
        <v>－</v>
      </c>
      <c r="Y1148" s="27" t="str">
        <f>"－"</f>
        <v>－</v>
      </c>
      <c r="Z1148" s="25" t="str">
        <f>"－"</f>
        <v>－</v>
      </c>
      <c r="AA1148" s="25" t="str">
        <f>"－"</f>
        <v>－</v>
      </c>
      <c r="AB1148" s="2" t="s">
        <v>156</v>
      </c>
      <c r="AC1148" s="26" t="str">
        <f>"－"</f>
        <v>－</v>
      </c>
      <c r="AD1148" s="3" t="s">
        <v>156</v>
      </c>
      <c r="AE1148" s="27" t="str">
        <f>"－"</f>
        <v>－</v>
      </c>
    </row>
    <row r="1149">
      <c r="A1149" s="20" t="s">
        <v>2181</v>
      </c>
      <c r="B1149" s="21" t="s">
        <v>2182</v>
      </c>
      <c r="C1149" s="22" t="s">
        <v>1768</v>
      </c>
      <c r="D1149" s="23" t="s">
        <v>1769</v>
      </c>
      <c r="E1149" s="24" t="s">
        <v>96</v>
      </c>
      <c r="F1149" s="28" t="n">
        <f>121</f>
        <v>121.0</v>
      </c>
      <c r="G1149" s="25" t="str">
        <f>"－"</f>
        <v>－</v>
      </c>
      <c r="H1149" s="25"/>
      <c r="I1149" s="25" t="str">
        <f>"－"</f>
        <v>－</v>
      </c>
      <c r="J1149" s="25" t="str">
        <f>"－"</f>
        <v>－</v>
      </c>
      <c r="K1149" s="25" t="str">
        <f>"－"</f>
        <v>－</v>
      </c>
      <c r="L1149" s="2" t="s">
        <v>156</v>
      </c>
      <c r="M1149" s="26" t="str">
        <f>"－"</f>
        <v>－</v>
      </c>
      <c r="N1149" s="3" t="s">
        <v>156</v>
      </c>
      <c r="O1149" s="27" t="str">
        <f>"－"</f>
        <v>－</v>
      </c>
      <c r="P1149" s="29" t="s">
        <v>262</v>
      </c>
      <c r="Q1149" s="25"/>
      <c r="R1149" s="29" t="s">
        <v>262</v>
      </c>
      <c r="S1149" s="25" t="str">
        <f>"－"</f>
        <v>－</v>
      </c>
      <c r="T1149" s="25" t="str">
        <f>"－"</f>
        <v>－</v>
      </c>
      <c r="U1149" s="3" t="s">
        <v>156</v>
      </c>
      <c r="V1149" s="27" t="str">
        <f>"－"</f>
        <v>－</v>
      </c>
      <c r="W1149" s="3" t="s">
        <v>156</v>
      </c>
      <c r="X1149" s="27" t="str">
        <f>"－"</f>
        <v>－</v>
      </c>
      <c r="Y1149" s="27" t="str">
        <f>"－"</f>
        <v>－</v>
      </c>
      <c r="Z1149" s="25" t="str">
        <f>"－"</f>
        <v>－</v>
      </c>
      <c r="AA1149" s="25" t="str">
        <f>"－"</f>
        <v>－</v>
      </c>
      <c r="AB1149" s="2" t="s">
        <v>156</v>
      </c>
      <c r="AC1149" s="26" t="str">
        <f>"－"</f>
        <v>－</v>
      </c>
      <c r="AD1149" s="3" t="s">
        <v>156</v>
      </c>
      <c r="AE1149" s="27" t="str">
        <f>"－"</f>
        <v>－</v>
      </c>
    </row>
    <row r="1150">
      <c r="A1150" s="20" t="s">
        <v>2181</v>
      </c>
      <c r="B1150" s="21" t="s">
        <v>2182</v>
      </c>
      <c r="C1150" s="22" t="s">
        <v>1760</v>
      </c>
      <c r="D1150" s="23" t="s">
        <v>1761</v>
      </c>
      <c r="E1150" s="24" t="s">
        <v>102</v>
      </c>
      <c r="F1150" s="28" t="n">
        <f>124</f>
        <v>124.0</v>
      </c>
      <c r="G1150" s="25" t="str">
        <f>"－"</f>
        <v>－</v>
      </c>
      <c r="H1150" s="25"/>
      <c r="I1150" s="25" t="str">
        <f>"－"</f>
        <v>－</v>
      </c>
      <c r="J1150" s="25" t="str">
        <f>"－"</f>
        <v>－</v>
      </c>
      <c r="K1150" s="25" t="str">
        <f>"－"</f>
        <v>－</v>
      </c>
      <c r="L1150" s="2" t="s">
        <v>215</v>
      </c>
      <c r="M1150" s="26" t="str">
        <f>"－"</f>
        <v>－</v>
      </c>
      <c r="N1150" s="3" t="s">
        <v>215</v>
      </c>
      <c r="O1150" s="27" t="str">
        <f>"－"</f>
        <v>－</v>
      </c>
      <c r="P1150" s="29" t="s">
        <v>262</v>
      </c>
      <c r="Q1150" s="25"/>
      <c r="R1150" s="29" t="s">
        <v>262</v>
      </c>
      <c r="S1150" s="25" t="str">
        <f>"－"</f>
        <v>－</v>
      </c>
      <c r="T1150" s="25" t="str">
        <f>"－"</f>
        <v>－</v>
      </c>
      <c r="U1150" s="3" t="s">
        <v>215</v>
      </c>
      <c r="V1150" s="27" t="str">
        <f>"－"</f>
        <v>－</v>
      </c>
      <c r="W1150" s="3" t="s">
        <v>215</v>
      </c>
      <c r="X1150" s="27" t="str">
        <f>"－"</f>
        <v>－</v>
      </c>
      <c r="Y1150" s="27" t="str">
        <f>"－"</f>
        <v>－</v>
      </c>
      <c r="Z1150" s="25" t="str">
        <f>"－"</f>
        <v>－</v>
      </c>
      <c r="AA1150" s="25" t="str">
        <f>"－"</f>
        <v>－</v>
      </c>
      <c r="AB1150" s="2" t="s">
        <v>215</v>
      </c>
      <c r="AC1150" s="26" t="str">
        <f>"－"</f>
        <v>－</v>
      </c>
      <c r="AD1150" s="3" t="s">
        <v>215</v>
      </c>
      <c r="AE1150" s="27" t="str">
        <f>"－"</f>
        <v>－</v>
      </c>
    </row>
    <row r="1151">
      <c r="A1151" s="20" t="s">
        <v>2181</v>
      </c>
      <c r="B1151" s="21" t="s">
        <v>2182</v>
      </c>
      <c r="C1151" s="22" t="s">
        <v>1764</v>
      </c>
      <c r="D1151" s="23" t="s">
        <v>1765</v>
      </c>
      <c r="E1151" s="24" t="s">
        <v>102</v>
      </c>
      <c r="F1151" s="28" t="n">
        <f>124</f>
        <v>124.0</v>
      </c>
      <c r="G1151" s="25" t="str">
        <f>"－"</f>
        <v>－</v>
      </c>
      <c r="H1151" s="25"/>
      <c r="I1151" s="25" t="str">
        <f>"－"</f>
        <v>－</v>
      </c>
      <c r="J1151" s="25" t="str">
        <f>"－"</f>
        <v>－</v>
      </c>
      <c r="K1151" s="25" t="str">
        <f>"－"</f>
        <v>－</v>
      </c>
      <c r="L1151" s="2" t="s">
        <v>215</v>
      </c>
      <c r="M1151" s="26" t="str">
        <f>"－"</f>
        <v>－</v>
      </c>
      <c r="N1151" s="3" t="s">
        <v>215</v>
      </c>
      <c r="O1151" s="27" t="str">
        <f>"－"</f>
        <v>－</v>
      </c>
      <c r="P1151" s="29" t="s">
        <v>262</v>
      </c>
      <c r="Q1151" s="25"/>
      <c r="R1151" s="29" t="s">
        <v>262</v>
      </c>
      <c r="S1151" s="25" t="str">
        <f>"－"</f>
        <v>－</v>
      </c>
      <c r="T1151" s="25" t="str">
        <f>"－"</f>
        <v>－</v>
      </c>
      <c r="U1151" s="3" t="s">
        <v>215</v>
      </c>
      <c r="V1151" s="27" t="str">
        <f>"－"</f>
        <v>－</v>
      </c>
      <c r="W1151" s="3" t="s">
        <v>215</v>
      </c>
      <c r="X1151" s="27" t="str">
        <f>"－"</f>
        <v>－</v>
      </c>
      <c r="Y1151" s="27" t="str">
        <f>"－"</f>
        <v>－</v>
      </c>
      <c r="Z1151" s="25" t="str">
        <f>"－"</f>
        <v>－</v>
      </c>
      <c r="AA1151" s="25" t="str">
        <f>"－"</f>
        <v>－</v>
      </c>
      <c r="AB1151" s="2" t="s">
        <v>215</v>
      </c>
      <c r="AC1151" s="26" t="str">
        <f>"－"</f>
        <v>－</v>
      </c>
      <c r="AD1151" s="3" t="s">
        <v>215</v>
      </c>
      <c r="AE1151" s="27" t="str">
        <f>"－"</f>
        <v>－</v>
      </c>
    </row>
    <row r="1152">
      <c r="A1152" s="20" t="s">
        <v>2181</v>
      </c>
      <c r="B1152" s="21" t="s">
        <v>2182</v>
      </c>
      <c r="C1152" s="22" t="s">
        <v>1768</v>
      </c>
      <c r="D1152" s="23" t="s">
        <v>1769</v>
      </c>
      <c r="E1152" s="24" t="s">
        <v>102</v>
      </c>
      <c r="F1152" s="28" t="n">
        <f>124</f>
        <v>124.0</v>
      </c>
      <c r="G1152" s="25" t="str">
        <f>"－"</f>
        <v>－</v>
      </c>
      <c r="H1152" s="25"/>
      <c r="I1152" s="25" t="str">
        <f>"－"</f>
        <v>－</v>
      </c>
      <c r="J1152" s="25" t="str">
        <f>"－"</f>
        <v>－</v>
      </c>
      <c r="K1152" s="25" t="str">
        <f>"－"</f>
        <v>－</v>
      </c>
      <c r="L1152" s="2" t="s">
        <v>215</v>
      </c>
      <c r="M1152" s="26" t="str">
        <f>"－"</f>
        <v>－</v>
      </c>
      <c r="N1152" s="3" t="s">
        <v>215</v>
      </c>
      <c r="O1152" s="27" t="str">
        <f>"－"</f>
        <v>－</v>
      </c>
      <c r="P1152" s="29" t="s">
        <v>262</v>
      </c>
      <c r="Q1152" s="25"/>
      <c r="R1152" s="29" t="s">
        <v>262</v>
      </c>
      <c r="S1152" s="25" t="str">
        <f>"－"</f>
        <v>－</v>
      </c>
      <c r="T1152" s="25" t="str">
        <f>"－"</f>
        <v>－</v>
      </c>
      <c r="U1152" s="3" t="s">
        <v>215</v>
      </c>
      <c r="V1152" s="27" t="str">
        <f>"－"</f>
        <v>－</v>
      </c>
      <c r="W1152" s="3" t="s">
        <v>215</v>
      </c>
      <c r="X1152" s="27" t="str">
        <f>"－"</f>
        <v>－</v>
      </c>
      <c r="Y1152" s="27" t="str">
        <f>"－"</f>
        <v>－</v>
      </c>
      <c r="Z1152" s="25" t="str">
        <f>"－"</f>
        <v>－</v>
      </c>
      <c r="AA1152" s="25" t="str">
        <f>"－"</f>
        <v>－</v>
      </c>
      <c r="AB1152" s="2" t="s">
        <v>215</v>
      </c>
      <c r="AC1152" s="26" t="str">
        <f>"－"</f>
        <v>－</v>
      </c>
      <c r="AD1152" s="3" t="s">
        <v>215</v>
      </c>
      <c r="AE1152" s="27" t="str">
        <f>"－"</f>
        <v>－</v>
      </c>
    </row>
    <row r="1153">
      <c r="A1153" s="20" t="s">
        <v>2181</v>
      </c>
      <c r="B1153" s="21" t="s">
        <v>2182</v>
      </c>
      <c r="C1153" s="22" t="s">
        <v>1760</v>
      </c>
      <c r="D1153" s="23" t="s">
        <v>1761</v>
      </c>
      <c r="E1153" s="24" t="s">
        <v>107</v>
      </c>
      <c r="F1153" s="28" t="n">
        <f>117</f>
        <v>117.0</v>
      </c>
      <c r="G1153" s="25" t="str">
        <f>"－"</f>
        <v>－</v>
      </c>
      <c r="H1153" s="25"/>
      <c r="I1153" s="25" t="str">
        <f>"－"</f>
        <v>－</v>
      </c>
      <c r="J1153" s="25" t="str">
        <f>"－"</f>
        <v>－</v>
      </c>
      <c r="K1153" s="25" t="str">
        <f>"－"</f>
        <v>－</v>
      </c>
      <c r="L1153" s="2" t="s">
        <v>156</v>
      </c>
      <c r="M1153" s="26" t="str">
        <f>"－"</f>
        <v>－</v>
      </c>
      <c r="N1153" s="3" t="s">
        <v>156</v>
      </c>
      <c r="O1153" s="27" t="str">
        <f>"－"</f>
        <v>－</v>
      </c>
      <c r="P1153" s="29" t="s">
        <v>262</v>
      </c>
      <c r="Q1153" s="25"/>
      <c r="R1153" s="29" t="s">
        <v>262</v>
      </c>
      <c r="S1153" s="25" t="str">
        <f>"－"</f>
        <v>－</v>
      </c>
      <c r="T1153" s="25" t="str">
        <f>"－"</f>
        <v>－</v>
      </c>
      <c r="U1153" s="3" t="s">
        <v>156</v>
      </c>
      <c r="V1153" s="27" t="str">
        <f>"－"</f>
        <v>－</v>
      </c>
      <c r="W1153" s="3" t="s">
        <v>156</v>
      </c>
      <c r="X1153" s="27" t="str">
        <f>"－"</f>
        <v>－</v>
      </c>
      <c r="Y1153" s="27" t="str">
        <f>"－"</f>
        <v>－</v>
      </c>
      <c r="Z1153" s="25" t="str">
        <f>"－"</f>
        <v>－</v>
      </c>
      <c r="AA1153" s="25" t="str">
        <f>"－"</f>
        <v>－</v>
      </c>
      <c r="AB1153" s="2" t="s">
        <v>156</v>
      </c>
      <c r="AC1153" s="26" t="str">
        <f>"－"</f>
        <v>－</v>
      </c>
      <c r="AD1153" s="3" t="s">
        <v>156</v>
      </c>
      <c r="AE1153" s="27" t="str">
        <f>"－"</f>
        <v>－</v>
      </c>
    </row>
    <row r="1154">
      <c r="A1154" s="20" t="s">
        <v>2181</v>
      </c>
      <c r="B1154" s="21" t="s">
        <v>2182</v>
      </c>
      <c r="C1154" s="22" t="s">
        <v>1764</v>
      </c>
      <c r="D1154" s="23" t="s">
        <v>1765</v>
      </c>
      <c r="E1154" s="24" t="s">
        <v>107</v>
      </c>
      <c r="F1154" s="28" t="n">
        <f>117</f>
        <v>117.0</v>
      </c>
      <c r="G1154" s="25" t="str">
        <f>"－"</f>
        <v>－</v>
      </c>
      <c r="H1154" s="25"/>
      <c r="I1154" s="25" t="str">
        <f>"－"</f>
        <v>－</v>
      </c>
      <c r="J1154" s="25" t="str">
        <f>"－"</f>
        <v>－</v>
      </c>
      <c r="K1154" s="25" t="str">
        <f>"－"</f>
        <v>－</v>
      </c>
      <c r="L1154" s="2" t="s">
        <v>156</v>
      </c>
      <c r="M1154" s="26" t="str">
        <f>"－"</f>
        <v>－</v>
      </c>
      <c r="N1154" s="3" t="s">
        <v>156</v>
      </c>
      <c r="O1154" s="27" t="str">
        <f>"－"</f>
        <v>－</v>
      </c>
      <c r="P1154" s="29" t="s">
        <v>262</v>
      </c>
      <c r="Q1154" s="25"/>
      <c r="R1154" s="29" t="s">
        <v>262</v>
      </c>
      <c r="S1154" s="25" t="str">
        <f>"－"</f>
        <v>－</v>
      </c>
      <c r="T1154" s="25" t="str">
        <f>"－"</f>
        <v>－</v>
      </c>
      <c r="U1154" s="3" t="s">
        <v>156</v>
      </c>
      <c r="V1154" s="27" t="str">
        <f>"－"</f>
        <v>－</v>
      </c>
      <c r="W1154" s="3" t="s">
        <v>156</v>
      </c>
      <c r="X1154" s="27" t="str">
        <f>"－"</f>
        <v>－</v>
      </c>
      <c r="Y1154" s="27" t="str">
        <f>"－"</f>
        <v>－</v>
      </c>
      <c r="Z1154" s="25" t="str">
        <f>"－"</f>
        <v>－</v>
      </c>
      <c r="AA1154" s="25" t="str">
        <f>"－"</f>
        <v>－</v>
      </c>
      <c r="AB1154" s="2" t="s">
        <v>156</v>
      </c>
      <c r="AC1154" s="26" t="str">
        <f>"－"</f>
        <v>－</v>
      </c>
      <c r="AD1154" s="3" t="s">
        <v>156</v>
      </c>
      <c r="AE1154" s="27" t="str">
        <f>"－"</f>
        <v>－</v>
      </c>
    </row>
    <row r="1155">
      <c r="A1155" s="20" t="s">
        <v>2181</v>
      </c>
      <c r="B1155" s="21" t="s">
        <v>2182</v>
      </c>
      <c r="C1155" s="22" t="s">
        <v>1768</v>
      </c>
      <c r="D1155" s="23" t="s">
        <v>1769</v>
      </c>
      <c r="E1155" s="24" t="s">
        <v>107</v>
      </c>
      <c r="F1155" s="28" t="n">
        <f>117</f>
        <v>117.0</v>
      </c>
      <c r="G1155" s="25" t="str">
        <f>"－"</f>
        <v>－</v>
      </c>
      <c r="H1155" s="25"/>
      <c r="I1155" s="25" t="str">
        <f>"－"</f>
        <v>－</v>
      </c>
      <c r="J1155" s="25" t="str">
        <f>"－"</f>
        <v>－</v>
      </c>
      <c r="K1155" s="25" t="str">
        <f>"－"</f>
        <v>－</v>
      </c>
      <c r="L1155" s="2" t="s">
        <v>156</v>
      </c>
      <c r="M1155" s="26" t="str">
        <f>"－"</f>
        <v>－</v>
      </c>
      <c r="N1155" s="3" t="s">
        <v>156</v>
      </c>
      <c r="O1155" s="27" t="str">
        <f>"－"</f>
        <v>－</v>
      </c>
      <c r="P1155" s="29" t="s">
        <v>262</v>
      </c>
      <c r="Q1155" s="25"/>
      <c r="R1155" s="29" t="s">
        <v>262</v>
      </c>
      <c r="S1155" s="25" t="str">
        <f>"－"</f>
        <v>－</v>
      </c>
      <c r="T1155" s="25" t="str">
        <f>"－"</f>
        <v>－</v>
      </c>
      <c r="U1155" s="3" t="s">
        <v>156</v>
      </c>
      <c r="V1155" s="27" t="str">
        <f>"－"</f>
        <v>－</v>
      </c>
      <c r="W1155" s="3" t="s">
        <v>156</v>
      </c>
      <c r="X1155" s="27" t="str">
        <f>"－"</f>
        <v>－</v>
      </c>
      <c r="Y1155" s="27" t="str">
        <f>"－"</f>
        <v>－</v>
      </c>
      <c r="Z1155" s="25" t="str">
        <f>"－"</f>
        <v>－</v>
      </c>
      <c r="AA1155" s="25" t="str">
        <f>"－"</f>
        <v>－</v>
      </c>
      <c r="AB1155" s="2" t="s">
        <v>156</v>
      </c>
      <c r="AC1155" s="26" t="str">
        <f>"－"</f>
        <v>－</v>
      </c>
      <c r="AD1155" s="3" t="s">
        <v>156</v>
      </c>
      <c r="AE1155" s="27" t="str">
        <f>"－"</f>
        <v>－</v>
      </c>
    </row>
    <row r="1156">
      <c r="A1156" s="20" t="s">
        <v>2181</v>
      </c>
      <c r="B1156" s="21" t="s">
        <v>2182</v>
      </c>
      <c r="C1156" s="22" t="s">
        <v>1760</v>
      </c>
      <c r="D1156" s="23" t="s">
        <v>1761</v>
      </c>
      <c r="E1156" s="24" t="s">
        <v>113</v>
      </c>
      <c r="F1156" s="28" t="n">
        <f>124</f>
        <v>124.0</v>
      </c>
      <c r="G1156" s="25" t="str">
        <f>"－"</f>
        <v>－</v>
      </c>
      <c r="H1156" s="25"/>
      <c r="I1156" s="25" t="str">
        <f>"－"</f>
        <v>－</v>
      </c>
      <c r="J1156" s="25" t="str">
        <f>"－"</f>
        <v>－</v>
      </c>
      <c r="K1156" s="25" t="str">
        <f>"－"</f>
        <v>－</v>
      </c>
      <c r="L1156" s="2" t="s">
        <v>68</v>
      </c>
      <c r="M1156" s="26" t="str">
        <f>"－"</f>
        <v>－</v>
      </c>
      <c r="N1156" s="3" t="s">
        <v>68</v>
      </c>
      <c r="O1156" s="27" t="str">
        <f>"－"</f>
        <v>－</v>
      </c>
      <c r="P1156" s="29" t="s">
        <v>262</v>
      </c>
      <c r="Q1156" s="25"/>
      <c r="R1156" s="29" t="s">
        <v>262</v>
      </c>
      <c r="S1156" s="25" t="str">
        <f>"－"</f>
        <v>－</v>
      </c>
      <c r="T1156" s="25" t="str">
        <f>"－"</f>
        <v>－</v>
      </c>
      <c r="U1156" s="3" t="s">
        <v>68</v>
      </c>
      <c r="V1156" s="27" t="str">
        <f>"－"</f>
        <v>－</v>
      </c>
      <c r="W1156" s="3" t="s">
        <v>68</v>
      </c>
      <c r="X1156" s="27" t="str">
        <f>"－"</f>
        <v>－</v>
      </c>
      <c r="Y1156" s="27" t="str">
        <f>"－"</f>
        <v>－</v>
      </c>
      <c r="Z1156" s="25" t="str">
        <f>"－"</f>
        <v>－</v>
      </c>
      <c r="AA1156" s="25" t="str">
        <f>"－"</f>
        <v>－</v>
      </c>
      <c r="AB1156" s="2" t="s">
        <v>68</v>
      </c>
      <c r="AC1156" s="26" t="str">
        <f>"－"</f>
        <v>－</v>
      </c>
      <c r="AD1156" s="3" t="s">
        <v>68</v>
      </c>
      <c r="AE1156" s="27" t="str">
        <f>"－"</f>
        <v>－</v>
      </c>
    </row>
    <row r="1157">
      <c r="A1157" s="20" t="s">
        <v>2181</v>
      </c>
      <c r="B1157" s="21" t="s">
        <v>2182</v>
      </c>
      <c r="C1157" s="22" t="s">
        <v>1764</v>
      </c>
      <c r="D1157" s="23" t="s">
        <v>1765</v>
      </c>
      <c r="E1157" s="24" t="s">
        <v>113</v>
      </c>
      <c r="F1157" s="28" t="n">
        <f>124</f>
        <v>124.0</v>
      </c>
      <c r="G1157" s="25" t="str">
        <f>"－"</f>
        <v>－</v>
      </c>
      <c r="H1157" s="25"/>
      <c r="I1157" s="25" t="str">
        <f>"－"</f>
        <v>－</v>
      </c>
      <c r="J1157" s="25" t="str">
        <f>"－"</f>
        <v>－</v>
      </c>
      <c r="K1157" s="25" t="str">
        <f>"－"</f>
        <v>－</v>
      </c>
      <c r="L1157" s="2" t="s">
        <v>68</v>
      </c>
      <c r="M1157" s="26" t="str">
        <f>"－"</f>
        <v>－</v>
      </c>
      <c r="N1157" s="3" t="s">
        <v>68</v>
      </c>
      <c r="O1157" s="27" t="str">
        <f>"－"</f>
        <v>－</v>
      </c>
      <c r="P1157" s="29" t="s">
        <v>262</v>
      </c>
      <c r="Q1157" s="25"/>
      <c r="R1157" s="29" t="s">
        <v>262</v>
      </c>
      <c r="S1157" s="25" t="str">
        <f>"－"</f>
        <v>－</v>
      </c>
      <c r="T1157" s="25" t="str">
        <f>"－"</f>
        <v>－</v>
      </c>
      <c r="U1157" s="3" t="s">
        <v>68</v>
      </c>
      <c r="V1157" s="27" t="str">
        <f>"－"</f>
        <v>－</v>
      </c>
      <c r="W1157" s="3" t="s">
        <v>68</v>
      </c>
      <c r="X1157" s="27" t="str">
        <f>"－"</f>
        <v>－</v>
      </c>
      <c r="Y1157" s="27" t="str">
        <f>"－"</f>
        <v>－</v>
      </c>
      <c r="Z1157" s="25" t="str">
        <f>"－"</f>
        <v>－</v>
      </c>
      <c r="AA1157" s="25" t="str">
        <f>"－"</f>
        <v>－</v>
      </c>
      <c r="AB1157" s="2" t="s">
        <v>68</v>
      </c>
      <c r="AC1157" s="26" t="str">
        <f>"－"</f>
        <v>－</v>
      </c>
      <c r="AD1157" s="3" t="s">
        <v>68</v>
      </c>
      <c r="AE1157" s="27" t="str">
        <f>"－"</f>
        <v>－</v>
      </c>
    </row>
    <row r="1158">
      <c r="A1158" s="20" t="s">
        <v>2181</v>
      </c>
      <c r="B1158" s="21" t="s">
        <v>2182</v>
      </c>
      <c r="C1158" s="22" t="s">
        <v>1768</v>
      </c>
      <c r="D1158" s="23" t="s">
        <v>1769</v>
      </c>
      <c r="E1158" s="24" t="s">
        <v>113</v>
      </c>
      <c r="F1158" s="28" t="n">
        <f>124</f>
        <v>124.0</v>
      </c>
      <c r="G1158" s="25" t="str">
        <f>"－"</f>
        <v>－</v>
      </c>
      <c r="H1158" s="25"/>
      <c r="I1158" s="25" t="str">
        <f>"－"</f>
        <v>－</v>
      </c>
      <c r="J1158" s="25" t="str">
        <f>"－"</f>
        <v>－</v>
      </c>
      <c r="K1158" s="25" t="str">
        <f>"－"</f>
        <v>－</v>
      </c>
      <c r="L1158" s="2" t="s">
        <v>68</v>
      </c>
      <c r="M1158" s="26" t="str">
        <f>"－"</f>
        <v>－</v>
      </c>
      <c r="N1158" s="3" t="s">
        <v>68</v>
      </c>
      <c r="O1158" s="27" t="str">
        <f>"－"</f>
        <v>－</v>
      </c>
      <c r="P1158" s="29" t="s">
        <v>262</v>
      </c>
      <c r="Q1158" s="25"/>
      <c r="R1158" s="29" t="s">
        <v>262</v>
      </c>
      <c r="S1158" s="25" t="str">
        <f>"－"</f>
        <v>－</v>
      </c>
      <c r="T1158" s="25" t="str">
        <f>"－"</f>
        <v>－</v>
      </c>
      <c r="U1158" s="3" t="s">
        <v>68</v>
      </c>
      <c r="V1158" s="27" t="str">
        <f>"－"</f>
        <v>－</v>
      </c>
      <c r="W1158" s="3" t="s">
        <v>68</v>
      </c>
      <c r="X1158" s="27" t="str">
        <f>"－"</f>
        <v>－</v>
      </c>
      <c r="Y1158" s="27" t="str">
        <f>"－"</f>
        <v>－</v>
      </c>
      <c r="Z1158" s="25" t="str">
        <f>"－"</f>
        <v>－</v>
      </c>
      <c r="AA1158" s="25" t="str">
        <f>"－"</f>
        <v>－</v>
      </c>
      <c r="AB1158" s="2" t="s">
        <v>68</v>
      </c>
      <c r="AC1158" s="26" t="str">
        <f>"－"</f>
        <v>－</v>
      </c>
      <c r="AD1158" s="3" t="s">
        <v>68</v>
      </c>
      <c r="AE1158" s="27" t="str">
        <f>"－"</f>
        <v>－</v>
      </c>
    </row>
    <row r="1159">
      <c r="A1159" s="20" t="s">
        <v>2181</v>
      </c>
      <c r="B1159" s="21" t="s">
        <v>2182</v>
      </c>
      <c r="C1159" s="22" t="s">
        <v>1760</v>
      </c>
      <c r="D1159" s="23" t="s">
        <v>1761</v>
      </c>
      <c r="E1159" s="24" t="s">
        <v>119</v>
      </c>
      <c r="F1159" s="28" t="n">
        <f>119</f>
        <v>119.0</v>
      </c>
      <c r="G1159" s="25" t="str">
        <f>"－"</f>
        <v>－</v>
      </c>
      <c r="H1159" s="25"/>
      <c r="I1159" s="25" t="str">
        <f>"－"</f>
        <v>－</v>
      </c>
      <c r="J1159" s="25" t="str">
        <f>"－"</f>
        <v>－</v>
      </c>
      <c r="K1159" s="25" t="str">
        <f>"－"</f>
        <v>－</v>
      </c>
      <c r="L1159" s="2" t="s">
        <v>328</v>
      </c>
      <c r="M1159" s="26" t="str">
        <f>"－"</f>
        <v>－</v>
      </c>
      <c r="N1159" s="3" t="s">
        <v>328</v>
      </c>
      <c r="O1159" s="27" t="str">
        <f>"－"</f>
        <v>－</v>
      </c>
      <c r="P1159" s="29" t="s">
        <v>262</v>
      </c>
      <c r="Q1159" s="25"/>
      <c r="R1159" s="29" t="s">
        <v>262</v>
      </c>
      <c r="S1159" s="25" t="str">
        <f>"－"</f>
        <v>－</v>
      </c>
      <c r="T1159" s="25" t="str">
        <f>"－"</f>
        <v>－</v>
      </c>
      <c r="U1159" s="3" t="s">
        <v>328</v>
      </c>
      <c r="V1159" s="27" t="str">
        <f>"－"</f>
        <v>－</v>
      </c>
      <c r="W1159" s="3" t="s">
        <v>328</v>
      </c>
      <c r="X1159" s="27" t="str">
        <f>"－"</f>
        <v>－</v>
      </c>
      <c r="Y1159" s="27" t="str">
        <f>"－"</f>
        <v>－</v>
      </c>
      <c r="Z1159" s="25" t="str">
        <f>"－"</f>
        <v>－</v>
      </c>
      <c r="AA1159" s="25" t="str">
        <f>"－"</f>
        <v>－</v>
      </c>
      <c r="AB1159" s="2" t="s">
        <v>328</v>
      </c>
      <c r="AC1159" s="26" t="str">
        <f>"－"</f>
        <v>－</v>
      </c>
      <c r="AD1159" s="3" t="s">
        <v>328</v>
      </c>
      <c r="AE1159" s="27" t="str">
        <f>"－"</f>
        <v>－</v>
      </c>
    </row>
    <row r="1160">
      <c r="A1160" s="20" t="s">
        <v>2181</v>
      </c>
      <c r="B1160" s="21" t="s">
        <v>2182</v>
      </c>
      <c r="C1160" s="22" t="s">
        <v>1764</v>
      </c>
      <c r="D1160" s="23" t="s">
        <v>1765</v>
      </c>
      <c r="E1160" s="24" t="s">
        <v>119</v>
      </c>
      <c r="F1160" s="28" t="n">
        <f>119</f>
        <v>119.0</v>
      </c>
      <c r="G1160" s="25" t="str">
        <f>"－"</f>
        <v>－</v>
      </c>
      <c r="H1160" s="25"/>
      <c r="I1160" s="25" t="str">
        <f>"－"</f>
        <v>－</v>
      </c>
      <c r="J1160" s="25" t="str">
        <f>"－"</f>
        <v>－</v>
      </c>
      <c r="K1160" s="25" t="str">
        <f>"－"</f>
        <v>－</v>
      </c>
      <c r="L1160" s="2" t="s">
        <v>328</v>
      </c>
      <c r="M1160" s="26" t="str">
        <f>"－"</f>
        <v>－</v>
      </c>
      <c r="N1160" s="3" t="s">
        <v>328</v>
      </c>
      <c r="O1160" s="27" t="str">
        <f>"－"</f>
        <v>－</v>
      </c>
      <c r="P1160" s="29" t="s">
        <v>262</v>
      </c>
      <c r="Q1160" s="25"/>
      <c r="R1160" s="29" t="s">
        <v>262</v>
      </c>
      <c r="S1160" s="25" t="str">
        <f>"－"</f>
        <v>－</v>
      </c>
      <c r="T1160" s="25" t="str">
        <f>"－"</f>
        <v>－</v>
      </c>
      <c r="U1160" s="3" t="s">
        <v>328</v>
      </c>
      <c r="V1160" s="27" t="str">
        <f>"－"</f>
        <v>－</v>
      </c>
      <c r="W1160" s="3" t="s">
        <v>328</v>
      </c>
      <c r="X1160" s="27" t="str">
        <f>"－"</f>
        <v>－</v>
      </c>
      <c r="Y1160" s="27" t="str">
        <f>"－"</f>
        <v>－</v>
      </c>
      <c r="Z1160" s="25" t="str">
        <f>"－"</f>
        <v>－</v>
      </c>
      <c r="AA1160" s="25" t="str">
        <f>"－"</f>
        <v>－</v>
      </c>
      <c r="AB1160" s="2" t="s">
        <v>328</v>
      </c>
      <c r="AC1160" s="26" t="str">
        <f>"－"</f>
        <v>－</v>
      </c>
      <c r="AD1160" s="3" t="s">
        <v>328</v>
      </c>
      <c r="AE1160" s="27" t="str">
        <f>"－"</f>
        <v>－</v>
      </c>
    </row>
    <row r="1161">
      <c r="A1161" s="20" t="s">
        <v>2181</v>
      </c>
      <c r="B1161" s="21" t="s">
        <v>2182</v>
      </c>
      <c r="C1161" s="22" t="s">
        <v>1768</v>
      </c>
      <c r="D1161" s="23" t="s">
        <v>1769</v>
      </c>
      <c r="E1161" s="24" t="s">
        <v>119</v>
      </c>
      <c r="F1161" s="28" t="n">
        <f>119</f>
        <v>119.0</v>
      </c>
      <c r="G1161" s="25" t="str">
        <f>"－"</f>
        <v>－</v>
      </c>
      <c r="H1161" s="25"/>
      <c r="I1161" s="25" t="str">
        <f>"－"</f>
        <v>－</v>
      </c>
      <c r="J1161" s="25" t="str">
        <f>"－"</f>
        <v>－</v>
      </c>
      <c r="K1161" s="25" t="str">
        <f>"－"</f>
        <v>－</v>
      </c>
      <c r="L1161" s="2" t="s">
        <v>328</v>
      </c>
      <c r="M1161" s="26" t="str">
        <f>"－"</f>
        <v>－</v>
      </c>
      <c r="N1161" s="3" t="s">
        <v>328</v>
      </c>
      <c r="O1161" s="27" t="str">
        <f>"－"</f>
        <v>－</v>
      </c>
      <c r="P1161" s="29" t="s">
        <v>262</v>
      </c>
      <c r="Q1161" s="25"/>
      <c r="R1161" s="29" t="s">
        <v>262</v>
      </c>
      <c r="S1161" s="25" t="str">
        <f>"－"</f>
        <v>－</v>
      </c>
      <c r="T1161" s="25" t="str">
        <f>"－"</f>
        <v>－</v>
      </c>
      <c r="U1161" s="3" t="s">
        <v>328</v>
      </c>
      <c r="V1161" s="27" t="str">
        <f>"－"</f>
        <v>－</v>
      </c>
      <c r="W1161" s="3" t="s">
        <v>328</v>
      </c>
      <c r="X1161" s="27" t="str">
        <f>"－"</f>
        <v>－</v>
      </c>
      <c r="Y1161" s="27" t="str">
        <f>"－"</f>
        <v>－</v>
      </c>
      <c r="Z1161" s="25" t="str">
        <f>"－"</f>
        <v>－</v>
      </c>
      <c r="AA1161" s="25" t="str">
        <f>"－"</f>
        <v>－</v>
      </c>
      <c r="AB1161" s="2" t="s">
        <v>328</v>
      </c>
      <c r="AC1161" s="26" t="str">
        <f>"－"</f>
        <v>－</v>
      </c>
      <c r="AD1161" s="3" t="s">
        <v>328</v>
      </c>
      <c r="AE1161" s="27" t="str">
        <f>"－"</f>
        <v>－</v>
      </c>
    </row>
    <row r="1162">
      <c r="A1162" s="20" t="s">
        <v>2181</v>
      </c>
      <c r="B1162" s="21" t="s">
        <v>2182</v>
      </c>
      <c r="C1162" s="22" t="s">
        <v>1760</v>
      </c>
      <c r="D1162" s="23" t="s">
        <v>1761</v>
      </c>
      <c r="E1162" s="24" t="s">
        <v>124</v>
      </c>
      <c r="F1162" s="28" t="n">
        <f>124</f>
        <v>124.0</v>
      </c>
      <c r="G1162" s="25" t="str">
        <f>"－"</f>
        <v>－</v>
      </c>
      <c r="H1162" s="25"/>
      <c r="I1162" s="25" t="str">
        <f>"－"</f>
        <v>－</v>
      </c>
      <c r="J1162" s="25" t="str">
        <f>"－"</f>
        <v>－</v>
      </c>
      <c r="K1162" s="25" t="str">
        <f>"－"</f>
        <v>－</v>
      </c>
      <c r="L1162" s="2" t="s">
        <v>68</v>
      </c>
      <c r="M1162" s="26" t="str">
        <f>"－"</f>
        <v>－</v>
      </c>
      <c r="N1162" s="3" t="s">
        <v>68</v>
      </c>
      <c r="O1162" s="27" t="str">
        <f>"－"</f>
        <v>－</v>
      </c>
      <c r="P1162" s="29" t="s">
        <v>262</v>
      </c>
      <c r="Q1162" s="25"/>
      <c r="R1162" s="29" t="s">
        <v>262</v>
      </c>
      <c r="S1162" s="25" t="str">
        <f>"－"</f>
        <v>－</v>
      </c>
      <c r="T1162" s="25" t="str">
        <f>"－"</f>
        <v>－</v>
      </c>
      <c r="U1162" s="3" t="s">
        <v>68</v>
      </c>
      <c r="V1162" s="27" t="str">
        <f>"－"</f>
        <v>－</v>
      </c>
      <c r="W1162" s="3" t="s">
        <v>68</v>
      </c>
      <c r="X1162" s="27" t="str">
        <f>"－"</f>
        <v>－</v>
      </c>
      <c r="Y1162" s="27" t="str">
        <f>"－"</f>
        <v>－</v>
      </c>
      <c r="Z1162" s="25" t="str">
        <f>"－"</f>
        <v>－</v>
      </c>
      <c r="AA1162" s="25" t="str">
        <f>"－"</f>
        <v>－</v>
      </c>
      <c r="AB1162" s="2" t="s">
        <v>68</v>
      </c>
      <c r="AC1162" s="26" t="str">
        <f>"－"</f>
        <v>－</v>
      </c>
      <c r="AD1162" s="3" t="s">
        <v>68</v>
      </c>
      <c r="AE1162" s="27" t="str">
        <f>"－"</f>
        <v>－</v>
      </c>
    </row>
    <row r="1163">
      <c r="A1163" s="20" t="s">
        <v>2181</v>
      </c>
      <c r="B1163" s="21" t="s">
        <v>2182</v>
      </c>
      <c r="C1163" s="22" t="s">
        <v>1764</v>
      </c>
      <c r="D1163" s="23" t="s">
        <v>1765</v>
      </c>
      <c r="E1163" s="24" t="s">
        <v>124</v>
      </c>
      <c r="F1163" s="28" t="n">
        <f>124</f>
        <v>124.0</v>
      </c>
      <c r="G1163" s="25" t="str">
        <f>"－"</f>
        <v>－</v>
      </c>
      <c r="H1163" s="25"/>
      <c r="I1163" s="25" t="str">
        <f>"－"</f>
        <v>－</v>
      </c>
      <c r="J1163" s="25" t="str">
        <f>"－"</f>
        <v>－</v>
      </c>
      <c r="K1163" s="25" t="str">
        <f>"－"</f>
        <v>－</v>
      </c>
      <c r="L1163" s="2" t="s">
        <v>68</v>
      </c>
      <c r="M1163" s="26" t="str">
        <f>"－"</f>
        <v>－</v>
      </c>
      <c r="N1163" s="3" t="s">
        <v>68</v>
      </c>
      <c r="O1163" s="27" t="str">
        <f>"－"</f>
        <v>－</v>
      </c>
      <c r="P1163" s="29" t="s">
        <v>262</v>
      </c>
      <c r="Q1163" s="25"/>
      <c r="R1163" s="29" t="s">
        <v>262</v>
      </c>
      <c r="S1163" s="25" t="str">
        <f>"－"</f>
        <v>－</v>
      </c>
      <c r="T1163" s="25" t="str">
        <f>"－"</f>
        <v>－</v>
      </c>
      <c r="U1163" s="3" t="s">
        <v>68</v>
      </c>
      <c r="V1163" s="27" t="str">
        <f>"－"</f>
        <v>－</v>
      </c>
      <c r="W1163" s="3" t="s">
        <v>68</v>
      </c>
      <c r="X1163" s="27" t="str">
        <f>"－"</f>
        <v>－</v>
      </c>
      <c r="Y1163" s="27" t="str">
        <f>"－"</f>
        <v>－</v>
      </c>
      <c r="Z1163" s="25" t="str">
        <f>"－"</f>
        <v>－</v>
      </c>
      <c r="AA1163" s="25" t="str">
        <f>"－"</f>
        <v>－</v>
      </c>
      <c r="AB1163" s="2" t="s">
        <v>68</v>
      </c>
      <c r="AC1163" s="26" t="str">
        <f>"－"</f>
        <v>－</v>
      </c>
      <c r="AD1163" s="3" t="s">
        <v>68</v>
      </c>
      <c r="AE1163" s="27" t="str">
        <f>"－"</f>
        <v>－</v>
      </c>
    </row>
    <row r="1164">
      <c r="A1164" s="20" t="s">
        <v>2181</v>
      </c>
      <c r="B1164" s="21" t="s">
        <v>2182</v>
      </c>
      <c r="C1164" s="22" t="s">
        <v>1768</v>
      </c>
      <c r="D1164" s="23" t="s">
        <v>1769</v>
      </c>
      <c r="E1164" s="24" t="s">
        <v>124</v>
      </c>
      <c r="F1164" s="28" t="n">
        <f>124</f>
        <v>124.0</v>
      </c>
      <c r="G1164" s="25" t="str">
        <f>"－"</f>
        <v>－</v>
      </c>
      <c r="H1164" s="25"/>
      <c r="I1164" s="25" t="str">
        <f>"－"</f>
        <v>－</v>
      </c>
      <c r="J1164" s="25" t="str">
        <f>"－"</f>
        <v>－</v>
      </c>
      <c r="K1164" s="25" t="str">
        <f>"－"</f>
        <v>－</v>
      </c>
      <c r="L1164" s="2" t="s">
        <v>68</v>
      </c>
      <c r="M1164" s="26" t="str">
        <f>"－"</f>
        <v>－</v>
      </c>
      <c r="N1164" s="3" t="s">
        <v>68</v>
      </c>
      <c r="O1164" s="27" t="str">
        <f>"－"</f>
        <v>－</v>
      </c>
      <c r="P1164" s="29" t="s">
        <v>262</v>
      </c>
      <c r="Q1164" s="25"/>
      <c r="R1164" s="29" t="s">
        <v>262</v>
      </c>
      <c r="S1164" s="25" t="str">
        <f>"－"</f>
        <v>－</v>
      </c>
      <c r="T1164" s="25" t="str">
        <f>"－"</f>
        <v>－</v>
      </c>
      <c r="U1164" s="3" t="s">
        <v>68</v>
      </c>
      <c r="V1164" s="27" t="str">
        <f>"－"</f>
        <v>－</v>
      </c>
      <c r="W1164" s="3" t="s">
        <v>68</v>
      </c>
      <c r="X1164" s="27" t="str">
        <f>"－"</f>
        <v>－</v>
      </c>
      <c r="Y1164" s="27" t="str">
        <f>"－"</f>
        <v>－</v>
      </c>
      <c r="Z1164" s="25" t="str">
        <f>"－"</f>
        <v>－</v>
      </c>
      <c r="AA1164" s="25" t="str">
        <f>"－"</f>
        <v>－</v>
      </c>
      <c r="AB1164" s="2" t="s">
        <v>68</v>
      </c>
      <c r="AC1164" s="26" t="str">
        <f>"－"</f>
        <v>－</v>
      </c>
      <c r="AD1164" s="3" t="s">
        <v>68</v>
      </c>
      <c r="AE1164" s="27" t="str">
        <f>"－"</f>
        <v>－</v>
      </c>
    </row>
    <row r="1165">
      <c r="A1165" s="20" t="s">
        <v>2181</v>
      </c>
      <c r="B1165" s="21" t="s">
        <v>2182</v>
      </c>
      <c r="C1165" s="22" t="s">
        <v>1760</v>
      </c>
      <c r="D1165" s="23" t="s">
        <v>1761</v>
      </c>
      <c r="E1165" s="24" t="s">
        <v>130</v>
      </c>
      <c r="F1165" s="28" t="n">
        <f>121</f>
        <v>121.0</v>
      </c>
      <c r="G1165" s="25" t="str">
        <f>"－"</f>
        <v>－</v>
      </c>
      <c r="H1165" s="25"/>
      <c r="I1165" s="25" t="str">
        <f>"－"</f>
        <v>－</v>
      </c>
      <c r="J1165" s="25" t="str">
        <f>"－"</f>
        <v>－</v>
      </c>
      <c r="K1165" s="25" t="str">
        <f>"－"</f>
        <v>－</v>
      </c>
      <c r="L1165" s="2" t="s">
        <v>156</v>
      </c>
      <c r="M1165" s="26" t="str">
        <f>"－"</f>
        <v>－</v>
      </c>
      <c r="N1165" s="3" t="s">
        <v>156</v>
      </c>
      <c r="O1165" s="27" t="str">
        <f>"－"</f>
        <v>－</v>
      </c>
      <c r="P1165" s="29" t="s">
        <v>262</v>
      </c>
      <c r="Q1165" s="25"/>
      <c r="R1165" s="29" t="s">
        <v>262</v>
      </c>
      <c r="S1165" s="25" t="str">
        <f>"－"</f>
        <v>－</v>
      </c>
      <c r="T1165" s="25" t="str">
        <f>"－"</f>
        <v>－</v>
      </c>
      <c r="U1165" s="3" t="s">
        <v>156</v>
      </c>
      <c r="V1165" s="27" t="str">
        <f>"－"</f>
        <v>－</v>
      </c>
      <c r="W1165" s="3" t="s">
        <v>156</v>
      </c>
      <c r="X1165" s="27" t="str">
        <f>"－"</f>
        <v>－</v>
      </c>
      <c r="Y1165" s="27" t="str">
        <f>"－"</f>
        <v>－</v>
      </c>
      <c r="Z1165" s="25" t="str">
        <f>"－"</f>
        <v>－</v>
      </c>
      <c r="AA1165" s="25" t="str">
        <f>"－"</f>
        <v>－</v>
      </c>
      <c r="AB1165" s="2" t="s">
        <v>156</v>
      </c>
      <c r="AC1165" s="26" t="str">
        <f>"－"</f>
        <v>－</v>
      </c>
      <c r="AD1165" s="3" t="s">
        <v>156</v>
      </c>
      <c r="AE1165" s="27" t="str">
        <f>"－"</f>
        <v>－</v>
      </c>
    </row>
    <row r="1166">
      <c r="A1166" s="20" t="s">
        <v>2181</v>
      </c>
      <c r="B1166" s="21" t="s">
        <v>2182</v>
      </c>
      <c r="C1166" s="22" t="s">
        <v>1764</v>
      </c>
      <c r="D1166" s="23" t="s">
        <v>1765</v>
      </c>
      <c r="E1166" s="24" t="s">
        <v>130</v>
      </c>
      <c r="F1166" s="28" t="n">
        <f>121</f>
        <v>121.0</v>
      </c>
      <c r="G1166" s="25" t="str">
        <f>"－"</f>
        <v>－</v>
      </c>
      <c r="H1166" s="25"/>
      <c r="I1166" s="25" t="str">
        <f>"－"</f>
        <v>－</v>
      </c>
      <c r="J1166" s="25" t="str">
        <f>"－"</f>
        <v>－</v>
      </c>
      <c r="K1166" s="25" t="str">
        <f>"－"</f>
        <v>－</v>
      </c>
      <c r="L1166" s="2" t="s">
        <v>156</v>
      </c>
      <c r="M1166" s="26" t="str">
        <f>"－"</f>
        <v>－</v>
      </c>
      <c r="N1166" s="3" t="s">
        <v>156</v>
      </c>
      <c r="O1166" s="27" t="str">
        <f>"－"</f>
        <v>－</v>
      </c>
      <c r="P1166" s="29" t="s">
        <v>262</v>
      </c>
      <c r="Q1166" s="25"/>
      <c r="R1166" s="29" t="s">
        <v>262</v>
      </c>
      <c r="S1166" s="25" t="str">
        <f>"－"</f>
        <v>－</v>
      </c>
      <c r="T1166" s="25" t="str">
        <f>"－"</f>
        <v>－</v>
      </c>
      <c r="U1166" s="3" t="s">
        <v>156</v>
      </c>
      <c r="V1166" s="27" t="str">
        <f>"－"</f>
        <v>－</v>
      </c>
      <c r="W1166" s="3" t="s">
        <v>156</v>
      </c>
      <c r="X1166" s="27" t="str">
        <f>"－"</f>
        <v>－</v>
      </c>
      <c r="Y1166" s="27" t="str">
        <f>"－"</f>
        <v>－</v>
      </c>
      <c r="Z1166" s="25" t="str">
        <f>"－"</f>
        <v>－</v>
      </c>
      <c r="AA1166" s="25" t="str">
        <f>"－"</f>
        <v>－</v>
      </c>
      <c r="AB1166" s="2" t="s">
        <v>156</v>
      </c>
      <c r="AC1166" s="26" t="str">
        <f>"－"</f>
        <v>－</v>
      </c>
      <c r="AD1166" s="3" t="s">
        <v>156</v>
      </c>
      <c r="AE1166" s="27" t="str">
        <f>"－"</f>
        <v>－</v>
      </c>
    </row>
    <row r="1167">
      <c r="A1167" s="20" t="s">
        <v>2181</v>
      </c>
      <c r="B1167" s="21" t="s">
        <v>2182</v>
      </c>
      <c r="C1167" s="22" t="s">
        <v>1768</v>
      </c>
      <c r="D1167" s="23" t="s">
        <v>1769</v>
      </c>
      <c r="E1167" s="24" t="s">
        <v>130</v>
      </c>
      <c r="F1167" s="28" t="n">
        <f>121</f>
        <v>121.0</v>
      </c>
      <c r="G1167" s="25" t="str">
        <f>"－"</f>
        <v>－</v>
      </c>
      <c r="H1167" s="25"/>
      <c r="I1167" s="25" t="str">
        <f>"－"</f>
        <v>－</v>
      </c>
      <c r="J1167" s="25" t="str">
        <f>"－"</f>
        <v>－</v>
      </c>
      <c r="K1167" s="25" t="str">
        <f>"－"</f>
        <v>－</v>
      </c>
      <c r="L1167" s="2" t="s">
        <v>156</v>
      </c>
      <c r="M1167" s="26" t="str">
        <f>"－"</f>
        <v>－</v>
      </c>
      <c r="N1167" s="3" t="s">
        <v>156</v>
      </c>
      <c r="O1167" s="27" t="str">
        <f>"－"</f>
        <v>－</v>
      </c>
      <c r="P1167" s="29" t="s">
        <v>262</v>
      </c>
      <c r="Q1167" s="25"/>
      <c r="R1167" s="29" t="s">
        <v>262</v>
      </c>
      <c r="S1167" s="25" t="str">
        <f>"－"</f>
        <v>－</v>
      </c>
      <c r="T1167" s="25" t="str">
        <f>"－"</f>
        <v>－</v>
      </c>
      <c r="U1167" s="3" t="s">
        <v>156</v>
      </c>
      <c r="V1167" s="27" t="str">
        <f>"－"</f>
        <v>－</v>
      </c>
      <c r="W1167" s="3" t="s">
        <v>156</v>
      </c>
      <c r="X1167" s="27" t="str">
        <f>"－"</f>
        <v>－</v>
      </c>
      <c r="Y1167" s="27" t="str">
        <f>"－"</f>
        <v>－</v>
      </c>
      <c r="Z1167" s="25" t="str">
        <f>"－"</f>
        <v>－</v>
      </c>
      <c r="AA1167" s="25" t="str">
        <f>"－"</f>
        <v>－</v>
      </c>
      <c r="AB1167" s="2" t="s">
        <v>156</v>
      </c>
      <c r="AC1167" s="26" t="str">
        <f>"－"</f>
        <v>－</v>
      </c>
      <c r="AD1167" s="3" t="s">
        <v>156</v>
      </c>
      <c r="AE1167" s="27" t="str">
        <f>"－"</f>
        <v>－</v>
      </c>
    </row>
    <row r="1168">
      <c r="A1168" s="20" t="s">
        <v>2181</v>
      </c>
      <c r="B1168" s="21" t="s">
        <v>2182</v>
      </c>
      <c r="C1168" s="22" t="s">
        <v>1760</v>
      </c>
      <c r="D1168" s="23" t="s">
        <v>1761</v>
      </c>
      <c r="E1168" s="24" t="s">
        <v>136</v>
      </c>
      <c r="F1168" s="28" t="n">
        <f>124</f>
        <v>124.0</v>
      </c>
      <c r="G1168" s="25" t="str">
        <f>"－"</f>
        <v>－</v>
      </c>
      <c r="H1168" s="25"/>
      <c r="I1168" s="25" t="str">
        <f>"－"</f>
        <v>－</v>
      </c>
      <c r="J1168" s="25" t="str">
        <f>"－"</f>
        <v>－</v>
      </c>
      <c r="K1168" s="25" t="str">
        <f>"－"</f>
        <v>－</v>
      </c>
      <c r="L1168" s="2" t="s">
        <v>68</v>
      </c>
      <c r="M1168" s="26" t="str">
        <f>"－"</f>
        <v>－</v>
      </c>
      <c r="N1168" s="3" t="s">
        <v>68</v>
      </c>
      <c r="O1168" s="27" t="str">
        <f>"－"</f>
        <v>－</v>
      </c>
      <c r="P1168" s="29" t="s">
        <v>262</v>
      </c>
      <c r="Q1168" s="25"/>
      <c r="R1168" s="29" t="s">
        <v>262</v>
      </c>
      <c r="S1168" s="25" t="str">
        <f>"－"</f>
        <v>－</v>
      </c>
      <c r="T1168" s="25" t="str">
        <f>"－"</f>
        <v>－</v>
      </c>
      <c r="U1168" s="3" t="s">
        <v>68</v>
      </c>
      <c r="V1168" s="27" t="str">
        <f>"－"</f>
        <v>－</v>
      </c>
      <c r="W1168" s="3" t="s">
        <v>68</v>
      </c>
      <c r="X1168" s="27" t="str">
        <f>"－"</f>
        <v>－</v>
      </c>
      <c r="Y1168" s="27" t="str">
        <f>"－"</f>
        <v>－</v>
      </c>
      <c r="Z1168" s="25" t="str">
        <f>"－"</f>
        <v>－</v>
      </c>
      <c r="AA1168" s="25" t="str">
        <f>"－"</f>
        <v>－</v>
      </c>
      <c r="AB1168" s="2" t="s">
        <v>68</v>
      </c>
      <c r="AC1168" s="26" t="str">
        <f>"－"</f>
        <v>－</v>
      </c>
      <c r="AD1168" s="3" t="s">
        <v>68</v>
      </c>
      <c r="AE1168" s="27" t="str">
        <f>"－"</f>
        <v>－</v>
      </c>
    </row>
    <row r="1169">
      <c r="A1169" s="20" t="s">
        <v>2181</v>
      </c>
      <c r="B1169" s="21" t="s">
        <v>2182</v>
      </c>
      <c r="C1169" s="22" t="s">
        <v>1764</v>
      </c>
      <c r="D1169" s="23" t="s">
        <v>1765</v>
      </c>
      <c r="E1169" s="24" t="s">
        <v>136</v>
      </c>
      <c r="F1169" s="28" t="n">
        <f>124</f>
        <v>124.0</v>
      </c>
      <c r="G1169" s="25" t="str">
        <f>"－"</f>
        <v>－</v>
      </c>
      <c r="H1169" s="25"/>
      <c r="I1169" s="25" t="str">
        <f>"－"</f>
        <v>－</v>
      </c>
      <c r="J1169" s="25" t="str">
        <f>"－"</f>
        <v>－</v>
      </c>
      <c r="K1169" s="25" t="str">
        <f>"－"</f>
        <v>－</v>
      </c>
      <c r="L1169" s="2" t="s">
        <v>68</v>
      </c>
      <c r="M1169" s="26" t="str">
        <f>"－"</f>
        <v>－</v>
      </c>
      <c r="N1169" s="3" t="s">
        <v>68</v>
      </c>
      <c r="O1169" s="27" t="str">
        <f>"－"</f>
        <v>－</v>
      </c>
      <c r="P1169" s="29" t="s">
        <v>262</v>
      </c>
      <c r="Q1169" s="25"/>
      <c r="R1169" s="29" t="s">
        <v>262</v>
      </c>
      <c r="S1169" s="25" t="str">
        <f>"－"</f>
        <v>－</v>
      </c>
      <c r="T1169" s="25" t="str">
        <f>"－"</f>
        <v>－</v>
      </c>
      <c r="U1169" s="3" t="s">
        <v>68</v>
      </c>
      <c r="V1169" s="27" t="str">
        <f>"－"</f>
        <v>－</v>
      </c>
      <c r="W1169" s="3" t="s">
        <v>68</v>
      </c>
      <c r="X1169" s="27" t="str">
        <f>"－"</f>
        <v>－</v>
      </c>
      <c r="Y1169" s="27" t="str">
        <f>"－"</f>
        <v>－</v>
      </c>
      <c r="Z1169" s="25" t="str">
        <f>"－"</f>
        <v>－</v>
      </c>
      <c r="AA1169" s="25" t="str">
        <f>"－"</f>
        <v>－</v>
      </c>
      <c r="AB1169" s="2" t="s">
        <v>68</v>
      </c>
      <c r="AC1169" s="26" t="str">
        <f>"－"</f>
        <v>－</v>
      </c>
      <c r="AD1169" s="3" t="s">
        <v>68</v>
      </c>
      <c r="AE1169" s="27" t="str">
        <f>"－"</f>
        <v>－</v>
      </c>
    </row>
    <row r="1170">
      <c r="A1170" s="20" t="s">
        <v>2181</v>
      </c>
      <c r="B1170" s="21" t="s">
        <v>2182</v>
      </c>
      <c r="C1170" s="22" t="s">
        <v>1768</v>
      </c>
      <c r="D1170" s="23" t="s">
        <v>1769</v>
      </c>
      <c r="E1170" s="24" t="s">
        <v>136</v>
      </c>
      <c r="F1170" s="28" t="n">
        <f>124</f>
        <v>124.0</v>
      </c>
      <c r="G1170" s="25" t="str">
        <f>"－"</f>
        <v>－</v>
      </c>
      <c r="H1170" s="25"/>
      <c r="I1170" s="25" t="str">
        <f>"－"</f>
        <v>－</v>
      </c>
      <c r="J1170" s="25" t="str">
        <f>"－"</f>
        <v>－</v>
      </c>
      <c r="K1170" s="25" t="str">
        <f>"－"</f>
        <v>－</v>
      </c>
      <c r="L1170" s="2" t="s">
        <v>68</v>
      </c>
      <c r="M1170" s="26" t="str">
        <f>"－"</f>
        <v>－</v>
      </c>
      <c r="N1170" s="3" t="s">
        <v>68</v>
      </c>
      <c r="O1170" s="27" t="str">
        <f>"－"</f>
        <v>－</v>
      </c>
      <c r="P1170" s="29" t="s">
        <v>262</v>
      </c>
      <c r="Q1170" s="25"/>
      <c r="R1170" s="29" t="s">
        <v>262</v>
      </c>
      <c r="S1170" s="25" t="str">
        <f>"－"</f>
        <v>－</v>
      </c>
      <c r="T1170" s="25" t="str">
        <f>"－"</f>
        <v>－</v>
      </c>
      <c r="U1170" s="3" t="s">
        <v>68</v>
      </c>
      <c r="V1170" s="27" t="str">
        <f>"－"</f>
        <v>－</v>
      </c>
      <c r="W1170" s="3" t="s">
        <v>68</v>
      </c>
      <c r="X1170" s="27" t="str">
        <f>"－"</f>
        <v>－</v>
      </c>
      <c r="Y1170" s="27" t="str">
        <f>"－"</f>
        <v>－</v>
      </c>
      <c r="Z1170" s="25" t="str">
        <f>"－"</f>
        <v>－</v>
      </c>
      <c r="AA1170" s="25" t="str">
        <f>"－"</f>
        <v>－</v>
      </c>
      <c r="AB1170" s="2" t="s">
        <v>68</v>
      </c>
      <c r="AC1170" s="26" t="str">
        <f>"－"</f>
        <v>－</v>
      </c>
      <c r="AD1170" s="3" t="s">
        <v>68</v>
      </c>
      <c r="AE1170" s="27" t="str">
        <f>"－"</f>
        <v>－</v>
      </c>
    </row>
    <row r="1171">
      <c r="A1171" s="20" t="s">
        <v>2181</v>
      </c>
      <c r="B1171" s="21" t="s">
        <v>2182</v>
      </c>
      <c r="C1171" s="22" t="s">
        <v>1760</v>
      </c>
      <c r="D1171" s="23" t="s">
        <v>1761</v>
      </c>
      <c r="E1171" s="24" t="s">
        <v>142</v>
      </c>
      <c r="F1171" s="28" t="n">
        <f>120</f>
        <v>120.0</v>
      </c>
      <c r="G1171" s="25" t="str">
        <f>"－"</f>
        <v>－</v>
      </c>
      <c r="H1171" s="25"/>
      <c r="I1171" s="25" t="str">
        <f>"－"</f>
        <v>－</v>
      </c>
      <c r="J1171" s="25" t="str">
        <f>"－"</f>
        <v>－</v>
      </c>
      <c r="K1171" s="25" t="str">
        <f>"－"</f>
        <v>－</v>
      </c>
      <c r="L1171" s="2" t="s">
        <v>156</v>
      </c>
      <c r="M1171" s="26" t="str">
        <f>"－"</f>
        <v>－</v>
      </c>
      <c r="N1171" s="3" t="s">
        <v>156</v>
      </c>
      <c r="O1171" s="27" t="str">
        <f>"－"</f>
        <v>－</v>
      </c>
      <c r="P1171" s="29" t="s">
        <v>262</v>
      </c>
      <c r="Q1171" s="25"/>
      <c r="R1171" s="29" t="s">
        <v>262</v>
      </c>
      <c r="S1171" s="25" t="str">
        <f>"－"</f>
        <v>－</v>
      </c>
      <c r="T1171" s="25" t="str">
        <f>"－"</f>
        <v>－</v>
      </c>
      <c r="U1171" s="3" t="s">
        <v>156</v>
      </c>
      <c r="V1171" s="27" t="str">
        <f>"－"</f>
        <v>－</v>
      </c>
      <c r="W1171" s="3" t="s">
        <v>156</v>
      </c>
      <c r="X1171" s="27" t="str">
        <f>"－"</f>
        <v>－</v>
      </c>
      <c r="Y1171" s="27" t="str">
        <f>"－"</f>
        <v>－</v>
      </c>
      <c r="Z1171" s="25" t="str">
        <f>"－"</f>
        <v>－</v>
      </c>
      <c r="AA1171" s="25" t="str">
        <f>"－"</f>
        <v>－</v>
      </c>
      <c r="AB1171" s="2" t="s">
        <v>156</v>
      </c>
      <c r="AC1171" s="26" t="str">
        <f>"－"</f>
        <v>－</v>
      </c>
      <c r="AD1171" s="3" t="s">
        <v>156</v>
      </c>
      <c r="AE1171" s="27" t="str">
        <f>"－"</f>
        <v>－</v>
      </c>
    </row>
    <row r="1172">
      <c r="A1172" s="20" t="s">
        <v>2181</v>
      </c>
      <c r="B1172" s="21" t="s">
        <v>2182</v>
      </c>
      <c r="C1172" s="22" t="s">
        <v>1764</v>
      </c>
      <c r="D1172" s="23" t="s">
        <v>1765</v>
      </c>
      <c r="E1172" s="24" t="s">
        <v>142</v>
      </c>
      <c r="F1172" s="28" t="n">
        <f>120</f>
        <v>120.0</v>
      </c>
      <c r="G1172" s="25" t="str">
        <f>"－"</f>
        <v>－</v>
      </c>
      <c r="H1172" s="25"/>
      <c r="I1172" s="25" t="str">
        <f>"－"</f>
        <v>－</v>
      </c>
      <c r="J1172" s="25" t="str">
        <f>"－"</f>
        <v>－</v>
      </c>
      <c r="K1172" s="25" t="str">
        <f>"－"</f>
        <v>－</v>
      </c>
      <c r="L1172" s="2" t="s">
        <v>156</v>
      </c>
      <c r="M1172" s="26" t="str">
        <f>"－"</f>
        <v>－</v>
      </c>
      <c r="N1172" s="3" t="s">
        <v>156</v>
      </c>
      <c r="O1172" s="27" t="str">
        <f>"－"</f>
        <v>－</v>
      </c>
      <c r="P1172" s="29" t="s">
        <v>262</v>
      </c>
      <c r="Q1172" s="25"/>
      <c r="R1172" s="29" t="s">
        <v>262</v>
      </c>
      <c r="S1172" s="25" t="str">
        <f>"－"</f>
        <v>－</v>
      </c>
      <c r="T1172" s="25" t="str">
        <f>"－"</f>
        <v>－</v>
      </c>
      <c r="U1172" s="3" t="s">
        <v>156</v>
      </c>
      <c r="V1172" s="27" t="str">
        <f>"－"</f>
        <v>－</v>
      </c>
      <c r="W1172" s="3" t="s">
        <v>156</v>
      </c>
      <c r="X1172" s="27" t="str">
        <f>"－"</f>
        <v>－</v>
      </c>
      <c r="Y1172" s="27" t="str">
        <f>"－"</f>
        <v>－</v>
      </c>
      <c r="Z1172" s="25" t="str">
        <f>"－"</f>
        <v>－</v>
      </c>
      <c r="AA1172" s="25" t="str">
        <f>"－"</f>
        <v>－</v>
      </c>
      <c r="AB1172" s="2" t="s">
        <v>156</v>
      </c>
      <c r="AC1172" s="26" t="str">
        <f>"－"</f>
        <v>－</v>
      </c>
      <c r="AD1172" s="3" t="s">
        <v>156</v>
      </c>
      <c r="AE1172" s="27" t="str">
        <f>"－"</f>
        <v>－</v>
      </c>
    </row>
    <row r="1173">
      <c r="A1173" s="20" t="s">
        <v>2181</v>
      </c>
      <c r="B1173" s="21" t="s">
        <v>2182</v>
      </c>
      <c r="C1173" s="22" t="s">
        <v>1768</v>
      </c>
      <c r="D1173" s="23" t="s">
        <v>1769</v>
      </c>
      <c r="E1173" s="24" t="s">
        <v>142</v>
      </c>
      <c r="F1173" s="28" t="n">
        <f>120</f>
        <v>120.0</v>
      </c>
      <c r="G1173" s="25" t="str">
        <f>"－"</f>
        <v>－</v>
      </c>
      <c r="H1173" s="25"/>
      <c r="I1173" s="25" t="str">
        <f>"－"</f>
        <v>－</v>
      </c>
      <c r="J1173" s="25" t="str">
        <f>"－"</f>
        <v>－</v>
      </c>
      <c r="K1173" s="25" t="str">
        <f>"－"</f>
        <v>－</v>
      </c>
      <c r="L1173" s="2" t="s">
        <v>156</v>
      </c>
      <c r="M1173" s="26" t="str">
        <f>"－"</f>
        <v>－</v>
      </c>
      <c r="N1173" s="3" t="s">
        <v>156</v>
      </c>
      <c r="O1173" s="27" t="str">
        <f>"－"</f>
        <v>－</v>
      </c>
      <c r="P1173" s="29" t="s">
        <v>262</v>
      </c>
      <c r="Q1173" s="25"/>
      <c r="R1173" s="29" t="s">
        <v>262</v>
      </c>
      <c r="S1173" s="25" t="str">
        <f>"－"</f>
        <v>－</v>
      </c>
      <c r="T1173" s="25" t="str">
        <f>"－"</f>
        <v>－</v>
      </c>
      <c r="U1173" s="3" t="s">
        <v>156</v>
      </c>
      <c r="V1173" s="27" t="str">
        <f>"－"</f>
        <v>－</v>
      </c>
      <c r="W1173" s="3" t="s">
        <v>156</v>
      </c>
      <c r="X1173" s="27" t="str">
        <f>"－"</f>
        <v>－</v>
      </c>
      <c r="Y1173" s="27" t="str">
        <f>"－"</f>
        <v>－</v>
      </c>
      <c r="Z1173" s="25" t="str">
        <f>"－"</f>
        <v>－</v>
      </c>
      <c r="AA1173" s="25" t="str">
        <f>"－"</f>
        <v>－</v>
      </c>
      <c r="AB1173" s="2" t="s">
        <v>156</v>
      </c>
      <c r="AC1173" s="26" t="str">
        <f>"－"</f>
        <v>－</v>
      </c>
      <c r="AD1173" s="3" t="s">
        <v>156</v>
      </c>
      <c r="AE1173" s="27" t="str">
        <f>"－"</f>
        <v>－</v>
      </c>
    </row>
    <row r="1174">
      <c r="A1174" s="20" t="s">
        <v>2181</v>
      </c>
      <c r="B1174" s="21" t="s">
        <v>2182</v>
      </c>
      <c r="C1174" s="22" t="s">
        <v>1760</v>
      </c>
      <c r="D1174" s="23" t="s">
        <v>1761</v>
      </c>
      <c r="E1174" s="24" t="s">
        <v>148</v>
      </c>
      <c r="F1174" s="28" t="n">
        <f>124</f>
        <v>124.0</v>
      </c>
      <c r="G1174" s="25" t="str">
        <f>"－"</f>
        <v>－</v>
      </c>
      <c r="H1174" s="25"/>
      <c r="I1174" s="25" t="str">
        <f>"－"</f>
        <v>－</v>
      </c>
      <c r="J1174" s="25" t="str">
        <f>"－"</f>
        <v>－</v>
      </c>
      <c r="K1174" s="25" t="str">
        <f>"－"</f>
        <v>－</v>
      </c>
      <c r="L1174" s="2" t="s">
        <v>68</v>
      </c>
      <c r="M1174" s="26" t="str">
        <f>"－"</f>
        <v>－</v>
      </c>
      <c r="N1174" s="3" t="s">
        <v>68</v>
      </c>
      <c r="O1174" s="27" t="str">
        <f>"－"</f>
        <v>－</v>
      </c>
      <c r="P1174" s="29" t="s">
        <v>262</v>
      </c>
      <c r="Q1174" s="25"/>
      <c r="R1174" s="29" t="s">
        <v>262</v>
      </c>
      <c r="S1174" s="25" t="str">
        <f>"－"</f>
        <v>－</v>
      </c>
      <c r="T1174" s="25" t="str">
        <f>"－"</f>
        <v>－</v>
      </c>
      <c r="U1174" s="3" t="s">
        <v>68</v>
      </c>
      <c r="V1174" s="27" t="str">
        <f>"－"</f>
        <v>－</v>
      </c>
      <c r="W1174" s="3" t="s">
        <v>68</v>
      </c>
      <c r="X1174" s="27" t="str">
        <f>"－"</f>
        <v>－</v>
      </c>
      <c r="Y1174" s="27" t="str">
        <f>"－"</f>
        <v>－</v>
      </c>
      <c r="Z1174" s="25" t="str">
        <f>"－"</f>
        <v>－</v>
      </c>
      <c r="AA1174" s="25" t="str">
        <f>"－"</f>
        <v>－</v>
      </c>
      <c r="AB1174" s="2" t="s">
        <v>68</v>
      </c>
      <c r="AC1174" s="26" t="str">
        <f>"－"</f>
        <v>－</v>
      </c>
      <c r="AD1174" s="3" t="s">
        <v>68</v>
      </c>
      <c r="AE1174" s="27" t="str">
        <f>"－"</f>
        <v>－</v>
      </c>
    </row>
    <row r="1175">
      <c r="A1175" s="20" t="s">
        <v>2181</v>
      </c>
      <c r="B1175" s="21" t="s">
        <v>2182</v>
      </c>
      <c r="C1175" s="22" t="s">
        <v>1764</v>
      </c>
      <c r="D1175" s="23" t="s">
        <v>1765</v>
      </c>
      <c r="E1175" s="24" t="s">
        <v>148</v>
      </c>
      <c r="F1175" s="28" t="n">
        <f>124</f>
        <v>124.0</v>
      </c>
      <c r="G1175" s="25" t="str">
        <f>"－"</f>
        <v>－</v>
      </c>
      <c r="H1175" s="25"/>
      <c r="I1175" s="25" t="str">
        <f>"－"</f>
        <v>－</v>
      </c>
      <c r="J1175" s="25" t="str">
        <f>"－"</f>
        <v>－</v>
      </c>
      <c r="K1175" s="25" t="str">
        <f>"－"</f>
        <v>－</v>
      </c>
      <c r="L1175" s="2" t="s">
        <v>68</v>
      </c>
      <c r="M1175" s="26" t="str">
        <f>"－"</f>
        <v>－</v>
      </c>
      <c r="N1175" s="3" t="s">
        <v>68</v>
      </c>
      <c r="O1175" s="27" t="str">
        <f>"－"</f>
        <v>－</v>
      </c>
      <c r="P1175" s="29" t="s">
        <v>262</v>
      </c>
      <c r="Q1175" s="25"/>
      <c r="R1175" s="29" t="s">
        <v>262</v>
      </c>
      <c r="S1175" s="25" t="str">
        <f>"－"</f>
        <v>－</v>
      </c>
      <c r="T1175" s="25" t="str">
        <f>"－"</f>
        <v>－</v>
      </c>
      <c r="U1175" s="3" t="s">
        <v>68</v>
      </c>
      <c r="V1175" s="27" t="str">
        <f>"－"</f>
        <v>－</v>
      </c>
      <c r="W1175" s="3" t="s">
        <v>68</v>
      </c>
      <c r="X1175" s="27" t="str">
        <f>"－"</f>
        <v>－</v>
      </c>
      <c r="Y1175" s="27" t="str">
        <f>"－"</f>
        <v>－</v>
      </c>
      <c r="Z1175" s="25" t="str">
        <f>"－"</f>
        <v>－</v>
      </c>
      <c r="AA1175" s="25" t="str">
        <f>"－"</f>
        <v>－</v>
      </c>
      <c r="AB1175" s="2" t="s">
        <v>68</v>
      </c>
      <c r="AC1175" s="26" t="str">
        <f>"－"</f>
        <v>－</v>
      </c>
      <c r="AD1175" s="3" t="s">
        <v>68</v>
      </c>
      <c r="AE1175" s="27" t="str">
        <f>"－"</f>
        <v>－</v>
      </c>
    </row>
    <row r="1176">
      <c r="A1176" s="20" t="s">
        <v>2181</v>
      </c>
      <c r="B1176" s="21" t="s">
        <v>2182</v>
      </c>
      <c r="C1176" s="22" t="s">
        <v>1768</v>
      </c>
      <c r="D1176" s="23" t="s">
        <v>1769</v>
      </c>
      <c r="E1176" s="24" t="s">
        <v>148</v>
      </c>
      <c r="F1176" s="28" t="n">
        <f>124</f>
        <v>124.0</v>
      </c>
      <c r="G1176" s="25" t="str">
        <f>"－"</f>
        <v>－</v>
      </c>
      <c r="H1176" s="25"/>
      <c r="I1176" s="25" t="str">
        <f>"－"</f>
        <v>－</v>
      </c>
      <c r="J1176" s="25" t="str">
        <f>"－"</f>
        <v>－</v>
      </c>
      <c r="K1176" s="25" t="str">
        <f>"－"</f>
        <v>－</v>
      </c>
      <c r="L1176" s="2" t="s">
        <v>68</v>
      </c>
      <c r="M1176" s="26" t="str">
        <f>"－"</f>
        <v>－</v>
      </c>
      <c r="N1176" s="3" t="s">
        <v>68</v>
      </c>
      <c r="O1176" s="27" t="str">
        <f>"－"</f>
        <v>－</v>
      </c>
      <c r="P1176" s="29" t="s">
        <v>262</v>
      </c>
      <c r="Q1176" s="25"/>
      <c r="R1176" s="29" t="s">
        <v>262</v>
      </c>
      <c r="S1176" s="25" t="str">
        <f>"－"</f>
        <v>－</v>
      </c>
      <c r="T1176" s="25" t="str">
        <f>"－"</f>
        <v>－</v>
      </c>
      <c r="U1176" s="3" t="s">
        <v>68</v>
      </c>
      <c r="V1176" s="27" t="str">
        <f>"－"</f>
        <v>－</v>
      </c>
      <c r="W1176" s="3" t="s">
        <v>68</v>
      </c>
      <c r="X1176" s="27" t="str">
        <f>"－"</f>
        <v>－</v>
      </c>
      <c r="Y1176" s="27" t="str">
        <f>"－"</f>
        <v>－</v>
      </c>
      <c r="Z1176" s="25" t="str">
        <f>"－"</f>
        <v>－</v>
      </c>
      <c r="AA1176" s="25" t="str">
        <f>"－"</f>
        <v>－</v>
      </c>
      <c r="AB1176" s="2" t="s">
        <v>68</v>
      </c>
      <c r="AC1176" s="26" t="str">
        <f>"－"</f>
        <v>－</v>
      </c>
      <c r="AD1176" s="3" t="s">
        <v>68</v>
      </c>
      <c r="AE1176" s="27" t="str">
        <f>"－"</f>
        <v>－</v>
      </c>
    </row>
    <row r="1177">
      <c r="A1177" s="20" t="s">
        <v>2181</v>
      </c>
      <c r="B1177" s="21" t="s">
        <v>2182</v>
      </c>
      <c r="C1177" s="22" t="s">
        <v>1760</v>
      </c>
      <c r="D1177" s="23" t="s">
        <v>1761</v>
      </c>
      <c r="E1177" s="24" t="s">
        <v>151</v>
      </c>
      <c r="F1177" s="28" t="n">
        <f>122</f>
        <v>122.0</v>
      </c>
      <c r="G1177" s="25" t="str">
        <f>"－"</f>
        <v>－</v>
      </c>
      <c r="H1177" s="25"/>
      <c r="I1177" s="25" t="str">
        <f>"－"</f>
        <v>－</v>
      </c>
      <c r="J1177" s="25" t="str">
        <f>"－"</f>
        <v>－</v>
      </c>
      <c r="K1177" s="25" t="str">
        <f>"－"</f>
        <v>－</v>
      </c>
      <c r="L1177" s="2" t="s">
        <v>156</v>
      </c>
      <c r="M1177" s="26" t="str">
        <f>"－"</f>
        <v>－</v>
      </c>
      <c r="N1177" s="3" t="s">
        <v>156</v>
      </c>
      <c r="O1177" s="27" t="str">
        <f>"－"</f>
        <v>－</v>
      </c>
      <c r="P1177" s="29" t="s">
        <v>262</v>
      </c>
      <c r="Q1177" s="25"/>
      <c r="R1177" s="29" t="s">
        <v>262</v>
      </c>
      <c r="S1177" s="25" t="str">
        <f>"－"</f>
        <v>－</v>
      </c>
      <c r="T1177" s="25" t="str">
        <f>"－"</f>
        <v>－</v>
      </c>
      <c r="U1177" s="3" t="s">
        <v>156</v>
      </c>
      <c r="V1177" s="27" t="str">
        <f>"－"</f>
        <v>－</v>
      </c>
      <c r="W1177" s="3" t="s">
        <v>156</v>
      </c>
      <c r="X1177" s="27" t="str">
        <f>"－"</f>
        <v>－</v>
      </c>
      <c r="Y1177" s="27" t="str">
        <f>"－"</f>
        <v>－</v>
      </c>
      <c r="Z1177" s="25" t="str">
        <f>"－"</f>
        <v>－</v>
      </c>
      <c r="AA1177" s="25" t="str">
        <f>"－"</f>
        <v>－</v>
      </c>
      <c r="AB1177" s="2" t="s">
        <v>156</v>
      </c>
      <c r="AC1177" s="26" t="str">
        <f>"－"</f>
        <v>－</v>
      </c>
      <c r="AD1177" s="3" t="s">
        <v>156</v>
      </c>
      <c r="AE1177" s="27" t="str">
        <f>"－"</f>
        <v>－</v>
      </c>
    </row>
    <row r="1178">
      <c r="A1178" s="20" t="s">
        <v>2181</v>
      </c>
      <c r="B1178" s="21" t="s">
        <v>2182</v>
      </c>
      <c r="C1178" s="22" t="s">
        <v>1764</v>
      </c>
      <c r="D1178" s="23" t="s">
        <v>1765</v>
      </c>
      <c r="E1178" s="24" t="s">
        <v>151</v>
      </c>
      <c r="F1178" s="28" t="n">
        <f>122</f>
        <v>122.0</v>
      </c>
      <c r="G1178" s="25" t="str">
        <f>"－"</f>
        <v>－</v>
      </c>
      <c r="H1178" s="25"/>
      <c r="I1178" s="25" t="str">
        <f>"－"</f>
        <v>－</v>
      </c>
      <c r="J1178" s="25" t="str">
        <f>"－"</f>
        <v>－</v>
      </c>
      <c r="K1178" s="25" t="str">
        <f>"－"</f>
        <v>－</v>
      </c>
      <c r="L1178" s="2" t="s">
        <v>156</v>
      </c>
      <c r="M1178" s="26" t="str">
        <f>"－"</f>
        <v>－</v>
      </c>
      <c r="N1178" s="3" t="s">
        <v>156</v>
      </c>
      <c r="O1178" s="27" t="str">
        <f>"－"</f>
        <v>－</v>
      </c>
      <c r="P1178" s="29" t="s">
        <v>262</v>
      </c>
      <c r="Q1178" s="25"/>
      <c r="R1178" s="29" t="s">
        <v>262</v>
      </c>
      <c r="S1178" s="25" t="str">
        <f>"－"</f>
        <v>－</v>
      </c>
      <c r="T1178" s="25" t="str">
        <f>"－"</f>
        <v>－</v>
      </c>
      <c r="U1178" s="3" t="s">
        <v>156</v>
      </c>
      <c r="V1178" s="27" t="str">
        <f>"－"</f>
        <v>－</v>
      </c>
      <c r="W1178" s="3" t="s">
        <v>156</v>
      </c>
      <c r="X1178" s="27" t="str">
        <f>"－"</f>
        <v>－</v>
      </c>
      <c r="Y1178" s="27" t="str">
        <f>"－"</f>
        <v>－</v>
      </c>
      <c r="Z1178" s="25" t="str">
        <f>"－"</f>
        <v>－</v>
      </c>
      <c r="AA1178" s="25" t="str">
        <f>"－"</f>
        <v>－</v>
      </c>
      <c r="AB1178" s="2" t="s">
        <v>156</v>
      </c>
      <c r="AC1178" s="26" t="str">
        <f>"－"</f>
        <v>－</v>
      </c>
      <c r="AD1178" s="3" t="s">
        <v>156</v>
      </c>
      <c r="AE1178" s="27" t="str">
        <f>"－"</f>
        <v>－</v>
      </c>
    </row>
    <row r="1179">
      <c r="A1179" s="20" t="s">
        <v>2181</v>
      </c>
      <c r="B1179" s="21" t="s">
        <v>2182</v>
      </c>
      <c r="C1179" s="22" t="s">
        <v>1768</v>
      </c>
      <c r="D1179" s="23" t="s">
        <v>1769</v>
      </c>
      <c r="E1179" s="24" t="s">
        <v>151</v>
      </c>
      <c r="F1179" s="28" t="n">
        <f>122</f>
        <v>122.0</v>
      </c>
      <c r="G1179" s="25" t="str">
        <f>"－"</f>
        <v>－</v>
      </c>
      <c r="H1179" s="25"/>
      <c r="I1179" s="25" t="str">
        <f>"－"</f>
        <v>－</v>
      </c>
      <c r="J1179" s="25" t="str">
        <f>"－"</f>
        <v>－</v>
      </c>
      <c r="K1179" s="25" t="str">
        <f>"－"</f>
        <v>－</v>
      </c>
      <c r="L1179" s="2" t="s">
        <v>156</v>
      </c>
      <c r="M1179" s="26" t="str">
        <f>"－"</f>
        <v>－</v>
      </c>
      <c r="N1179" s="3" t="s">
        <v>156</v>
      </c>
      <c r="O1179" s="27" t="str">
        <f>"－"</f>
        <v>－</v>
      </c>
      <c r="P1179" s="29" t="s">
        <v>262</v>
      </c>
      <c r="Q1179" s="25"/>
      <c r="R1179" s="29" t="s">
        <v>262</v>
      </c>
      <c r="S1179" s="25" t="str">
        <f>"－"</f>
        <v>－</v>
      </c>
      <c r="T1179" s="25" t="str">
        <f>"－"</f>
        <v>－</v>
      </c>
      <c r="U1179" s="3" t="s">
        <v>156</v>
      </c>
      <c r="V1179" s="27" t="str">
        <f>"－"</f>
        <v>－</v>
      </c>
      <c r="W1179" s="3" t="s">
        <v>156</v>
      </c>
      <c r="X1179" s="27" t="str">
        <f>"－"</f>
        <v>－</v>
      </c>
      <c r="Y1179" s="27" t="str">
        <f>"－"</f>
        <v>－</v>
      </c>
      <c r="Z1179" s="25" t="str">
        <f>"－"</f>
        <v>－</v>
      </c>
      <c r="AA1179" s="25" t="str">
        <f>"－"</f>
        <v>－</v>
      </c>
      <c r="AB1179" s="2" t="s">
        <v>156</v>
      </c>
      <c r="AC1179" s="26" t="str">
        <f>"－"</f>
        <v>－</v>
      </c>
      <c r="AD1179" s="3" t="s">
        <v>156</v>
      </c>
      <c r="AE1179" s="27" t="str">
        <f>"－"</f>
        <v>－</v>
      </c>
    </row>
    <row r="1180">
      <c r="A1180" s="20" t="s">
        <v>2181</v>
      </c>
      <c r="B1180" s="21" t="s">
        <v>2182</v>
      </c>
      <c r="C1180" s="22" t="s">
        <v>1760</v>
      </c>
      <c r="D1180" s="23" t="s">
        <v>1761</v>
      </c>
      <c r="E1180" s="24" t="s">
        <v>157</v>
      </c>
      <c r="F1180" s="28" t="n">
        <f>124</f>
        <v>124.0</v>
      </c>
      <c r="G1180" s="25" t="str">
        <f>"－"</f>
        <v>－</v>
      </c>
      <c r="H1180" s="25"/>
      <c r="I1180" s="25" t="str">
        <f>"－"</f>
        <v>－</v>
      </c>
      <c r="J1180" s="25" t="str">
        <f>"－"</f>
        <v>－</v>
      </c>
      <c r="K1180" s="25" t="str">
        <f>"－"</f>
        <v>－</v>
      </c>
      <c r="L1180" s="2" t="s">
        <v>633</v>
      </c>
      <c r="M1180" s="26" t="str">
        <f>"－"</f>
        <v>－</v>
      </c>
      <c r="N1180" s="3" t="s">
        <v>633</v>
      </c>
      <c r="O1180" s="27" t="str">
        <f>"－"</f>
        <v>－</v>
      </c>
      <c r="P1180" s="29" t="s">
        <v>262</v>
      </c>
      <c r="Q1180" s="25"/>
      <c r="R1180" s="29" t="s">
        <v>262</v>
      </c>
      <c r="S1180" s="25" t="str">
        <f>"－"</f>
        <v>－</v>
      </c>
      <c r="T1180" s="25" t="str">
        <f>"－"</f>
        <v>－</v>
      </c>
      <c r="U1180" s="3" t="s">
        <v>633</v>
      </c>
      <c r="V1180" s="27" t="str">
        <f>"－"</f>
        <v>－</v>
      </c>
      <c r="W1180" s="3" t="s">
        <v>633</v>
      </c>
      <c r="X1180" s="27" t="str">
        <f>"－"</f>
        <v>－</v>
      </c>
      <c r="Y1180" s="27" t="str">
        <f>"－"</f>
        <v>－</v>
      </c>
      <c r="Z1180" s="25" t="str">
        <f>"－"</f>
        <v>－</v>
      </c>
      <c r="AA1180" s="25" t="str">
        <f>"－"</f>
        <v>－</v>
      </c>
      <c r="AB1180" s="2" t="s">
        <v>633</v>
      </c>
      <c r="AC1180" s="26" t="str">
        <f>"－"</f>
        <v>－</v>
      </c>
      <c r="AD1180" s="3" t="s">
        <v>633</v>
      </c>
      <c r="AE1180" s="27" t="str">
        <f>"－"</f>
        <v>－</v>
      </c>
    </row>
    <row r="1181">
      <c r="A1181" s="20" t="s">
        <v>2181</v>
      </c>
      <c r="B1181" s="21" t="s">
        <v>2182</v>
      </c>
      <c r="C1181" s="22" t="s">
        <v>1764</v>
      </c>
      <c r="D1181" s="23" t="s">
        <v>1765</v>
      </c>
      <c r="E1181" s="24" t="s">
        <v>157</v>
      </c>
      <c r="F1181" s="28" t="n">
        <f>124</f>
        <v>124.0</v>
      </c>
      <c r="G1181" s="25" t="str">
        <f>"－"</f>
        <v>－</v>
      </c>
      <c r="H1181" s="25"/>
      <c r="I1181" s="25" t="str">
        <f>"－"</f>
        <v>－</v>
      </c>
      <c r="J1181" s="25" t="str">
        <f>"－"</f>
        <v>－</v>
      </c>
      <c r="K1181" s="25" t="str">
        <f>"－"</f>
        <v>－</v>
      </c>
      <c r="L1181" s="2" t="s">
        <v>633</v>
      </c>
      <c r="M1181" s="26" t="str">
        <f>"－"</f>
        <v>－</v>
      </c>
      <c r="N1181" s="3" t="s">
        <v>633</v>
      </c>
      <c r="O1181" s="27" t="str">
        <f>"－"</f>
        <v>－</v>
      </c>
      <c r="P1181" s="29" t="s">
        <v>262</v>
      </c>
      <c r="Q1181" s="25"/>
      <c r="R1181" s="29" t="s">
        <v>262</v>
      </c>
      <c r="S1181" s="25" t="str">
        <f>"－"</f>
        <v>－</v>
      </c>
      <c r="T1181" s="25" t="str">
        <f>"－"</f>
        <v>－</v>
      </c>
      <c r="U1181" s="3" t="s">
        <v>633</v>
      </c>
      <c r="V1181" s="27" t="str">
        <f>"－"</f>
        <v>－</v>
      </c>
      <c r="W1181" s="3" t="s">
        <v>633</v>
      </c>
      <c r="X1181" s="27" t="str">
        <f>"－"</f>
        <v>－</v>
      </c>
      <c r="Y1181" s="27" t="str">
        <f>"－"</f>
        <v>－</v>
      </c>
      <c r="Z1181" s="25" t="str">
        <f>"－"</f>
        <v>－</v>
      </c>
      <c r="AA1181" s="25" t="str">
        <f>"－"</f>
        <v>－</v>
      </c>
      <c r="AB1181" s="2" t="s">
        <v>633</v>
      </c>
      <c r="AC1181" s="26" t="str">
        <f>"－"</f>
        <v>－</v>
      </c>
      <c r="AD1181" s="3" t="s">
        <v>633</v>
      </c>
      <c r="AE1181" s="27" t="str">
        <f>"－"</f>
        <v>－</v>
      </c>
    </row>
    <row r="1182">
      <c r="A1182" s="20" t="s">
        <v>2181</v>
      </c>
      <c r="B1182" s="21" t="s">
        <v>2182</v>
      </c>
      <c r="C1182" s="22" t="s">
        <v>1768</v>
      </c>
      <c r="D1182" s="23" t="s">
        <v>1769</v>
      </c>
      <c r="E1182" s="24" t="s">
        <v>157</v>
      </c>
      <c r="F1182" s="28" t="n">
        <f>124</f>
        <v>124.0</v>
      </c>
      <c r="G1182" s="25" t="str">
        <f>"－"</f>
        <v>－</v>
      </c>
      <c r="H1182" s="25"/>
      <c r="I1182" s="25" t="str">
        <f>"－"</f>
        <v>－</v>
      </c>
      <c r="J1182" s="25" t="str">
        <f>"－"</f>
        <v>－</v>
      </c>
      <c r="K1182" s="25" t="str">
        <f>"－"</f>
        <v>－</v>
      </c>
      <c r="L1182" s="2" t="s">
        <v>633</v>
      </c>
      <c r="M1182" s="26" t="str">
        <f>"－"</f>
        <v>－</v>
      </c>
      <c r="N1182" s="3" t="s">
        <v>633</v>
      </c>
      <c r="O1182" s="27" t="str">
        <f>"－"</f>
        <v>－</v>
      </c>
      <c r="P1182" s="29" t="s">
        <v>262</v>
      </c>
      <c r="Q1182" s="25"/>
      <c r="R1182" s="29" t="s">
        <v>262</v>
      </c>
      <c r="S1182" s="25" t="str">
        <f>"－"</f>
        <v>－</v>
      </c>
      <c r="T1182" s="25" t="str">
        <f>"－"</f>
        <v>－</v>
      </c>
      <c r="U1182" s="3" t="s">
        <v>633</v>
      </c>
      <c r="V1182" s="27" t="str">
        <f>"－"</f>
        <v>－</v>
      </c>
      <c r="W1182" s="3" t="s">
        <v>633</v>
      </c>
      <c r="X1182" s="27" t="str">
        <f>"－"</f>
        <v>－</v>
      </c>
      <c r="Y1182" s="27" t="str">
        <f>"－"</f>
        <v>－</v>
      </c>
      <c r="Z1182" s="25" t="str">
        <f>"－"</f>
        <v>－</v>
      </c>
      <c r="AA1182" s="25" t="str">
        <f>"－"</f>
        <v>－</v>
      </c>
      <c r="AB1182" s="2" t="s">
        <v>633</v>
      </c>
      <c r="AC1182" s="26" t="str">
        <f>"－"</f>
        <v>－</v>
      </c>
      <c r="AD1182" s="3" t="s">
        <v>633</v>
      </c>
      <c r="AE1182" s="27" t="str">
        <f>"－"</f>
        <v>－</v>
      </c>
    </row>
    <row r="1183">
      <c r="A1183" s="20" t="s">
        <v>2181</v>
      </c>
      <c r="B1183" s="21" t="s">
        <v>2182</v>
      </c>
      <c r="C1183" s="22" t="s">
        <v>1760</v>
      </c>
      <c r="D1183" s="23" t="s">
        <v>1761</v>
      </c>
      <c r="E1183" s="24" t="s">
        <v>160</v>
      </c>
      <c r="F1183" s="28" t="n">
        <f>58</f>
        <v>58.0</v>
      </c>
      <c r="G1183" s="25" t="str">
        <f>"－"</f>
        <v>－</v>
      </c>
      <c r="H1183" s="25"/>
      <c r="I1183" s="25" t="str">
        <f>"－"</f>
        <v>－</v>
      </c>
      <c r="J1183" s="25" t="str">
        <f>"－"</f>
        <v>－</v>
      </c>
      <c r="K1183" s="25" t="str">
        <f>"－"</f>
        <v>－</v>
      </c>
      <c r="L1183" s="2" t="s">
        <v>156</v>
      </c>
      <c r="M1183" s="26" t="str">
        <f>"－"</f>
        <v>－</v>
      </c>
      <c r="N1183" s="3" t="s">
        <v>156</v>
      </c>
      <c r="O1183" s="27" t="str">
        <f>"－"</f>
        <v>－</v>
      </c>
      <c r="P1183" s="29" t="s">
        <v>262</v>
      </c>
      <c r="Q1183" s="25"/>
      <c r="R1183" s="29" t="s">
        <v>262</v>
      </c>
      <c r="S1183" s="25" t="str">
        <f>"－"</f>
        <v>－</v>
      </c>
      <c r="T1183" s="25" t="str">
        <f>"－"</f>
        <v>－</v>
      </c>
      <c r="U1183" s="3" t="s">
        <v>156</v>
      </c>
      <c r="V1183" s="27" t="str">
        <f>"－"</f>
        <v>－</v>
      </c>
      <c r="W1183" s="3" t="s">
        <v>156</v>
      </c>
      <c r="X1183" s="27" t="str">
        <f>"－"</f>
        <v>－</v>
      </c>
      <c r="Y1183" s="27" t="str">
        <f>"－"</f>
        <v>－</v>
      </c>
      <c r="Z1183" s="25" t="str">
        <f>"－"</f>
        <v>－</v>
      </c>
      <c r="AA1183" s="25" t="str">
        <f>"－"</f>
        <v>－</v>
      </c>
      <c r="AB1183" s="2" t="s">
        <v>156</v>
      </c>
      <c r="AC1183" s="26" t="str">
        <f>"－"</f>
        <v>－</v>
      </c>
      <c r="AD1183" s="3" t="s">
        <v>156</v>
      </c>
      <c r="AE1183" s="27" t="str">
        <f>"－"</f>
        <v>－</v>
      </c>
    </row>
    <row r="1184">
      <c r="A1184" s="20" t="s">
        <v>2181</v>
      </c>
      <c r="B1184" s="21" t="s">
        <v>2182</v>
      </c>
      <c r="C1184" s="22" t="s">
        <v>1764</v>
      </c>
      <c r="D1184" s="23" t="s">
        <v>1765</v>
      </c>
      <c r="E1184" s="24" t="s">
        <v>160</v>
      </c>
      <c r="F1184" s="28" t="n">
        <f>58</f>
        <v>58.0</v>
      </c>
      <c r="G1184" s="25" t="str">
        <f>"－"</f>
        <v>－</v>
      </c>
      <c r="H1184" s="25"/>
      <c r="I1184" s="25" t="str">
        <f>"－"</f>
        <v>－</v>
      </c>
      <c r="J1184" s="25" t="str">
        <f>"－"</f>
        <v>－</v>
      </c>
      <c r="K1184" s="25" t="str">
        <f>"－"</f>
        <v>－</v>
      </c>
      <c r="L1184" s="2" t="s">
        <v>156</v>
      </c>
      <c r="M1184" s="26" t="str">
        <f>"－"</f>
        <v>－</v>
      </c>
      <c r="N1184" s="3" t="s">
        <v>156</v>
      </c>
      <c r="O1184" s="27" t="str">
        <f>"－"</f>
        <v>－</v>
      </c>
      <c r="P1184" s="29" t="s">
        <v>262</v>
      </c>
      <c r="Q1184" s="25"/>
      <c r="R1184" s="29" t="s">
        <v>262</v>
      </c>
      <c r="S1184" s="25" t="str">
        <f>"－"</f>
        <v>－</v>
      </c>
      <c r="T1184" s="25" t="str">
        <f>"－"</f>
        <v>－</v>
      </c>
      <c r="U1184" s="3" t="s">
        <v>156</v>
      </c>
      <c r="V1184" s="27" t="str">
        <f>"－"</f>
        <v>－</v>
      </c>
      <c r="W1184" s="3" t="s">
        <v>156</v>
      </c>
      <c r="X1184" s="27" t="str">
        <f>"－"</f>
        <v>－</v>
      </c>
      <c r="Y1184" s="27" t="str">
        <f>"－"</f>
        <v>－</v>
      </c>
      <c r="Z1184" s="25" t="str">
        <f>"－"</f>
        <v>－</v>
      </c>
      <c r="AA1184" s="25" t="str">
        <f>"－"</f>
        <v>－</v>
      </c>
      <c r="AB1184" s="2" t="s">
        <v>156</v>
      </c>
      <c r="AC1184" s="26" t="str">
        <f>"－"</f>
        <v>－</v>
      </c>
      <c r="AD1184" s="3" t="s">
        <v>156</v>
      </c>
      <c r="AE1184" s="27" t="str">
        <f>"－"</f>
        <v>－</v>
      </c>
    </row>
    <row r="1185">
      <c r="A1185" s="20" t="s">
        <v>2181</v>
      </c>
      <c r="B1185" s="21" t="s">
        <v>2182</v>
      </c>
      <c r="C1185" s="22" t="s">
        <v>1768</v>
      </c>
      <c r="D1185" s="23" t="s">
        <v>1769</v>
      </c>
      <c r="E1185" s="24" t="s">
        <v>160</v>
      </c>
      <c r="F1185" s="28" t="n">
        <f>58</f>
        <v>58.0</v>
      </c>
      <c r="G1185" s="25" t="str">
        <f>"－"</f>
        <v>－</v>
      </c>
      <c r="H1185" s="25"/>
      <c r="I1185" s="25" t="str">
        <f>"－"</f>
        <v>－</v>
      </c>
      <c r="J1185" s="25" t="str">
        <f>"－"</f>
        <v>－</v>
      </c>
      <c r="K1185" s="25" t="str">
        <f>"－"</f>
        <v>－</v>
      </c>
      <c r="L1185" s="2" t="s">
        <v>156</v>
      </c>
      <c r="M1185" s="26" t="str">
        <f>"－"</f>
        <v>－</v>
      </c>
      <c r="N1185" s="3" t="s">
        <v>156</v>
      </c>
      <c r="O1185" s="27" t="str">
        <f>"－"</f>
        <v>－</v>
      </c>
      <c r="P1185" s="29" t="s">
        <v>262</v>
      </c>
      <c r="Q1185" s="25"/>
      <c r="R1185" s="29" t="s">
        <v>262</v>
      </c>
      <c r="S1185" s="25" t="str">
        <f>"－"</f>
        <v>－</v>
      </c>
      <c r="T1185" s="25" t="str">
        <f>"－"</f>
        <v>－</v>
      </c>
      <c r="U1185" s="3" t="s">
        <v>156</v>
      </c>
      <c r="V1185" s="27" t="str">
        <f>"－"</f>
        <v>－</v>
      </c>
      <c r="W1185" s="3" t="s">
        <v>156</v>
      </c>
      <c r="X1185" s="27" t="str">
        <f>"－"</f>
        <v>－</v>
      </c>
      <c r="Y1185" s="27" t="str">
        <f>"－"</f>
        <v>－</v>
      </c>
      <c r="Z1185" s="25" t="str">
        <f>"－"</f>
        <v>－</v>
      </c>
      <c r="AA1185" s="25" t="str">
        <f>"－"</f>
        <v>－</v>
      </c>
      <c r="AB1185" s="2" t="s">
        <v>156</v>
      </c>
      <c r="AC1185" s="26" t="str">
        <f>"－"</f>
        <v>－</v>
      </c>
      <c r="AD1185" s="3" t="s">
        <v>156</v>
      </c>
      <c r="AE1185" s="27" t="str">
        <f>"－"</f>
        <v>－</v>
      </c>
    </row>
    <row r="1186">
      <c r="A1186" s="20" t="s">
        <v>2187</v>
      </c>
      <c r="B1186" s="21" t="s">
        <v>2188</v>
      </c>
      <c r="C1186" s="22"/>
      <c r="D1186" s="23"/>
      <c r="E1186" s="24"/>
      <c r="F1186" s="28"/>
      <c r="G1186" s="25"/>
      <c r="H1186" s="25"/>
      <c r="I1186" s="25"/>
      <c r="J1186" s="25"/>
      <c r="K1186" s="25"/>
      <c r="L1186" s="2"/>
      <c r="M1186" s="26"/>
      <c r="N1186" s="3"/>
      <c r="O1186" s="27"/>
      <c r="P1186" s="29"/>
      <c r="Q1186" s="25"/>
      <c r="R1186" s="29"/>
      <c r="S1186" s="25"/>
      <c r="T1186" s="25"/>
      <c r="U1186" s="3"/>
      <c r="V1186" s="27"/>
      <c r="W1186" s="3"/>
      <c r="X1186" s="27"/>
      <c r="Y1186" s="27"/>
      <c r="Z1186" s="25"/>
      <c r="AA1186" s="25"/>
      <c r="AB1186" s="2"/>
      <c r="AC1186" s="26"/>
      <c r="AD1186" s="3"/>
      <c r="AE1186" s="27"/>
    </row>
    <row r="1187">
      <c r="A1187" s="20" t="s">
        <v>2189</v>
      </c>
      <c r="B1187" s="21" t="s">
        <v>2190</v>
      </c>
      <c r="C1187" s="22"/>
      <c r="D1187" s="23"/>
      <c r="E1187" s="24"/>
      <c r="F1187" s="28"/>
      <c r="G1187" s="25"/>
      <c r="H1187" s="25"/>
      <c r="I1187" s="25"/>
      <c r="J1187" s="25"/>
      <c r="K1187" s="25"/>
      <c r="L1187" s="2"/>
      <c r="M1187" s="26"/>
      <c r="N1187" s="3"/>
      <c r="O1187" s="27"/>
      <c r="P1187" s="29"/>
      <c r="Q1187" s="25"/>
      <c r="R1187" s="29"/>
      <c r="S1187" s="25"/>
      <c r="T1187" s="25"/>
      <c r="U1187" s="3"/>
      <c r="V1187" s="27"/>
      <c r="W1187" s="3"/>
      <c r="X1187" s="27"/>
      <c r="Y1187" s="27"/>
      <c r="Z1187" s="25"/>
      <c r="AA1187" s="25"/>
      <c r="AB1187" s="2"/>
      <c r="AC1187" s="26"/>
      <c r="AD1187" s="3"/>
      <c r="AE1187" s="27"/>
    </row>
    <row r="1188">
      <c r="A1188" s="20" t="s">
        <v>2191</v>
      </c>
      <c r="B1188" s="21" t="s">
        <v>2192</v>
      </c>
      <c r="C1188" s="22" t="s">
        <v>1760</v>
      </c>
      <c r="D1188" s="23" t="s">
        <v>1761</v>
      </c>
      <c r="E1188" s="24" t="s">
        <v>272</v>
      </c>
      <c r="F1188" s="28" t="n">
        <f>36</f>
        <v>36.0</v>
      </c>
      <c r="G1188" s="25" t="n">
        <f>350272</f>
        <v>350272.0</v>
      </c>
      <c r="H1188" s="25"/>
      <c r="I1188" s="25" t="str">
        <f>"－"</f>
        <v>－</v>
      </c>
      <c r="J1188" s="25" t="n">
        <f>9730</f>
        <v>9730.0</v>
      </c>
      <c r="K1188" s="25" t="str">
        <f>"－"</f>
        <v>－</v>
      </c>
      <c r="L1188" s="2" t="s">
        <v>1943</v>
      </c>
      <c r="M1188" s="26" t="n">
        <f>86965</f>
        <v>86965.0</v>
      </c>
      <c r="N1188" s="3" t="s">
        <v>146</v>
      </c>
      <c r="O1188" s="27" t="n">
        <f>5230</f>
        <v>5230.0</v>
      </c>
      <c r="P1188" s="29" t="s">
        <v>2193</v>
      </c>
      <c r="Q1188" s="25"/>
      <c r="R1188" s="29" t="s">
        <v>262</v>
      </c>
      <c r="S1188" s="25" t="n">
        <f>6468511389</f>
        <v>6.468511389E9</v>
      </c>
      <c r="T1188" s="25" t="str">
        <f>"－"</f>
        <v>－</v>
      </c>
      <c r="U1188" s="3" t="s">
        <v>1943</v>
      </c>
      <c r="V1188" s="27" t="n">
        <f>52577430000</f>
        <v>5.257743E10</v>
      </c>
      <c r="W1188" s="3" t="s">
        <v>634</v>
      </c>
      <c r="X1188" s="27" t="n">
        <f>2978630000</f>
        <v>2.97863E9</v>
      </c>
      <c r="Y1188" s="27" t="n">
        <f>245</f>
        <v>245.0</v>
      </c>
      <c r="Z1188" s="25" t="str">
        <f>"－"</f>
        <v>－</v>
      </c>
      <c r="AA1188" s="25" t="n">
        <f>19508</f>
        <v>19508.0</v>
      </c>
      <c r="AB1188" s="2" t="s">
        <v>1943</v>
      </c>
      <c r="AC1188" s="26" t="n">
        <f>30426</f>
        <v>30426.0</v>
      </c>
      <c r="AD1188" s="3" t="s">
        <v>963</v>
      </c>
      <c r="AE1188" s="27" t="n">
        <f>12610</f>
        <v>12610.0</v>
      </c>
    </row>
    <row r="1189">
      <c r="A1189" s="20" t="s">
        <v>2191</v>
      </c>
      <c r="B1189" s="21" t="s">
        <v>2192</v>
      </c>
      <c r="C1189" s="22" t="s">
        <v>1764</v>
      </c>
      <c r="D1189" s="23" t="s">
        <v>1765</v>
      </c>
      <c r="E1189" s="24" t="s">
        <v>272</v>
      </c>
      <c r="F1189" s="28" t="n">
        <f>36</f>
        <v>36.0</v>
      </c>
      <c r="G1189" s="25" t="n">
        <f>403203</f>
        <v>403203.0</v>
      </c>
      <c r="H1189" s="25"/>
      <c r="I1189" s="25" t="str">
        <f>"－"</f>
        <v>－</v>
      </c>
      <c r="J1189" s="25" t="n">
        <f>11200</f>
        <v>11200.0</v>
      </c>
      <c r="K1189" s="25" t="str">
        <f>"－"</f>
        <v>－</v>
      </c>
      <c r="L1189" s="2" t="s">
        <v>1943</v>
      </c>
      <c r="M1189" s="26" t="n">
        <f>126831</f>
        <v>126831.0</v>
      </c>
      <c r="N1189" s="3" t="s">
        <v>194</v>
      </c>
      <c r="O1189" s="27" t="n">
        <f>6073</f>
        <v>6073.0</v>
      </c>
      <c r="P1189" s="29" t="s">
        <v>2194</v>
      </c>
      <c r="Q1189" s="25"/>
      <c r="R1189" s="29" t="s">
        <v>262</v>
      </c>
      <c r="S1189" s="25" t="n">
        <f>8483088056</f>
        <v>8.483088056E9</v>
      </c>
      <c r="T1189" s="25" t="str">
        <f>"－"</f>
        <v>－</v>
      </c>
      <c r="U1189" s="3" t="s">
        <v>1943</v>
      </c>
      <c r="V1189" s="27" t="n">
        <f>84395310000</f>
        <v>8.439531E10</v>
      </c>
      <c r="W1189" s="3" t="s">
        <v>739</v>
      </c>
      <c r="X1189" s="27" t="n">
        <f>3078590000</f>
        <v>3.07859E9</v>
      </c>
      <c r="Y1189" s="27" t="n">
        <f>705</f>
        <v>705.0</v>
      </c>
      <c r="Z1189" s="25" t="str">
        <f>"－"</f>
        <v>－</v>
      </c>
      <c r="AA1189" s="25" t="n">
        <f>18900</f>
        <v>18900.0</v>
      </c>
      <c r="AB1189" s="2" t="s">
        <v>1943</v>
      </c>
      <c r="AC1189" s="26" t="n">
        <f>29525</f>
        <v>29525.0</v>
      </c>
      <c r="AD1189" s="3" t="s">
        <v>754</v>
      </c>
      <c r="AE1189" s="27" t="n">
        <f>13502</f>
        <v>13502.0</v>
      </c>
    </row>
    <row r="1190">
      <c r="A1190" s="20" t="s">
        <v>2191</v>
      </c>
      <c r="B1190" s="21" t="s">
        <v>2192</v>
      </c>
      <c r="C1190" s="22" t="s">
        <v>1768</v>
      </c>
      <c r="D1190" s="23" t="s">
        <v>1769</v>
      </c>
      <c r="E1190" s="24" t="s">
        <v>272</v>
      </c>
      <c r="F1190" s="28" t="n">
        <f>36</f>
        <v>36.0</v>
      </c>
      <c r="G1190" s="25" t="n">
        <f>753475</f>
        <v>753475.0</v>
      </c>
      <c r="H1190" s="25"/>
      <c r="I1190" s="25" t="str">
        <f>"－"</f>
        <v>－</v>
      </c>
      <c r="J1190" s="25" t="n">
        <f>20930</f>
        <v>20930.0</v>
      </c>
      <c r="K1190" s="25" t="str">
        <f>"－"</f>
        <v>－</v>
      </c>
      <c r="L1190" s="2" t="s">
        <v>1943</v>
      </c>
      <c r="M1190" s="26" t="n">
        <f>213796</f>
        <v>213796.0</v>
      </c>
      <c r="N1190" s="3" t="s">
        <v>146</v>
      </c>
      <c r="O1190" s="27" t="n">
        <f>12216</f>
        <v>12216.0</v>
      </c>
      <c r="P1190" s="29" t="s">
        <v>2195</v>
      </c>
      <c r="Q1190" s="25"/>
      <c r="R1190" s="29" t="s">
        <v>262</v>
      </c>
      <c r="S1190" s="25" t="n">
        <f>14951599444</f>
        <v>1.4951599444E10</v>
      </c>
      <c r="T1190" s="25" t="str">
        <f>"－"</f>
        <v>－</v>
      </c>
      <c r="U1190" s="3" t="s">
        <v>1943</v>
      </c>
      <c r="V1190" s="27" t="n">
        <f>136972740000</f>
        <v>1.3697274E11</v>
      </c>
      <c r="W1190" s="3" t="s">
        <v>400</v>
      </c>
      <c r="X1190" s="27" t="n">
        <f>8137490000</f>
        <v>8.13749E9</v>
      </c>
      <c r="Y1190" s="27" t="n">
        <f>950</f>
        <v>950.0</v>
      </c>
      <c r="Z1190" s="25" t="str">
        <f>"－"</f>
        <v>－</v>
      </c>
      <c r="AA1190" s="25" t="n">
        <f>38408</f>
        <v>38408.0</v>
      </c>
      <c r="AB1190" s="2" t="s">
        <v>1943</v>
      </c>
      <c r="AC1190" s="26" t="n">
        <f>59951</f>
        <v>59951.0</v>
      </c>
      <c r="AD1190" s="3" t="s">
        <v>204</v>
      </c>
      <c r="AE1190" s="27" t="n">
        <f>27184</f>
        <v>27184.0</v>
      </c>
    </row>
    <row r="1191">
      <c r="A1191" s="20" t="s">
        <v>2191</v>
      </c>
      <c r="B1191" s="21" t="s">
        <v>2192</v>
      </c>
      <c r="C1191" s="22" t="s">
        <v>1760</v>
      </c>
      <c r="D1191" s="23" t="s">
        <v>1761</v>
      </c>
      <c r="E1191" s="24" t="s">
        <v>276</v>
      </c>
      <c r="F1191" s="28" t="n">
        <f>125</f>
        <v>125.0</v>
      </c>
      <c r="G1191" s="25" t="n">
        <f>761242</f>
        <v>761242.0</v>
      </c>
      <c r="H1191" s="25"/>
      <c r="I1191" s="25" t="str">
        <f>"－"</f>
        <v>－</v>
      </c>
      <c r="J1191" s="25" t="n">
        <f>6090</f>
        <v>6090.0</v>
      </c>
      <c r="K1191" s="25" t="str">
        <f>"－"</f>
        <v>－</v>
      </c>
      <c r="L1191" s="2" t="s">
        <v>1161</v>
      </c>
      <c r="M1191" s="26" t="n">
        <f>9204</f>
        <v>9204.0</v>
      </c>
      <c r="N1191" s="3" t="s">
        <v>114</v>
      </c>
      <c r="O1191" s="27" t="n">
        <f>3972</f>
        <v>3972.0</v>
      </c>
      <c r="P1191" s="29" t="s">
        <v>2196</v>
      </c>
      <c r="Q1191" s="25"/>
      <c r="R1191" s="29" t="s">
        <v>262</v>
      </c>
      <c r="S1191" s="25" t="n">
        <f>3383478800</f>
        <v>3.3834788E9</v>
      </c>
      <c r="T1191" s="25" t="str">
        <f>"－"</f>
        <v>－</v>
      </c>
      <c r="U1191" s="3" t="s">
        <v>206</v>
      </c>
      <c r="V1191" s="27" t="n">
        <f>10554760000</f>
        <v>1.055476E10</v>
      </c>
      <c r="W1191" s="3" t="s">
        <v>1092</v>
      </c>
      <c r="X1191" s="27" t="n">
        <f>574820000</f>
        <v>5.7482E8</v>
      </c>
      <c r="Y1191" s="27" t="n">
        <f>13996</f>
        <v>13996.0</v>
      </c>
      <c r="Z1191" s="25" t="str">
        <f>"－"</f>
        <v>－</v>
      </c>
      <c r="AA1191" s="25" t="n">
        <f>22741</f>
        <v>22741.0</v>
      </c>
      <c r="AB1191" s="2" t="s">
        <v>318</v>
      </c>
      <c r="AC1191" s="26" t="n">
        <f>35852</f>
        <v>35852.0</v>
      </c>
      <c r="AD1191" s="3" t="s">
        <v>331</v>
      </c>
      <c r="AE1191" s="27" t="n">
        <f>9311</f>
        <v>9311.0</v>
      </c>
    </row>
    <row r="1192">
      <c r="A1192" s="20" t="s">
        <v>2191</v>
      </c>
      <c r="B1192" s="21" t="s">
        <v>2192</v>
      </c>
      <c r="C1192" s="22" t="s">
        <v>1764</v>
      </c>
      <c r="D1192" s="23" t="s">
        <v>1765</v>
      </c>
      <c r="E1192" s="24" t="s">
        <v>276</v>
      </c>
      <c r="F1192" s="28" t="n">
        <f>125</f>
        <v>125.0</v>
      </c>
      <c r="G1192" s="25" t="n">
        <f>773091</f>
        <v>773091.0</v>
      </c>
      <c r="H1192" s="25"/>
      <c r="I1192" s="25" t="str">
        <f>"－"</f>
        <v>－</v>
      </c>
      <c r="J1192" s="25" t="n">
        <f>6185</f>
        <v>6185.0</v>
      </c>
      <c r="K1192" s="25" t="str">
        <f>"－"</f>
        <v>－</v>
      </c>
      <c r="L1192" s="2" t="s">
        <v>90</v>
      </c>
      <c r="M1192" s="26" t="n">
        <f>9256</f>
        <v>9256.0</v>
      </c>
      <c r="N1192" s="3" t="s">
        <v>137</v>
      </c>
      <c r="O1192" s="27" t="n">
        <f>3622</f>
        <v>3622.0</v>
      </c>
      <c r="P1192" s="29" t="s">
        <v>2197</v>
      </c>
      <c r="Q1192" s="25"/>
      <c r="R1192" s="29" t="s">
        <v>262</v>
      </c>
      <c r="S1192" s="25" t="n">
        <f>3420512640</f>
        <v>3.42051264E9</v>
      </c>
      <c r="T1192" s="25" t="str">
        <f>"－"</f>
        <v>－</v>
      </c>
      <c r="U1192" s="3" t="s">
        <v>524</v>
      </c>
      <c r="V1192" s="27" t="n">
        <f>10104470000</f>
        <v>1.010447E10</v>
      </c>
      <c r="W1192" s="3" t="s">
        <v>693</v>
      </c>
      <c r="X1192" s="27" t="n">
        <f>1065000000</f>
        <v>1.065E9</v>
      </c>
      <c r="Y1192" s="27" t="n">
        <f>11410</f>
        <v>11410.0</v>
      </c>
      <c r="Z1192" s="25" t="str">
        <f>"－"</f>
        <v>－</v>
      </c>
      <c r="AA1192" s="25" t="n">
        <f>18942</f>
        <v>18942.0</v>
      </c>
      <c r="AB1192" s="2" t="s">
        <v>671</v>
      </c>
      <c r="AC1192" s="26" t="n">
        <f>34008</f>
        <v>34008.0</v>
      </c>
      <c r="AD1192" s="3" t="s">
        <v>302</v>
      </c>
      <c r="AE1192" s="27" t="n">
        <f>8524</f>
        <v>8524.0</v>
      </c>
    </row>
    <row r="1193">
      <c r="A1193" s="20" t="s">
        <v>2191</v>
      </c>
      <c r="B1193" s="21" t="s">
        <v>2192</v>
      </c>
      <c r="C1193" s="22" t="s">
        <v>1768</v>
      </c>
      <c r="D1193" s="23" t="s">
        <v>1769</v>
      </c>
      <c r="E1193" s="24" t="s">
        <v>276</v>
      </c>
      <c r="F1193" s="28" t="n">
        <f>125</f>
        <v>125.0</v>
      </c>
      <c r="G1193" s="25" t="n">
        <f>1534333</f>
        <v>1534333.0</v>
      </c>
      <c r="H1193" s="25"/>
      <c r="I1193" s="25" t="str">
        <f>"－"</f>
        <v>－</v>
      </c>
      <c r="J1193" s="25" t="n">
        <f>12275</f>
        <v>12275.0</v>
      </c>
      <c r="K1193" s="25" t="str">
        <f>"－"</f>
        <v>－</v>
      </c>
      <c r="L1193" s="2" t="s">
        <v>1158</v>
      </c>
      <c r="M1193" s="26" t="n">
        <f>15961</f>
        <v>15961.0</v>
      </c>
      <c r="N1193" s="3" t="s">
        <v>114</v>
      </c>
      <c r="O1193" s="27" t="n">
        <f>7984</f>
        <v>7984.0</v>
      </c>
      <c r="P1193" s="29" t="s">
        <v>2198</v>
      </c>
      <c r="Q1193" s="25"/>
      <c r="R1193" s="29" t="s">
        <v>262</v>
      </c>
      <c r="S1193" s="25" t="n">
        <f>6803991440</f>
        <v>6.80399144E9</v>
      </c>
      <c r="T1193" s="25" t="str">
        <f>"－"</f>
        <v>－</v>
      </c>
      <c r="U1193" s="3" t="s">
        <v>1122</v>
      </c>
      <c r="V1193" s="27" t="n">
        <f>13219390000</f>
        <v>1.321939E10</v>
      </c>
      <c r="W1193" s="3" t="s">
        <v>693</v>
      </c>
      <c r="X1193" s="27" t="n">
        <f>1893810000</f>
        <v>1.89381E9</v>
      </c>
      <c r="Y1193" s="27" t="n">
        <f>25406</f>
        <v>25406.0</v>
      </c>
      <c r="Z1193" s="25" t="str">
        <f>"－"</f>
        <v>－</v>
      </c>
      <c r="AA1193" s="25" t="n">
        <f>41683</f>
        <v>41683.0</v>
      </c>
      <c r="AB1193" s="2" t="s">
        <v>536</v>
      </c>
      <c r="AC1193" s="26" t="n">
        <f>56376</f>
        <v>56376.0</v>
      </c>
      <c r="AD1193" s="3" t="s">
        <v>331</v>
      </c>
      <c r="AE1193" s="27" t="n">
        <f>18207</f>
        <v>18207.0</v>
      </c>
    </row>
    <row r="1194">
      <c r="A1194" s="20" t="s">
        <v>2191</v>
      </c>
      <c r="B1194" s="21" t="s">
        <v>2192</v>
      </c>
      <c r="C1194" s="22" t="s">
        <v>1760</v>
      </c>
      <c r="D1194" s="23" t="s">
        <v>1761</v>
      </c>
      <c r="E1194" s="24" t="s">
        <v>281</v>
      </c>
      <c r="F1194" s="28" t="n">
        <f>120</f>
        <v>120.0</v>
      </c>
      <c r="G1194" s="25" t="n">
        <f>504198</f>
        <v>504198.0</v>
      </c>
      <c r="H1194" s="25"/>
      <c r="I1194" s="25" t="str">
        <f>"－"</f>
        <v>－</v>
      </c>
      <c r="J1194" s="25" t="n">
        <f>4202</f>
        <v>4202.0</v>
      </c>
      <c r="K1194" s="25" t="str">
        <f>"－"</f>
        <v>－</v>
      </c>
      <c r="L1194" s="2" t="s">
        <v>189</v>
      </c>
      <c r="M1194" s="26" t="n">
        <f>8021</f>
        <v>8021.0</v>
      </c>
      <c r="N1194" s="3" t="s">
        <v>1153</v>
      </c>
      <c r="O1194" s="27" t="n">
        <f>2019</f>
        <v>2019.0</v>
      </c>
      <c r="P1194" s="29" t="s">
        <v>2199</v>
      </c>
      <c r="Q1194" s="25"/>
      <c r="R1194" s="29" t="s">
        <v>262</v>
      </c>
      <c r="S1194" s="25" t="n">
        <f>1400286833</f>
        <v>1.400286833E9</v>
      </c>
      <c r="T1194" s="25" t="str">
        <f>"－"</f>
        <v>－</v>
      </c>
      <c r="U1194" s="3" t="s">
        <v>751</v>
      </c>
      <c r="V1194" s="27" t="n">
        <f>5249010000</f>
        <v>5.24901E9</v>
      </c>
      <c r="W1194" s="3" t="s">
        <v>476</v>
      </c>
      <c r="X1194" s="27" t="n">
        <f>306180000</f>
        <v>3.0618E8</v>
      </c>
      <c r="Y1194" s="27" t="n">
        <f>5326</f>
        <v>5326.0</v>
      </c>
      <c r="Z1194" s="25" t="str">
        <f>"－"</f>
        <v>－</v>
      </c>
      <c r="AA1194" s="25" t="n">
        <f>24455</f>
        <v>24455.0</v>
      </c>
      <c r="AB1194" s="2" t="s">
        <v>552</v>
      </c>
      <c r="AC1194" s="26" t="n">
        <f>40860</f>
        <v>40860.0</v>
      </c>
      <c r="AD1194" s="3" t="s">
        <v>314</v>
      </c>
      <c r="AE1194" s="27" t="n">
        <f>12382</f>
        <v>12382.0</v>
      </c>
    </row>
    <row r="1195">
      <c r="A1195" s="20" t="s">
        <v>2191</v>
      </c>
      <c r="B1195" s="21" t="s">
        <v>2192</v>
      </c>
      <c r="C1195" s="22" t="s">
        <v>1764</v>
      </c>
      <c r="D1195" s="23" t="s">
        <v>1765</v>
      </c>
      <c r="E1195" s="24" t="s">
        <v>281</v>
      </c>
      <c r="F1195" s="28" t="n">
        <f>120</f>
        <v>120.0</v>
      </c>
      <c r="G1195" s="25" t="n">
        <f>505646</f>
        <v>505646.0</v>
      </c>
      <c r="H1195" s="25"/>
      <c r="I1195" s="25" t="str">
        <f>"－"</f>
        <v>－</v>
      </c>
      <c r="J1195" s="25" t="n">
        <f>4214</f>
        <v>4214.0</v>
      </c>
      <c r="K1195" s="25" t="str">
        <f>"－"</f>
        <v>－</v>
      </c>
      <c r="L1195" s="2" t="s">
        <v>201</v>
      </c>
      <c r="M1195" s="26" t="n">
        <f>7923</f>
        <v>7923.0</v>
      </c>
      <c r="N1195" s="3" t="s">
        <v>1326</v>
      </c>
      <c r="O1195" s="27" t="n">
        <f>2571</f>
        <v>2571.0</v>
      </c>
      <c r="P1195" s="29" t="s">
        <v>2200</v>
      </c>
      <c r="Q1195" s="25"/>
      <c r="R1195" s="29" t="s">
        <v>262</v>
      </c>
      <c r="S1195" s="25" t="n">
        <f>1548739083</f>
        <v>1.548739083E9</v>
      </c>
      <c r="T1195" s="25" t="str">
        <f>"－"</f>
        <v>－</v>
      </c>
      <c r="U1195" s="3" t="s">
        <v>743</v>
      </c>
      <c r="V1195" s="27" t="n">
        <f>4879660000</f>
        <v>4.87966E9</v>
      </c>
      <c r="W1195" s="3" t="s">
        <v>434</v>
      </c>
      <c r="X1195" s="27" t="n">
        <f>600040000</f>
        <v>6.0004E8</v>
      </c>
      <c r="Y1195" s="27" t="n">
        <f>7743</f>
        <v>7743.0</v>
      </c>
      <c r="Z1195" s="25" t="str">
        <f>"－"</f>
        <v>－</v>
      </c>
      <c r="AA1195" s="25" t="n">
        <f>27619</f>
        <v>27619.0</v>
      </c>
      <c r="AB1195" s="2" t="s">
        <v>754</v>
      </c>
      <c r="AC1195" s="26" t="n">
        <f>38398</f>
        <v>38398.0</v>
      </c>
      <c r="AD1195" s="3" t="s">
        <v>751</v>
      </c>
      <c r="AE1195" s="27" t="n">
        <f>11125</f>
        <v>11125.0</v>
      </c>
    </row>
    <row r="1196">
      <c r="A1196" s="20" t="s">
        <v>2191</v>
      </c>
      <c r="B1196" s="21" t="s">
        <v>2192</v>
      </c>
      <c r="C1196" s="22" t="s">
        <v>1768</v>
      </c>
      <c r="D1196" s="23" t="s">
        <v>1769</v>
      </c>
      <c r="E1196" s="24" t="s">
        <v>281</v>
      </c>
      <c r="F1196" s="28" t="n">
        <f>120</f>
        <v>120.0</v>
      </c>
      <c r="G1196" s="25" t="n">
        <f>1009844</f>
        <v>1009844.0</v>
      </c>
      <c r="H1196" s="25"/>
      <c r="I1196" s="25" t="str">
        <f>"－"</f>
        <v>－</v>
      </c>
      <c r="J1196" s="25" t="n">
        <f>8415</f>
        <v>8415.0</v>
      </c>
      <c r="K1196" s="25" t="str">
        <f>"－"</f>
        <v>－</v>
      </c>
      <c r="L1196" s="2" t="s">
        <v>189</v>
      </c>
      <c r="M1196" s="26" t="n">
        <f>14294</f>
        <v>14294.0</v>
      </c>
      <c r="N1196" s="3" t="s">
        <v>71</v>
      </c>
      <c r="O1196" s="27" t="n">
        <f>5260</f>
        <v>5260.0</v>
      </c>
      <c r="P1196" s="29" t="s">
        <v>2201</v>
      </c>
      <c r="Q1196" s="25"/>
      <c r="R1196" s="29" t="s">
        <v>262</v>
      </c>
      <c r="S1196" s="25" t="n">
        <f>2949025917</f>
        <v>2.949025917E9</v>
      </c>
      <c r="T1196" s="25" t="str">
        <f>"－"</f>
        <v>－</v>
      </c>
      <c r="U1196" s="3" t="s">
        <v>751</v>
      </c>
      <c r="V1196" s="27" t="n">
        <f>6986130000</f>
        <v>6.98613E9</v>
      </c>
      <c r="W1196" s="3" t="s">
        <v>2202</v>
      </c>
      <c r="X1196" s="27" t="n">
        <f>1405440000</f>
        <v>1.40544E9</v>
      </c>
      <c r="Y1196" s="27" t="n">
        <f>13069</f>
        <v>13069.0</v>
      </c>
      <c r="Z1196" s="25" t="str">
        <f>"－"</f>
        <v>－</v>
      </c>
      <c r="AA1196" s="25" t="n">
        <f>52074</f>
        <v>52074.0</v>
      </c>
      <c r="AB1196" s="2" t="s">
        <v>468</v>
      </c>
      <c r="AC1196" s="26" t="n">
        <f>76878</f>
        <v>76878.0</v>
      </c>
      <c r="AD1196" s="3" t="s">
        <v>314</v>
      </c>
      <c r="AE1196" s="27" t="n">
        <f>23635</f>
        <v>23635.0</v>
      </c>
    </row>
    <row r="1197">
      <c r="A1197" s="20" t="s">
        <v>2191</v>
      </c>
      <c r="B1197" s="21" t="s">
        <v>2192</v>
      </c>
      <c r="C1197" s="22" t="s">
        <v>1760</v>
      </c>
      <c r="D1197" s="23" t="s">
        <v>1761</v>
      </c>
      <c r="E1197" s="24" t="s">
        <v>284</v>
      </c>
      <c r="F1197" s="28" t="n">
        <f>126</f>
        <v>126.0</v>
      </c>
      <c r="G1197" s="25" t="n">
        <f>356891</f>
        <v>356891.0</v>
      </c>
      <c r="H1197" s="25"/>
      <c r="I1197" s="25" t="str">
        <f>"－"</f>
        <v>－</v>
      </c>
      <c r="J1197" s="25" t="n">
        <f>2832</f>
        <v>2832.0</v>
      </c>
      <c r="K1197" s="25" t="str">
        <f>"－"</f>
        <v>－</v>
      </c>
      <c r="L1197" s="2" t="s">
        <v>295</v>
      </c>
      <c r="M1197" s="26" t="n">
        <f>6289</f>
        <v>6289.0</v>
      </c>
      <c r="N1197" s="3" t="s">
        <v>94</v>
      </c>
      <c r="O1197" s="27" t="n">
        <f>1379</f>
        <v>1379.0</v>
      </c>
      <c r="P1197" s="29" t="s">
        <v>2203</v>
      </c>
      <c r="Q1197" s="25"/>
      <c r="R1197" s="29" t="s">
        <v>262</v>
      </c>
      <c r="S1197" s="25" t="n">
        <f>631078651</f>
        <v>6.31078651E8</v>
      </c>
      <c r="T1197" s="25" t="str">
        <f>"－"</f>
        <v>－</v>
      </c>
      <c r="U1197" s="3" t="s">
        <v>295</v>
      </c>
      <c r="V1197" s="27" t="n">
        <f>1749220000</f>
        <v>1.74922E9</v>
      </c>
      <c r="W1197" s="3" t="s">
        <v>1087</v>
      </c>
      <c r="X1197" s="27" t="n">
        <f>196720000</f>
        <v>1.9672E8</v>
      </c>
      <c r="Y1197" s="27" t="n">
        <f>355</f>
        <v>355.0</v>
      </c>
      <c r="Z1197" s="25" t="str">
        <f>"－"</f>
        <v>－</v>
      </c>
      <c r="AA1197" s="25" t="n">
        <f>23577</f>
        <v>23577.0</v>
      </c>
      <c r="AB1197" s="2" t="s">
        <v>80</v>
      </c>
      <c r="AC1197" s="26" t="n">
        <f>40525</f>
        <v>40525.0</v>
      </c>
      <c r="AD1197" s="3" t="s">
        <v>562</v>
      </c>
      <c r="AE1197" s="27" t="n">
        <f>10735</f>
        <v>10735.0</v>
      </c>
    </row>
    <row r="1198">
      <c r="A1198" s="20" t="s">
        <v>2191</v>
      </c>
      <c r="B1198" s="21" t="s">
        <v>2192</v>
      </c>
      <c r="C1198" s="22" t="s">
        <v>1764</v>
      </c>
      <c r="D1198" s="23" t="s">
        <v>1765</v>
      </c>
      <c r="E1198" s="24" t="s">
        <v>284</v>
      </c>
      <c r="F1198" s="28" t="n">
        <f>126</f>
        <v>126.0</v>
      </c>
      <c r="G1198" s="25" t="n">
        <f>483628</f>
        <v>483628.0</v>
      </c>
      <c r="H1198" s="25"/>
      <c r="I1198" s="25" t="str">
        <f>"－"</f>
        <v>－</v>
      </c>
      <c r="J1198" s="25" t="n">
        <f>3838</f>
        <v>3838.0</v>
      </c>
      <c r="K1198" s="25" t="str">
        <f>"－"</f>
        <v>－</v>
      </c>
      <c r="L1198" s="2" t="s">
        <v>570</v>
      </c>
      <c r="M1198" s="26" t="n">
        <f>7602</f>
        <v>7602.0</v>
      </c>
      <c r="N1198" s="3" t="s">
        <v>1610</v>
      </c>
      <c r="O1198" s="27" t="n">
        <f>1379</f>
        <v>1379.0</v>
      </c>
      <c r="P1198" s="29" t="s">
        <v>2204</v>
      </c>
      <c r="Q1198" s="25"/>
      <c r="R1198" s="29" t="s">
        <v>262</v>
      </c>
      <c r="S1198" s="25" t="n">
        <f>1882971032</f>
        <v>1.882971032E9</v>
      </c>
      <c r="T1198" s="25" t="str">
        <f>"－"</f>
        <v>－</v>
      </c>
      <c r="U1198" s="3" t="s">
        <v>461</v>
      </c>
      <c r="V1198" s="27" t="n">
        <f>6310510000</f>
        <v>6.31051E9</v>
      </c>
      <c r="W1198" s="3" t="s">
        <v>581</v>
      </c>
      <c r="X1198" s="27" t="n">
        <f>423420000</f>
        <v>4.2342E8</v>
      </c>
      <c r="Y1198" s="27" t="n">
        <f>23789</f>
        <v>23789.0</v>
      </c>
      <c r="Z1198" s="25" t="str">
        <f>"－"</f>
        <v>－</v>
      </c>
      <c r="AA1198" s="25" t="n">
        <f>31395</f>
        <v>31395.0</v>
      </c>
      <c r="AB1198" s="2" t="s">
        <v>1122</v>
      </c>
      <c r="AC1198" s="26" t="n">
        <f>38900</f>
        <v>38900.0</v>
      </c>
      <c r="AD1198" s="3" t="s">
        <v>562</v>
      </c>
      <c r="AE1198" s="27" t="n">
        <f>16619</f>
        <v>16619.0</v>
      </c>
    </row>
    <row r="1199">
      <c r="A1199" s="20" t="s">
        <v>2191</v>
      </c>
      <c r="B1199" s="21" t="s">
        <v>2192</v>
      </c>
      <c r="C1199" s="22" t="s">
        <v>1768</v>
      </c>
      <c r="D1199" s="23" t="s">
        <v>1769</v>
      </c>
      <c r="E1199" s="24" t="s">
        <v>284</v>
      </c>
      <c r="F1199" s="28" t="n">
        <f>126</f>
        <v>126.0</v>
      </c>
      <c r="G1199" s="25" t="n">
        <f>840519</f>
        <v>840519.0</v>
      </c>
      <c r="H1199" s="25"/>
      <c r="I1199" s="25" t="str">
        <f>"－"</f>
        <v>－</v>
      </c>
      <c r="J1199" s="25" t="n">
        <f>6671</f>
        <v>6671.0</v>
      </c>
      <c r="K1199" s="25" t="str">
        <f>"－"</f>
        <v>－</v>
      </c>
      <c r="L1199" s="2" t="s">
        <v>975</v>
      </c>
      <c r="M1199" s="26" t="n">
        <f>12135</f>
        <v>12135.0</v>
      </c>
      <c r="N1199" s="3" t="s">
        <v>1610</v>
      </c>
      <c r="O1199" s="27" t="n">
        <f>3216</f>
        <v>3216.0</v>
      </c>
      <c r="P1199" s="29" t="s">
        <v>2205</v>
      </c>
      <c r="Q1199" s="25"/>
      <c r="R1199" s="29" t="s">
        <v>262</v>
      </c>
      <c r="S1199" s="25" t="n">
        <f>2514049683</f>
        <v>2.514049683E9</v>
      </c>
      <c r="T1199" s="25" t="str">
        <f>"－"</f>
        <v>－</v>
      </c>
      <c r="U1199" s="3" t="s">
        <v>461</v>
      </c>
      <c r="V1199" s="27" t="n">
        <f>7002210000</f>
        <v>7.00221E9</v>
      </c>
      <c r="W1199" s="3" t="s">
        <v>1415</v>
      </c>
      <c r="X1199" s="27" t="n">
        <f>760450000</f>
        <v>7.6045E8</v>
      </c>
      <c r="Y1199" s="27" t="n">
        <f>24144</f>
        <v>24144.0</v>
      </c>
      <c r="Z1199" s="25" t="str">
        <f>"－"</f>
        <v>－</v>
      </c>
      <c r="AA1199" s="25" t="n">
        <f>54972</f>
        <v>54972.0</v>
      </c>
      <c r="AB1199" s="2" t="s">
        <v>1122</v>
      </c>
      <c r="AC1199" s="26" t="n">
        <f>77914</f>
        <v>77914.0</v>
      </c>
      <c r="AD1199" s="3" t="s">
        <v>562</v>
      </c>
      <c r="AE1199" s="27" t="n">
        <f>27354</f>
        <v>27354.0</v>
      </c>
    </row>
    <row r="1200">
      <c r="A1200" s="20" t="s">
        <v>2191</v>
      </c>
      <c r="B1200" s="21" t="s">
        <v>2192</v>
      </c>
      <c r="C1200" s="22" t="s">
        <v>1760</v>
      </c>
      <c r="D1200" s="23" t="s">
        <v>1761</v>
      </c>
      <c r="E1200" s="24" t="s">
        <v>289</v>
      </c>
      <c r="F1200" s="28" t="n">
        <f>121</f>
        <v>121.0</v>
      </c>
      <c r="G1200" s="25" t="n">
        <f>240928</f>
        <v>240928.0</v>
      </c>
      <c r="H1200" s="25"/>
      <c r="I1200" s="25" t="str">
        <f>"－"</f>
        <v>－</v>
      </c>
      <c r="J1200" s="25" t="n">
        <f>1991</f>
        <v>1991.0</v>
      </c>
      <c r="K1200" s="25" t="str">
        <f>"－"</f>
        <v>－</v>
      </c>
      <c r="L1200" s="2" t="s">
        <v>369</v>
      </c>
      <c r="M1200" s="26" t="n">
        <f>4562</f>
        <v>4562.0</v>
      </c>
      <c r="N1200" s="3" t="s">
        <v>427</v>
      </c>
      <c r="O1200" s="27" t="n">
        <f>493</f>
        <v>493.0</v>
      </c>
      <c r="P1200" s="29" t="s">
        <v>2206</v>
      </c>
      <c r="Q1200" s="25"/>
      <c r="R1200" s="29" t="s">
        <v>262</v>
      </c>
      <c r="S1200" s="25" t="n">
        <f>621594793</f>
        <v>6.21594793E8</v>
      </c>
      <c r="T1200" s="25" t="str">
        <f>"－"</f>
        <v>－</v>
      </c>
      <c r="U1200" s="3" t="s">
        <v>275</v>
      </c>
      <c r="V1200" s="27" t="n">
        <f>2575500000</f>
        <v>2.5755E9</v>
      </c>
      <c r="W1200" s="3" t="s">
        <v>427</v>
      </c>
      <c r="X1200" s="27" t="n">
        <f>184080000</f>
        <v>1.8408E8</v>
      </c>
      <c r="Y1200" s="27" t="n">
        <f>4655</f>
        <v>4655.0</v>
      </c>
      <c r="Z1200" s="25" t="str">
        <f>"－"</f>
        <v>－</v>
      </c>
      <c r="AA1200" s="25" t="n">
        <f>14657</f>
        <v>14657.0</v>
      </c>
      <c r="AB1200" s="2" t="s">
        <v>193</v>
      </c>
      <c r="AC1200" s="26" t="n">
        <f>38252</f>
        <v>38252.0</v>
      </c>
      <c r="AD1200" s="3" t="s">
        <v>963</v>
      </c>
      <c r="AE1200" s="27" t="n">
        <f>7341</f>
        <v>7341.0</v>
      </c>
    </row>
    <row r="1201">
      <c r="A1201" s="20" t="s">
        <v>2191</v>
      </c>
      <c r="B1201" s="21" t="s">
        <v>2192</v>
      </c>
      <c r="C1201" s="22" t="s">
        <v>1764</v>
      </c>
      <c r="D1201" s="23" t="s">
        <v>1765</v>
      </c>
      <c r="E1201" s="24" t="s">
        <v>289</v>
      </c>
      <c r="F1201" s="28" t="n">
        <f>121</f>
        <v>121.0</v>
      </c>
      <c r="G1201" s="25" t="n">
        <f>339299</f>
        <v>339299.0</v>
      </c>
      <c r="H1201" s="25"/>
      <c r="I1201" s="25" t="str">
        <f>"－"</f>
        <v>－</v>
      </c>
      <c r="J1201" s="25" t="n">
        <f>2804</f>
        <v>2804.0</v>
      </c>
      <c r="K1201" s="25" t="str">
        <f>"－"</f>
        <v>－</v>
      </c>
      <c r="L1201" s="2" t="s">
        <v>369</v>
      </c>
      <c r="M1201" s="26" t="n">
        <f>7473</f>
        <v>7473.0</v>
      </c>
      <c r="N1201" s="3" t="s">
        <v>74</v>
      </c>
      <c r="O1201" s="27" t="n">
        <f>790</f>
        <v>790.0</v>
      </c>
      <c r="P1201" s="29" t="s">
        <v>2207</v>
      </c>
      <c r="Q1201" s="25"/>
      <c r="R1201" s="29" t="s">
        <v>262</v>
      </c>
      <c r="S1201" s="25" t="n">
        <f>1317347355</f>
        <v>1.317347355E9</v>
      </c>
      <c r="T1201" s="25" t="str">
        <f>"－"</f>
        <v>－</v>
      </c>
      <c r="U1201" s="3" t="s">
        <v>369</v>
      </c>
      <c r="V1201" s="27" t="n">
        <f>8676700000</f>
        <v>8.6767E9</v>
      </c>
      <c r="W1201" s="3" t="s">
        <v>733</v>
      </c>
      <c r="X1201" s="27" t="n">
        <f>208770000</f>
        <v>2.0877E8</v>
      </c>
      <c r="Y1201" s="27" t="n">
        <f>19535</f>
        <v>19535.0</v>
      </c>
      <c r="Z1201" s="25" t="str">
        <f>"－"</f>
        <v>－</v>
      </c>
      <c r="AA1201" s="25" t="n">
        <f>26847</f>
        <v>26847.0</v>
      </c>
      <c r="AB1201" s="2" t="s">
        <v>476</v>
      </c>
      <c r="AC1201" s="26" t="n">
        <f>39342</f>
        <v>39342.0</v>
      </c>
      <c r="AD1201" s="3" t="s">
        <v>209</v>
      </c>
      <c r="AE1201" s="27" t="n">
        <f>12666</f>
        <v>12666.0</v>
      </c>
    </row>
    <row r="1202">
      <c r="A1202" s="20" t="s">
        <v>2191</v>
      </c>
      <c r="B1202" s="21" t="s">
        <v>2192</v>
      </c>
      <c r="C1202" s="22" t="s">
        <v>1768</v>
      </c>
      <c r="D1202" s="23" t="s">
        <v>1769</v>
      </c>
      <c r="E1202" s="24" t="s">
        <v>289</v>
      </c>
      <c r="F1202" s="28" t="n">
        <f>121</f>
        <v>121.0</v>
      </c>
      <c r="G1202" s="25" t="n">
        <f>580227</f>
        <v>580227.0</v>
      </c>
      <c r="H1202" s="25"/>
      <c r="I1202" s="25" t="str">
        <f>"－"</f>
        <v>－</v>
      </c>
      <c r="J1202" s="25" t="n">
        <f>4795</f>
        <v>4795.0</v>
      </c>
      <c r="K1202" s="25" t="str">
        <f>"－"</f>
        <v>－</v>
      </c>
      <c r="L1202" s="2" t="s">
        <v>369</v>
      </c>
      <c r="M1202" s="26" t="n">
        <f>12035</f>
        <v>12035.0</v>
      </c>
      <c r="N1202" s="3" t="s">
        <v>74</v>
      </c>
      <c r="O1202" s="27" t="n">
        <f>2284</f>
        <v>2284.0</v>
      </c>
      <c r="P1202" s="29" t="s">
        <v>2208</v>
      </c>
      <c r="Q1202" s="25"/>
      <c r="R1202" s="29" t="s">
        <v>262</v>
      </c>
      <c r="S1202" s="25" t="n">
        <f>1938942149</f>
        <v>1.938942149E9</v>
      </c>
      <c r="T1202" s="25" t="str">
        <f>"－"</f>
        <v>－</v>
      </c>
      <c r="U1202" s="3" t="s">
        <v>369</v>
      </c>
      <c r="V1202" s="27" t="n">
        <f>9282670000</f>
        <v>9.28267E9</v>
      </c>
      <c r="W1202" s="3" t="s">
        <v>74</v>
      </c>
      <c r="X1202" s="27" t="n">
        <f>510610000</f>
        <v>5.1061E8</v>
      </c>
      <c r="Y1202" s="27" t="n">
        <f>24190</f>
        <v>24190.0</v>
      </c>
      <c r="Z1202" s="25" t="str">
        <f>"－"</f>
        <v>－</v>
      </c>
      <c r="AA1202" s="25" t="n">
        <f>41504</f>
        <v>41504.0</v>
      </c>
      <c r="AB1202" s="2" t="s">
        <v>476</v>
      </c>
      <c r="AC1202" s="26" t="n">
        <f>77505</f>
        <v>77505.0</v>
      </c>
      <c r="AD1202" s="3" t="s">
        <v>209</v>
      </c>
      <c r="AE1202" s="27" t="n">
        <f>20843</f>
        <v>20843.0</v>
      </c>
    </row>
    <row r="1203">
      <c r="A1203" s="20" t="s">
        <v>2191</v>
      </c>
      <c r="B1203" s="21" t="s">
        <v>2192</v>
      </c>
      <c r="C1203" s="22" t="s">
        <v>1760</v>
      </c>
      <c r="D1203" s="23" t="s">
        <v>1761</v>
      </c>
      <c r="E1203" s="24" t="s">
        <v>294</v>
      </c>
      <c r="F1203" s="28" t="n">
        <f>126</f>
        <v>126.0</v>
      </c>
      <c r="G1203" s="25" t="n">
        <f>236733</f>
        <v>236733.0</v>
      </c>
      <c r="H1203" s="25"/>
      <c r="I1203" s="25" t="str">
        <f>"－"</f>
        <v>－</v>
      </c>
      <c r="J1203" s="25" t="n">
        <f>1879</f>
        <v>1879.0</v>
      </c>
      <c r="K1203" s="25" t="str">
        <f>"－"</f>
        <v>－</v>
      </c>
      <c r="L1203" s="2" t="s">
        <v>1030</v>
      </c>
      <c r="M1203" s="26" t="n">
        <f>5070</f>
        <v>5070.0</v>
      </c>
      <c r="N1203" s="3" t="s">
        <v>986</v>
      </c>
      <c r="O1203" s="27" t="n">
        <f>681</f>
        <v>681.0</v>
      </c>
      <c r="P1203" s="29" t="s">
        <v>2209</v>
      </c>
      <c r="Q1203" s="25"/>
      <c r="R1203" s="29" t="s">
        <v>262</v>
      </c>
      <c r="S1203" s="25" t="n">
        <f>591259762</f>
        <v>5.91259762E8</v>
      </c>
      <c r="T1203" s="25" t="str">
        <f>"－"</f>
        <v>－</v>
      </c>
      <c r="U1203" s="3" t="s">
        <v>498</v>
      </c>
      <c r="V1203" s="27" t="n">
        <f>2549360000</f>
        <v>2.54936E9</v>
      </c>
      <c r="W1203" s="3" t="s">
        <v>986</v>
      </c>
      <c r="X1203" s="27" t="n">
        <f>150030000</f>
        <v>1.5003E8</v>
      </c>
      <c r="Y1203" s="27" t="n">
        <f>4156</f>
        <v>4156.0</v>
      </c>
      <c r="Z1203" s="25" t="str">
        <f>"－"</f>
        <v>－</v>
      </c>
      <c r="AA1203" s="25" t="n">
        <f>15310</f>
        <v>15310.0</v>
      </c>
      <c r="AB1203" s="2" t="s">
        <v>521</v>
      </c>
      <c r="AC1203" s="26" t="n">
        <f>40701</f>
        <v>40701.0</v>
      </c>
      <c r="AD1203" s="3" t="s">
        <v>593</v>
      </c>
      <c r="AE1203" s="27" t="n">
        <f>7720</f>
        <v>7720.0</v>
      </c>
    </row>
    <row r="1204">
      <c r="A1204" s="20" t="s">
        <v>2191</v>
      </c>
      <c r="B1204" s="21" t="s">
        <v>2192</v>
      </c>
      <c r="C1204" s="22" t="s">
        <v>1764</v>
      </c>
      <c r="D1204" s="23" t="s">
        <v>1765</v>
      </c>
      <c r="E1204" s="24" t="s">
        <v>294</v>
      </c>
      <c r="F1204" s="28" t="n">
        <f>126</f>
        <v>126.0</v>
      </c>
      <c r="G1204" s="25" t="n">
        <f>323581</f>
        <v>323581.0</v>
      </c>
      <c r="H1204" s="25"/>
      <c r="I1204" s="25" t="str">
        <f>"－"</f>
        <v>－</v>
      </c>
      <c r="J1204" s="25" t="n">
        <f>2568</f>
        <v>2568.0</v>
      </c>
      <c r="K1204" s="25" t="str">
        <f>"－"</f>
        <v>－</v>
      </c>
      <c r="L1204" s="2" t="s">
        <v>846</v>
      </c>
      <c r="M1204" s="26" t="n">
        <f>6150</f>
        <v>6150.0</v>
      </c>
      <c r="N1204" s="3" t="s">
        <v>137</v>
      </c>
      <c r="O1204" s="27" t="n">
        <f>807</f>
        <v>807.0</v>
      </c>
      <c r="P1204" s="29" t="s">
        <v>2210</v>
      </c>
      <c r="Q1204" s="25"/>
      <c r="R1204" s="29" t="s">
        <v>262</v>
      </c>
      <c r="S1204" s="25" t="n">
        <f>1773474286</f>
        <v>1.773474286E9</v>
      </c>
      <c r="T1204" s="25" t="str">
        <f>"－"</f>
        <v>－</v>
      </c>
      <c r="U1204" s="3" t="s">
        <v>846</v>
      </c>
      <c r="V1204" s="27" t="n">
        <f>6320280000</f>
        <v>6.32028E9</v>
      </c>
      <c r="W1204" s="3" t="s">
        <v>882</v>
      </c>
      <c r="X1204" s="27" t="n">
        <f>230720000</f>
        <v>2.3072E8</v>
      </c>
      <c r="Y1204" s="27" t="n">
        <f>29155</f>
        <v>29155.0</v>
      </c>
      <c r="Z1204" s="25" t="str">
        <f>"－"</f>
        <v>－</v>
      </c>
      <c r="AA1204" s="25" t="n">
        <f>21575</f>
        <v>21575.0</v>
      </c>
      <c r="AB1204" s="2" t="s">
        <v>298</v>
      </c>
      <c r="AC1204" s="26" t="n">
        <f>32713</f>
        <v>32713.0</v>
      </c>
      <c r="AD1204" s="3" t="s">
        <v>593</v>
      </c>
      <c r="AE1204" s="27" t="n">
        <f>12491</f>
        <v>12491.0</v>
      </c>
    </row>
    <row r="1205">
      <c r="A1205" s="20" t="s">
        <v>2191</v>
      </c>
      <c r="B1205" s="21" t="s">
        <v>2192</v>
      </c>
      <c r="C1205" s="22" t="s">
        <v>1768</v>
      </c>
      <c r="D1205" s="23" t="s">
        <v>1769</v>
      </c>
      <c r="E1205" s="24" t="s">
        <v>294</v>
      </c>
      <c r="F1205" s="28" t="n">
        <f>126</f>
        <v>126.0</v>
      </c>
      <c r="G1205" s="25" t="n">
        <f>560314</f>
        <v>560314.0</v>
      </c>
      <c r="H1205" s="25"/>
      <c r="I1205" s="25" t="str">
        <f>"－"</f>
        <v>－</v>
      </c>
      <c r="J1205" s="25" t="n">
        <f>4447</f>
        <v>4447.0</v>
      </c>
      <c r="K1205" s="25" t="str">
        <f>"－"</f>
        <v>－</v>
      </c>
      <c r="L1205" s="2" t="s">
        <v>1259</v>
      </c>
      <c r="M1205" s="26" t="n">
        <f>9279</f>
        <v>9279.0</v>
      </c>
      <c r="N1205" s="3" t="s">
        <v>986</v>
      </c>
      <c r="O1205" s="27" t="n">
        <f>1956</f>
        <v>1956.0</v>
      </c>
      <c r="P1205" s="29" t="s">
        <v>2211</v>
      </c>
      <c r="Q1205" s="25"/>
      <c r="R1205" s="29" t="s">
        <v>262</v>
      </c>
      <c r="S1205" s="25" t="n">
        <f>2364734048</f>
        <v>2.364734048E9</v>
      </c>
      <c r="T1205" s="25" t="str">
        <f>"－"</f>
        <v>－</v>
      </c>
      <c r="U1205" s="3" t="s">
        <v>846</v>
      </c>
      <c r="V1205" s="27" t="n">
        <f>6505750000</f>
        <v>6.50575E9</v>
      </c>
      <c r="W1205" s="3" t="s">
        <v>882</v>
      </c>
      <c r="X1205" s="27" t="n">
        <f>500440000</f>
        <v>5.0044E8</v>
      </c>
      <c r="Y1205" s="27" t="n">
        <f>33311</f>
        <v>33311.0</v>
      </c>
      <c r="Z1205" s="25" t="str">
        <f>"－"</f>
        <v>－</v>
      </c>
      <c r="AA1205" s="25" t="n">
        <f>36885</f>
        <v>36885.0</v>
      </c>
      <c r="AB1205" s="2" t="s">
        <v>521</v>
      </c>
      <c r="AC1205" s="26" t="n">
        <f>68443</f>
        <v>68443.0</v>
      </c>
      <c r="AD1205" s="3" t="s">
        <v>593</v>
      </c>
      <c r="AE1205" s="27" t="n">
        <f>20211</f>
        <v>20211.0</v>
      </c>
    </row>
    <row r="1206">
      <c r="A1206" s="20" t="s">
        <v>2191</v>
      </c>
      <c r="B1206" s="21" t="s">
        <v>2192</v>
      </c>
      <c r="C1206" s="22" t="s">
        <v>1760</v>
      </c>
      <c r="D1206" s="23" t="s">
        <v>1761</v>
      </c>
      <c r="E1206" s="24" t="s">
        <v>299</v>
      </c>
      <c r="F1206" s="28" t="n">
        <f>121</f>
        <v>121.0</v>
      </c>
      <c r="G1206" s="25" t="n">
        <f>294927</f>
        <v>294927.0</v>
      </c>
      <c r="H1206" s="25"/>
      <c r="I1206" s="25" t="str">
        <f>"－"</f>
        <v>－</v>
      </c>
      <c r="J1206" s="25" t="n">
        <f>2437</f>
        <v>2437.0</v>
      </c>
      <c r="K1206" s="25" t="str">
        <f>"－"</f>
        <v>－</v>
      </c>
      <c r="L1206" s="2" t="s">
        <v>1201</v>
      </c>
      <c r="M1206" s="26" t="n">
        <f>5830</f>
        <v>5830.0</v>
      </c>
      <c r="N1206" s="3" t="s">
        <v>131</v>
      </c>
      <c r="O1206" s="27" t="n">
        <f>589</f>
        <v>589.0</v>
      </c>
      <c r="P1206" s="29" t="s">
        <v>2212</v>
      </c>
      <c r="Q1206" s="25"/>
      <c r="R1206" s="29" t="s">
        <v>262</v>
      </c>
      <c r="S1206" s="25" t="n">
        <f>957080165</f>
        <v>9.57080165E8</v>
      </c>
      <c r="T1206" s="25" t="str">
        <f>"－"</f>
        <v>－</v>
      </c>
      <c r="U1206" s="3" t="s">
        <v>558</v>
      </c>
      <c r="V1206" s="27" t="n">
        <f>3834500000</f>
        <v>3.8345E9</v>
      </c>
      <c r="W1206" s="3" t="s">
        <v>156</v>
      </c>
      <c r="X1206" s="27" t="n">
        <f>131880000</f>
        <v>1.3188E8</v>
      </c>
      <c r="Y1206" s="27" t="n">
        <f>10428</f>
        <v>10428.0</v>
      </c>
      <c r="Z1206" s="25" t="str">
        <f>"－"</f>
        <v>－</v>
      </c>
      <c r="AA1206" s="25" t="n">
        <f>14277</f>
        <v>14277.0</v>
      </c>
      <c r="AB1206" s="2" t="s">
        <v>552</v>
      </c>
      <c r="AC1206" s="26" t="n">
        <f>36871</f>
        <v>36871.0</v>
      </c>
      <c r="AD1206" s="3" t="s">
        <v>963</v>
      </c>
      <c r="AE1206" s="27" t="n">
        <f>6884</f>
        <v>6884.0</v>
      </c>
    </row>
    <row r="1207">
      <c r="A1207" s="20" t="s">
        <v>2191</v>
      </c>
      <c r="B1207" s="21" t="s">
        <v>2192</v>
      </c>
      <c r="C1207" s="22" t="s">
        <v>1764</v>
      </c>
      <c r="D1207" s="23" t="s">
        <v>1765</v>
      </c>
      <c r="E1207" s="24" t="s">
        <v>299</v>
      </c>
      <c r="F1207" s="28" t="n">
        <f>121</f>
        <v>121.0</v>
      </c>
      <c r="G1207" s="25" t="n">
        <f>367255</f>
        <v>367255.0</v>
      </c>
      <c r="H1207" s="25"/>
      <c r="I1207" s="25" t="str">
        <f>"－"</f>
        <v>－</v>
      </c>
      <c r="J1207" s="25" t="n">
        <f>3035</f>
        <v>3035.0</v>
      </c>
      <c r="K1207" s="25" t="str">
        <f>"－"</f>
        <v>－</v>
      </c>
      <c r="L1207" s="2" t="s">
        <v>873</v>
      </c>
      <c r="M1207" s="26" t="n">
        <f>7297</f>
        <v>7297.0</v>
      </c>
      <c r="N1207" s="3" t="s">
        <v>156</v>
      </c>
      <c r="O1207" s="27" t="n">
        <f>1131</f>
        <v>1131.0</v>
      </c>
      <c r="P1207" s="29" t="s">
        <v>2213</v>
      </c>
      <c r="Q1207" s="25"/>
      <c r="R1207" s="29" t="s">
        <v>262</v>
      </c>
      <c r="S1207" s="25" t="n">
        <f>1387013884</f>
        <v>1.387013884E9</v>
      </c>
      <c r="T1207" s="25" t="str">
        <f>"－"</f>
        <v>－</v>
      </c>
      <c r="U1207" s="3" t="s">
        <v>1531</v>
      </c>
      <c r="V1207" s="27" t="n">
        <f>5552280000</f>
        <v>5.55228E9</v>
      </c>
      <c r="W1207" s="3" t="s">
        <v>156</v>
      </c>
      <c r="X1207" s="27" t="n">
        <f>208670000</f>
        <v>2.0867E8</v>
      </c>
      <c r="Y1207" s="27" t="n">
        <f>14915</f>
        <v>14915.0</v>
      </c>
      <c r="Z1207" s="25" t="str">
        <f>"－"</f>
        <v>－</v>
      </c>
      <c r="AA1207" s="25" t="n">
        <f>29647</f>
        <v>29647.0</v>
      </c>
      <c r="AB1207" s="2" t="s">
        <v>634</v>
      </c>
      <c r="AC1207" s="26" t="n">
        <f>46977</f>
        <v>46977.0</v>
      </c>
      <c r="AD1207" s="3" t="s">
        <v>963</v>
      </c>
      <c r="AE1207" s="27" t="n">
        <f>13072</f>
        <v>13072.0</v>
      </c>
    </row>
    <row r="1208">
      <c r="A1208" s="20" t="s">
        <v>2191</v>
      </c>
      <c r="B1208" s="21" t="s">
        <v>2192</v>
      </c>
      <c r="C1208" s="22" t="s">
        <v>1768</v>
      </c>
      <c r="D1208" s="23" t="s">
        <v>1769</v>
      </c>
      <c r="E1208" s="24" t="s">
        <v>299</v>
      </c>
      <c r="F1208" s="28" t="n">
        <f>121</f>
        <v>121.0</v>
      </c>
      <c r="G1208" s="25" t="n">
        <f>662182</f>
        <v>662182.0</v>
      </c>
      <c r="H1208" s="25"/>
      <c r="I1208" s="25" t="str">
        <f>"－"</f>
        <v>－</v>
      </c>
      <c r="J1208" s="25" t="n">
        <f>5473</f>
        <v>5473.0</v>
      </c>
      <c r="K1208" s="25" t="str">
        <f>"－"</f>
        <v>－</v>
      </c>
      <c r="L1208" s="2" t="s">
        <v>873</v>
      </c>
      <c r="M1208" s="26" t="n">
        <f>10208</f>
        <v>10208.0</v>
      </c>
      <c r="N1208" s="3" t="s">
        <v>156</v>
      </c>
      <c r="O1208" s="27" t="n">
        <f>2033</f>
        <v>2033.0</v>
      </c>
      <c r="P1208" s="29" t="s">
        <v>2214</v>
      </c>
      <c r="Q1208" s="25"/>
      <c r="R1208" s="29" t="s">
        <v>262</v>
      </c>
      <c r="S1208" s="25" t="n">
        <f>2344094050</f>
        <v>2.34409405E9</v>
      </c>
      <c r="T1208" s="25" t="str">
        <f>"－"</f>
        <v>－</v>
      </c>
      <c r="U1208" s="3" t="s">
        <v>1531</v>
      </c>
      <c r="V1208" s="27" t="n">
        <f>6194660000</f>
        <v>6.19466E9</v>
      </c>
      <c r="W1208" s="3" t="s">
        <v>156</v>
      </c>
      <c r="X1208" s="27" t="n">
        <f>340550000</f>
        <v>3.4055E8</v>
      </c>
      <c r="Y1208" s="27" t="n">
        <f>25343</f>
        <v>25343.0</v>
      </c>
      <c r="Z1208" s="25" t="str">
        <f>"－"</f>
        <v>－</v>
      </c>
      <c r="AA1208" s="25" t="n">
        <f>43924</f>
        <v>43924.0</v>
      </c>
      <c r="AB1208" s="2" t="s">
        <v>71</v>
      </c>
      <c r="AC1208" s="26" t="n">
        <f>70464</f>
        <v>70464.0</v>
      </c>
      <c r="AD1208" s="3" t="s">
        <v>963</v>
      </c>
      <c r="AE1208" s="27" t="n">
        <f>19956</f>
        <v>19956.0</v>
      </c>
    </row>
    <row r="1209">
      <c r="A1209" s="20" t="s">
        <v>2191</v>
      </c>
      <c r="B1209" s="21" t="s">
        <v>2192</v>
      </c>
      <c r="C1209" s="22" t="s">
        <v>1760</v>
      </c>
      <c r="D1209" s="23" t="s">
        <v>1761</v>
      </c>
      <c r="E1209" s="24" t="s">
        <v>301</v>
      </c>
      <c r="F1209" s="28" t="n">
        <f>125</f>
        <v>125.0</v>
      </c>
      <c r="G1209" s="25" t="n">
        <f>357086</f>
        <v>357086.0</v>
      </c>
      <c r="H1209" s="25"/>
      <c r="I1209" s="25" t="str">
        <f>"－"</f>
        <v>－</v>
      </c>
      <c r="J1209" s="25" t="n">
        <f>2857</f>
        <v>2857.0</v>
      </c>
      <c r="K1209" s="25" t="str">
        <f>"－"</f>
        <v>－</v>
      </c>
      <c r="L1209" s="2" t="s">
        <v>1041</v>
      </c>
      <c r="M1209" s="26" t="n">
        <f>7381</f>
        <v>7381.0</v>
      </c>
      <c r="N1209" s="3" t="s">
        <v>80</v>
      </c>
      <c r="O1209" s="27" t="n">
        <f>493</f>
        <v>493.0</v>
      </c>
      <c r="P1209" s="29" t="s">
        <v>2215</v>
      </c>
      <c r="Q1209" s="25"/>
      <c r="R1209" s="29" t="s">
        <v>262</v>
      </c>
      <c r="S1209" s="25" t="n">
        <f>818253840</f>
        <v>8.1825384E8</v>
      </c>
      <c r="T1209" s="25" t="str">
        <f>"－"</f>
        <v>－</v>
      </c>
      <c r="U1209" s="3" t="s">
        <v>128</v>
      </c>
      <c r="V1209" s="27" t="n">
        <f>2506480000</f>
        <v>2.50648E9</v>
      </c>
      <c r="W1209" s="3" t="s">
        <v>80</v>
      </c>
      <c r="X1209" s="27" t="n">
        <f>156800000</f>
        <v>1.568E8</v>
      </c>
      <c r="Y1209" s="27" t="n">
        <f>560</f>
        <v>560.0</v>
      </c>
      <c r="Z1209" s="25" t="str">
        <f>"－"</f>
        <v>－</v>
      </c>
      <c r="AA1209" s="25" t="n">
        <f>30811</f>
        <v>30811.0</v>
      </c>
      <c r="AB1209" s="2" t="s">
        <v>318</v>
      </c>
      <c r="AC1209" s="26" t="n">
        <f>49987</f>
        <v>49987.0</v>
      </c>
      <c r="AD1209" s="3" t="s">
        <v>806</v>
      </c>
      <c r="AE1209" s="27" t="n">
        <f>5905</f>
        <v>5905.0</v>
      </c>
    </row>
    <row r="1210">
      <c r="A1210" s="20" t="s">
        <v>2191</v>
      </c>
      <c r="B1210" s="21" t="s">
        <v>2192</v>
      </c>
      <c r="C1210" s="22" t="s">
        <v>1764</v>
      </c>
      <c r="D1210" s="23" t="s">
        <v>1765</v>
      </c>
      <c r="E1210" s="24" t="s">
        <v>301</v>
      </c>
      <c r="F1210" s="28" t="n">
        <f>125</f>
        <v>125.0</v>
      </c>
      <c r="G1210" s="25" t="n">
        <f>487568</f>
        <v>487568.0</v>
      </c>
      <c r="H1210" s="25"/>
      <c r="I1210" s="25" t="str">
        <f>"－"</f>
        <v>－</v>
      </c>
      <c r="J1210" s="25" t="n">
        <f>3901</f>
        <v>3901.0</v>
      </c>
      <c r="K1210" s="25" t="str">
        <f>"－"</f>
        <v>－</v>
      </c>
      <c r="L1210" s="2" t="s">
        <v>1002</v>
      </c>
      <c r="M1210" s="26" t="n">
        <f>8987</f>
        <v>8987.0</v>
      </c>
      <c r="N1210" s="3" t="s">
        <v>129</v>
      </c>
      <c r="O1210" s="27" t="n">
        <f>729</f>
        <v>729.0</v>
      </c>
      <c r="P1210" s="29" t="s">
        <v>2216</v>
      </c>
      <c r="Q1210" s="25"/>
      <c r="R1210" s="29" t="s">
        <v>262</v>
      </c>
      <c r="S1210" s="25" t="n">
        <f>2508742960</f>
        <v>2.50874296E9</v>
      </c>
      <c r="T1210" s="25" t="str">
        <f>"－"</f>
        <v>－</v>
      </c>
      <c r="U1210" s="3" t="s">
        <v>318</v>
      </c>
      <c r="V1210" s="27" t="n">
        <f>8712870000</f>
        <v>8.71287E9</v>
      </c>
      <c r="W1210" s="3" t="s">
        <v>129</v>
      </c>
      <c r="X1210" s="27" t="n">
        <f>503400000</f>
        <v>5.034E8</v>
      </c>
      <c r="Y1210" s="27" t="n">
        <f>48945</f>
        <v>48945.0</v>
      </c>
      <c r="Z1210" s="25" t="str">
        <f>"－"</f>
        <v>－</v>
      </c>
      <c r="AA1210" s="25" t="n">
        <f>29072</f>
        <v>29072.0</v>
      </c>
      <c r="AB1210" s="2" t="s">
        <v>332</v>
      </c>
      <c r="AC1210" s="26" t="n">
        <f>40330</f>
        <v>40330.0</v>
      </c>
      <c r="AD1210" s="3" t="s">
        <v>806</v>
      </c>
      <c r="AE1210" s="27" t="n">
        <f>10616</f>
        <v>10616.0</v>
      </c>
    </row>
    <row r="1211">
      <c r="A1211" s="20" t="s">
        <v>2191</v>
      </c>
      <c r="B1211" s="21" t="s">
        <v>2192</v>
      </c>
      <c r="C1211" s="22" t="s">
        <v>1768</v>
      </c>
      <c r="D1211" s="23" t="s">
        <v>1769</v>
      </c>
      <c r="E1211" s="24" t="s">
        <v>301</v>
      </c>
      <c r="F1211" s="28" t="n">
        <f>125</f>
        <v>125.0</v>
      </c>
      <c r="G1211" s="25" t="n">
        <f>844654</f>
        <v>844654.0</v>
      </c>
      <c r="H1211" s="25"/>
      <c r="I1211" s="25" t="str">
        <f>"－"</f>
        <v>－</v>
      </c>
      <c r="J1211" s="25" t="n">
        <f>6757</f>
        <v>6757.0</v>
      </c>
      <c r="K1211" s="25" t="str">
        <f>"－"</f>
        <v>－</v>
      </c>
      <c r="L1211" s="2" t="s">
        <v>1041</v>
      </c>
      <c r="M1211" s="26" t="n">
        <f>14140</f>
        <v>14140.0</v>
      </c>
      <c r="N1211" s="3" t="s">
        <v>129</v>
      </c>
      <c r="O1211" s="27" t="n">
        <f>1822</f>
        <v>1822.0</v>
      </c>
      <c r="P1211" s="29" t="s">
        <v>2217</v>
      </c>
      <c r="Q1211" s="25"/>
      <c r="R1211" s="29" t="s">
        <v>262</v>
      </c>
      <c r="S1211" s="25" t="n">
        <f>3326996800</f>
        <v>3.3269968E9</v>
      </c>
      <c r="T1211" s="25" t="str">
        <f>"－"</f>
        <v>－</v>
      </c>
      <c r="U1211" s="3" t="s">
        <v>318</v>
      </c>
      <c r="V1211" s="27" t="n">
        <f>10045150000</f>
        <v>1.004515E10</v>
      </c>
      <c r="W1211" s="3" t="s">
        <v>129</v>
      </c>
      <c r="X1211" s="27" t="n">
        <f>958700000</f>
        <v>9.587E8</v>
      </c>
      <c r="Y1211" s="27" t="n">
        <f>49505</f>
        <v>49505.0</v>
      </c>
      <c r="Z1211" s="25" t="str">
        <f>"－"</f>
        <v>－</v>
      </c>
      <c r="AA1211" s="25" t="n">
        <f>59883</f>
        <v>59883.0</v>
      </c>
      <c r="AB1211" s="2" t="s">
        <v>1160</v>
      </c>
      <c r="AC1211" s="26" t="n">
        <f>82200</f>
        <v>82200.0</v>
      </c>
      <c r="AD1211" s="3" t="s">
        <v>806</v>
      </c>
      <c r="AE1211" s="27" t="n">
        <f>16521</f>
        <v>16521.0</v>
      </c>
    </row>
    <row r="1212">
      <c r="A1212" s="20" t="s">
        <v>2191</v>
      </c>
      <c r="B1212" s="21" t="s">
        <v>2192</v>
      </c>
      <c r="C1212" s="22" t="s">
        <v>1760</v>
      </c>
      <c r="D1212" s="23" t="s">
        <v>1761</v>
      </c>
      <c r="E1212" s="24" t="s">
        <v>304</v>
      </c>
      <c r="F1212" s="28" t="n">
        <f>122</f>
        <v>122.0</v>
      </c>
      <c r="G1212" s="25" t="n">
        <f>454652</f>
        <v>454652.0</v>
      </c>
      <c r="H1212" s="25"/>
      <c r="I1212" s="25" t="str">
        <f>"－"</f>
        <v>－</v>
      </c>
      <c r="J1212" s="25" t="n">
        <f>3727</f>
        <v>3727.0</v>
      </c>
      <c r="K1212" s="25" t="str">
        <f>"－"</f>
        <v>－</v>
      </c>
      <c r="L1212" s="2" t="s">
        <v>305</v>
      </c>
      <c r="M1212" s="26" t="n">
        <f>12635</f>
        <v>12635.0</v>
      </c>
      <c r="N1212" s="3" t="s">
        <v>468</v>
      </c>
      <c r="O1212" s="27" t="n">
        <f>910</f>
        <v>910.0</v>
      </c>
      <c r="P1212" s="29" t="s">
        <v>2218</v>
      </c>
      <c r="Q1212" s="25"/>
      <c r="R1212" s="29" t="s">
        <v>262</v>
      </c>
      <c r="S1212" s="25" t="n">
        <f>2519987131</f>
        <v>2.519987131E9</v>
      </c>
      <c r="T1212" s="25" t="str">
        <f>"－"</f>
        <v>－</v>
      </c>
      <c r="U1212" s="3" t="s">
        <v>209</v>
      </c>
      <c r="V1212" s="27" t="n">
        <f>12137910000</f>
        <v>1.213791E10</v>
      </c>
      <c r="W1212" s="3" t="s">
        <v>1153</v>
      </c>
      <c r="X1212" s="27" t="n">
        <f>373610000</f>
        <v>3.7361E8</v>
      </c>
      <c r="Y1212" s="27" t="n">
        <f>21437</f>
        <v>21437.0</v>
      </c>
      <c r="Z1212" s="25" t="str">
        <f>"－"</f>
        <v>－</v>
      </c>
      <c r="AA1212" s="25" t="n">
        <f>27117</f>
        <v>27117.0</v>
      </c>
      <c r="AB1212" s="2" t="s">
        <v>873</v>
      </c>
      <c r="AC1212" s="26" t="n">
        <f>38899</f>
        <v>38899.0</v>
      </c>
      <c r="AD1212" s="3" t="s">
        <v>314</v>
      </c>
      <c r="AE1212" s="27" t="n">
        <f>6162</f>
        <v>6162.0</v>
      </c>
    </row>
    <row r="1213">
      <c r="A1213" s="20" t="s">
        <v>2191</v>
      </c>
      <c r="B1213" s="21" t="s">
        <v>2192</v>
      </c>
      <c r="C1213" s="22" t="s">
        <v>1764</v>
      </c>
      <c r="D1213" s="23" t="s">
        <v>1765</v>
      </c>
      <c r="E1213" s="24" t="s">
        <v>304</v>
      </c>
      <c r="F1213" s="28" t="n">
        <f>122</f>
        <v>122.0</v>
      </c>
      <c r="G1213" s="25" t="n">
        <f>464016</f>
        <v>464016.0</v>
      </c>
      <c r="H1213" s="25"/>
      <c r="I1213" s="25" t="str">
        <f>"－"</f>
        <v>－</v>
      </c>
      <c r="J1213" s="25" t="n">
        <f>3803</f>
        <v>3803.0</v>
      </c>
      <c r="K1213" s="25" t="str">
        <f>"－"</f>
        <v>－</v>
      </c>
      <c r="L1213" s="2" t="s">
        <v>375</v>
      </c>
      <c r="M1213" s="26" t="n">
        <f>7198</f>
        <v>7198.0</v>
      </c>
      <c r="N1213" s="3" t="s">
        <v>156</v>
      </c>
      <c r="O1213" s="27" t="n">
        <f>1172</f>
        <v>1172.0</v>
      </c>
      <c r="P1213" s="29" t="s">
        <v>2219</v>
      </c>
      <c r="Q1213" s="25"/>
      <c r="R1213" s="29" t="s">
        <v>262</v>
      </c>
      <c r="S1213" s="25" t="n">
        <f>1727550574</f>
        <v>1.727550574E9</v>
      </c>
      <c r="T1213" s="25" t="str">
        <f>"－"</f>
        <v>－</v>
      </c>
      <c r="U1213" s="3" t="s">
        <v>706</v>
      </c>
      <c r="V1213" s="27" t="n">
        <f>5153310000</f>
        <v>5.15331E9</v>
      </c>
      <c r="W1213" s="3" t="s">
        <v>193</v>
      </c>
      <c r="X1213" s="27" t="n">
        <f>288270000</f>
        <v>2.8827E8</v>
      </c>
      <c r="Y1213" s="27" t="n">
        <f>12084</f>
        <v>12084.0</v>
      </c>
      <c r="Z1213" s="25" t="str">
        <f>"－"</f>
        <v>－</v>
      </c>
      <c r="AA1213" s="25" t="n">
        <f>31196</f>
        <v>31196.0</v>
      </c>
      <c r="AB1213" s="2" t="s">
        <v>559</v>
      </c>
      <c r="AC1213" s="26" t="n">
        <f>44190</f>
        <v>44190.0</v>
      </c>
      <c r="AD1213" s="3" t="s">
        <v>314</v>
      </c>
      <c r="AE1213" s="27" t="n">
        <f>7752</f>
        <v>7752.0</v>
      </c>
    </row>
    <row r="1214">
      <c r="A1214" s="20" t="s">
        <v>2191</v>
      </c>
      <c r="B1214" s="21" t="s">
        <v>2192</v>
      </c>
      <c r="C1214" s="22" t="s">
        <v>1768</v>
      </c>
      <c r="D1214" s="23" t="s">
        <v>1769</v>
      </c>
      <c r="E1214" s="24" t="s">
        <v>304</v>
      </c>
      <c r="F1214" s="28" t="n">
        <f>122</f>
        <v>122.0</v>
      </c>
      <c r="G1214" s="25" t="n">
        <f>918668</f>
        <v>918668.0</v>
      </c>
      <c r="H1214" s="25"/>
      <c r="I1214" s="25" t="str">
        <f>"－"</f>
        <v>－</v>
      </c>
      <c r="J1214" s="25" t="n">
        <f>7530</f>
        <v>7530.0</v>
      </c>
      <c r="K1214" s="25" t="str">
        <f>"－"</f>
        <v>－</v>
      </c>
      <c r="L1214" s="2" t="s">
        <v>305</v>
      </c>
      <c r="M1214" s="26" t="n">
        <f>17194</f>
        <v>17194.0</v>
      </c>
      <c r="N1214" s="3" t="s">
        <v>156</v>
      </c>
      <c r="O1214" s="27" t="n">
        <f>2123</f>
        <v>2123.0</v>
      </c>
      <c r="P1214" s="29" t="s">
        <v>2220</v>
      </c>
      <c r="Q1214" s="25"/>
      <c r="R1214" s="29" t="s">
        <v>262</v>
      </c>
      <c r="S1214" s="25" t="n">
        <f>4247537705</f>
        <v>4.247537705E9</v>
      </c>
      <c r="T1214" s="25" t="str">
        <f>"－"</f>
        <v>－</v>
      </c>
      <c r="U1214" s="3" t="s">
        <v>209</v>
      </c>
      <c r="V1214" s="27" t="n">
        <f>14151290000</f>
        <v>1.415129E10</v>
      </c>
      <c r="W1214" s="3" t="s">
        <v>156</v>
      </c>
      <c r="X1214" s="27" t="n">
        <f>1094840000</f>
        <v>1.09484E9</v>
      </c>
      <c r="Y1214" s="27" t="n">
        <f>33521</f>
        <v>33521.0</v>
      </c>
      <c r="Z1214" s="25" t="str">
        <f>"－"</f>
        <v>－</v>
      </c>
      <c r="AA1214" s="25" t="n">
        <f>58313</f>
        <v>58313.0</v>
      </c>
      <c r="AB1214" s="2" t="s">
        <v>291</v>
      </c>
      <c r="AC1214" s="26" t="n">
        <f>77617</f>
        <v>77617.0</v>
      </c>
      <c r="AD1214" s="3" t="s">
        <v>314</v>
      </c>
      <c r="AE1214" s="27" t="n">
        <f>13914</f>
        <v>13914.0</v>
      </c>
    </row>
    <row r="1215">
      <c r="A1215" s="20" t="s">
        <v>2191</v>
      </c>
      <c r="B1215" s="21" t="s">
        <v>2192</v>
      </c>
      <c r="C1215" s="22" t="s">
        <v>1760</v>
      </c>
      <c r="D1215" s="23" t="s">
        <v>1761</v>
      </c>
      <c r="E1215" s="24" t="s">
        <v>308</v>
      </c>
      <c r="F1215" s="28" t="n">
        <f>125</f>
        <v>125.0</v>
      </c>
      <c r="G1215" s="25" t="n">
        <f>397826</f>
        <v>397826.0</v>
      </c>
      <c r="H1215" s="25"/>
      <c r="I1215" s="25" t="str">
        <f>"－"</f>
        <v>－</v>
      </c>
      <c r="J1215" s="25" t="n">
        <f>3183</f>
        <v>3183.0</v>
      </c>
      <c r="K1215" s="25" t="str">
        <f>"－"</f>
        <v>－</v>
      </c>
      <c r="L1215" s="2" t="s">
        <v>532</v>
      </c>
      <c r="M1215" s="26" t="n">
        <f>7582</f>
        <v>7582.0</v>
      </c>
      <c r="N1215" s="3" t="s">
        <v>280</v>
      </c>
      <c r="O1215" s="27" t="n">
        <f>960</f>
        <v>960.0</v>
      </c>
      <c r="P1215" s="29" t="s">
        <v>2221</v>
      </c>
      <c r="Q1215" s="25"/>
      <c r="R1215" s="29" t="s">
        <v>262</v>
      </c>
      <c r="S1215" s="25" t="n">
        <f>1390854320</f>
        <v>1.39085432E9</v>
      </c>
      <c r="T1215" s="25" t="str">
        <f>"－"</f>
        <v>－</v>
      </c>
      <c r="U1215" s="3" t="s">
        <v>529</v>
      </c>
      <c r="V1215" s="27" t="n">
        <f>5824750000</f>
        <v>5.82475E9</v>
      </c>
      <c r="W1215" s="3" t="s">
        <v>129</v>
      </c>
      <c r="X1215" s="27" t="n">
        <f>301760000</f>
        <v>3.0176E8</v>
      </c>
      <c r="Y1215" s="27" t="n">
        <f>13817</f>
        <v>13817.0</v>
      </c>
      <c r="Z1215" s="25" t="str">
        <f>"－"</f>
        <v>－</v>
      </c>
      <c r="AA1215" s="25" t="n">
        <f>32967</f>
        <v>32967.0</v>
      </c>
      <c r="AB1215" s="2" t="s">
        <v>318</v>
      </c>
      <c r="AC1215" s="26" t="n">
        <f>52083</f>
        <v>52083.0</v>
      </c>
      <c r="AD1215" s="3" t="s">
        <v>241</v>
      </c>
      <c r="AE1215" s="27" t="n">
        <f>15293</f>
        <v>15293.0</v>
      </c>
    </row>
    <row r="1216">
      <c r="A1216" s="20" t="s">
        <v>2191</v>
      </c>
      <c r="B1216" s="21" t="s">
        <v>2192</v>
      </c>
      <c r="C1216" s="22" t="s">
        <v>1764</v>
      </c>
      <c r="D1216" s="23" t="s">
        <v>1765</v>
      </c>
      <c r="E1216" s="24" t="s">
        <v>308</v>
      </c>
      <c r="F1216" s="28" t="n">
        <f>125</f>
        <v>125.0</v>
      </c>
      <c r="G1216" s="25" t="n">
        <f>375340</f>
        <v>375340.0</v>
      </c>
      <c r="H1216" s="25"/>
      <c r="I1216" s="25" t="str">
        <f>"－"</f>
        <v>－</v>
      </c>
      <c r="J1216" s="25" t="n">
        <f>3003</f>
        <v>3003.0</v>
      </c>
      <c r="K1216" s="25" t="str">
        <f>"－"</f>
        <v>－</v>
      </c>
      <c r="L1216" s="2" t="s">
        <v>532</v>
      </c>
      <c r="M1216" s="26" t="n">
        <f>11007</f>
        <v>11007.0</v>
      </c>
      <c r="N1216" s="3" t="s">
        <v>529</v>
      </c>
      <c r="O1216" s="27" t="n">
        <f>1223</f>
        <v>1223.0</v>
      </c>
      <c r="P1216" s="29" t="s">
        <v>2222</v>
      </c>
      <c r="Q1216" s="25"/>
      <c r="R1216" s="29" t="s">
        <v>262</v>
      </c>
      <c r="S1216" s="25" t="n">
        <f>1157041120</f>
        <v>1.15704112E9</v>
      </c>
      <c r="T1216" s="25" t="str">
        <f>"－"</f>
        <v>－</v>
      </c>
      <c r="U1216" s="3" t="s">
        <v>532</v>
      </c>
      <c r="V1216" s="27" t="n">
        <f>4879330000</f>
        <v>4.87933E9</v>
      </c>
      <c r="W1216" s="3" t="s">
        <v>914</v>
      </c>
      <c r="X1216" s="27" t="n">
        <f>163330000</f>
        <v>1.6333E8</v>
      </c>
      <c r="Y1216" s="27" t="n">
        <f>5518</f>
        <v>5518.0</v>
      </c>
      <c r="Z1216" s="25" t="str">
        <f>"－"</f>
        <v>－</v>
      </c>
      <c r="AA1216" s="25" t="n">
        <f>30797</f>
        <v>30797.0</v>
      </c>
      <c r="AB1216" s="2" t="s">
        <v>529</v>
      </c>
      <c r="AC1216" s="26" t="n">
        <f>46932</f>
        <v>46932.0</v>
      </c>
      <c r="AD1216" s="3" t="s">
        <v>806</v>
      </c>
      <c r="AE1216" s="27" t="n">
        <f>12005</f>
        <v>12005.0</v>
      </c>
    </row>
    <row r="1217">
      <c r="A1217" s="20" t="s">
        <v>2191</v>
      </c>
      <c r="B1217" s="21" t="s">
        <v>2192</v>
      </c>
      <c r="C1217" s="22" t="s">
        <v>1768</v>
      </c>
      <c r="D1217" s="23" t="s">
        <v>1769</v>
      </c>
      <c r="E1217" s="24" t="s">
        <v>308</v>
      </c>
      <c r="F1217" s="28" t="n">
        <f>125</f>
        <v>125.0</v>
      </c>
      <c r="G1217" s="25" t="n">
        <f>773166</f>
        <v>773166.0</v>
      </c>
      <c r="H1217" s="25"/>
      <c r="I1217" s="25" t="str">
        <f>"－"</f>
        <v>－</v>
      </c>
      <c r="J1217" s="25" t="n">
        <f>6185</f>
        <v>6185.0</v>
      </c>
      <c r="K1217" s="25" t="str">
        <f>"－"</f>
        <v>－</v>
      </c>
      <c r="L1217" s="2" t="s">
        <v>532</v>
      </c>
      <c r="M1217" s="26" t="n">
        <f>18589</f>
        <v>18589.0</v>
      </c>
      <c r="N1217" s="3" t="s">
        <v>1388</v>
      </c>
      <c r="O1217" s="27" t="n">
        <f>2859</f>
        <v>2859.0</v>
      </c>
      <c r="P1217" s="29" t="s">
        <v>2223</v>
      </c>
      <c r="Q1217" s="25"/>
      <c r="R1217" s="29" t="s">
        <v>262</v>
      </c>
      <c r="S1217" s="25" t="n">
        <f>2547895440</f>
        <v>2.54789544E9</v>
      </c>
      <c r="T1217" s="25" t="str">
        <f>"－"</f>
        <v>－</v>
      </c>
      <c r="U1217" s="3" t="s">
        <v>532</v>
      </c>
      <c r="V1217" s="27" t="n">
        <f>6548440000</f>
        <v>6.54844E9</v>
      </c>
      <c r="W1217" s="3" t="s">
        <v>507</v>
      </c>
      <c r="X1217" s="27" t="n">
        <f>903820000</f>
        <v>9.0382E8</v>
      </c>
      <c r="Y1217" s="27" t="n">
        <f>19335</f>
        <v>19335.0</v>
      </c>
      <c r="Z1217" s="25" t="str">
        <f>"－"</f>
        <v>－</v>
      </c>
      <c r="AA1217" s="25" t="n">
        <f>63764</f>
        <v>63764.0</v>
      </c>
      <c r="AB1217" s="2" t="s">
        <v>833</v>
      </c>
      <c r="AC1217" s="26" t="n">
        <f>85453</f>
        <v>85453.0</v>
      </c>
      <c r="AD1217" s="3" t="s">
        <v>806</v>
      </c>
      <c r="AE1217" s="27" t="n">
        <f>27380</f>
        <v>27380.0</v>
      </c>
    </row>
    <row r="1218">
      <c r="A1218" s="20" t="s">
        <v>2191</v>
      </c>
      <c r="B1218" s="21" t="s">
        <v>2192</v>
      </c>
      <c r="C1218" s="22" t="s">
        <v>1760</v>
      </c>
      <c r="D1218" s="23" t="s">
        <v>1761</v>
      </c>
      <c r="E1218" s="24" t="s">
        <v>311</v>
      </c>
      <c r="F1218" s="28" t="n">
        <f>123</f>
        <v>123.0</v>
      </c>
      <c r="G1218" s="25" t="n">
        <f>578110</f>
        <v>578110.0</v>
      </c>
      <c r="H1218" s="25"/>
      <c r="I1218" s="25" t="str">
        <f>"－"</f>
        <v>－</v>
      </c>
      <c r="J1218" s="25" t="n">
        <f>4700</f>
        <v>4700.0</v>
      </c>
      <c r="K1218" s="25" t="str">
        <f>"－"</f>
        <v>－</v>
      </c>
      <c r="L1218" s="2" t="s">
        <v>243</v>
      </c>
      <c r="M1218" s="26" t="n">
        <f>8945</f>
        <v>8945.0</v>
      </c>
      <c r="N1218" s="3" t="s">
        <v>1363</v>
      </c>
      <c r="O1218" s="27" t="n">
        <f>1754</f>
        <v>1754.0</v>
      </c>
      <c r="P1218" s="29" t="s">
        <v>2224</v>
      </c>
      <c r="Q1218" s="25"/>
      <c r="R1218" s="29" t="s">
        <v>262</v>
      </c>
      <c r="S1218" s="25" t="n">
        <f>1386569675</f>
        <v>1.386569675E9</v>
      </c>
      <c r="T1218" s="25" t="str">
        <f>"－"</f>
        <v>－</v>
      </c>
      <c r="U1218" s="3" t="s">
        <v>312</v>
      </c>
      <c r="V1218" s="27" t="n">
        <f>3486560000</f>
        <v>3.48656E9</v>
      </c>
      <c r="W1218" s="3" t="s">
        <v>1363</v>
      </c>
      <c r="X1218" s="27" t="n">
        <f>423960000</f>
        <v>4.2396E8</v>
      </c>
      <c r="Y1218" s="27" t="n">
        <f>1</f>
        <v>1.0</v>
      </c>
      <c r="Z1218" s="25" t="str">
        <f>"－"</f>
        <v>－</v>
      </c>
      <c r="AA1218" s="25" t="n">
        <f>32142</f>
        <v>32142.0</v>
      </c>
      <c r="AB1218" s="2" t="s">
        <v>754</v>
      </c>
      <c r="AC1218" s="26" t="n">
        <f>73290</f>
        <v>73290.0</v>
      </c>
      <c r="AD1218" s="3" t="s">
        <v>963</v>
      </c>
      <c r="AE1218" s="27" t="n">
        <f>13526</f>
        <v>13526.0</v>
      </c>
    </row>
    <row r="1219">
      <c r="A1219" s="20" t="s">
        <v>2191</v>
      </c>
      <c r="B1219" s="21" t="s">
        <v>2192</v>
      </c>
      <c r="C1219" s="22" t="s">
        <v>1764</v>
      </c>
      <c r="D1219" s="23" t="s">
        <v>1765</v>
      </c>
      <c r="E1219" s="24" t="s">
        <v>311</v>
      </c>
      <c r="F1219" s="28" t="n">
        <f>123</f>
        <v>123.0</v>
      </c>
      <c r="G1219" s="25" t="n">
        <f>543100</f>
        <v>543100.0</v>
      </c>
      <c r="H1219" s="25"/>
      <c r="I1219" s="25" t="str">
        <f>"－"</f>
        <v>－</v>
      </c>
      <c r="J1219" s="25" t="n">
        <f>4415</f>
        <v>4415.0</v>
      </c>
      <c r="K1219" s="25" t="str">
        <f>"－"</f>
        <v>－</v>
      </c>
      <c r="L1219" s="2" t="s">
        <v>1121</v>
      </c>
      <c r="M1219" s="26" t="n">
        <f>13026</f>
        <v>13026.0</v>
      </c>
      <c r="N1219" s="3" t="s">
        <v>146</v>
      </c>
      <c r="O1219" s="27" t="n">
        <f>1730</f>
        <v>1730.0</v>
      </c>
      <c r="P1219" s="29" t="s">
        <v>2225</v>
      </c>
      <c r="Q1219" s="25"/>
      <c r="R1219" s="29" t="s">
        <v>262</v>
      </c>
      <c r="S1219" s="25" t="n">
        <f>2974975854</f>
        <v>2.974975854E9</v>
      </c>
      <c r="T1219" s="25" t="str">
        <f>"－"</f>
        <v>－</v>
      </c>
      <c r="U1219" s="3" t="s">
        <v>267</v>
      </c>
      <c r="V1219" s="27" t="n">
        <f>13698120000</f>
        <v>1.369812E10</v>
      </c>
      <c r="W1219" s="3" t="s">
        <v>305</v>
      </c>
      <c r="X1219" s="27" t="n">
        <f>597100000</f>
        <v>5.971E8</v>
      </c>
      <c r="Y1219" s="27" t="n">
        <f>60462</f>
        <v>60462.0</v>
      </c>
      <c r="Z1219" s="25" t="str">
        <f>"－"</f>
        <v>－</v>
      </c>
      <c r="AA1219" s="25" t="n">
        <f>28060</f>
        <v>28060.0</v>
      </c>
      <c r="AB1219" s="2" t="s">
        <v>539</v>
      </c>
      <c r="AC1219" s="26" t="n">
        <f>46117</f>
        <v>46117.0</v>
      </c>
      <c r="AD1219" s="3" t="s">
        <v>754</v>
      </c>
      <c r="AE1219" s="27" t="n">
        <f>11563</f>
        <v>11563.0</v>
      </c>
    </row>
    <row r="1220">
      <c r="A1220" s="20" t="s">
        <v>2191</v>
      </c>
      <c r="B1220" s="21" t="s">
        <v>2192</v>
      </c>
      <c r="C1220" s="22" t="s">
        <v>1768</v>
      </c>
      <c r="D1220" s="23" t="s">
        <v>1769</v>
      </c>
      <c r="E1220" s="24" t="s">
        <v>311</v>
      </c>
      <c r="F1220" s="28" t="n">
        <f>123</f>
        <v>123.0</v>
      </c>
      <c r="G1220" s="25" t="n">
        <f>1121210</f>
        <v>1121210.0</v>
      </c>
      <c r="H1220" s="25"/>
      <c r="I1220" s="25" t="str">
        <f>"－"</f>
        <v>－</v>
      </c>
      <c r="J1220" s="25" t="n">
        <f>9116</f>
        <v>9116.0</v>
      </c>
      <c r="K1220" s="25" t="str">
        <f>"－"</f>
        <v>－</v>
      </c>
      <c r="L1220" s="2" t="s">
        <v>1171</v>
      </c>
      <c r="M1220" s="26" t="n">
        <f>20351</f>
        <v>20351.0</v>
      </c>
      <c r="N1220" s="3" t="s">
        <v>1363</v>
      </c>
      <c r="O1220" s="27" t="n">
        <f>3985</f>
        <v>3985.0</v>
      </c>
      <c r="P1220" s="29" t="s">
        <v>2226</v>
      </c>
      <c r="Q1220" s="25"/>
      <c r="R1220" s="29" t="s">
        <v>262</v>
      </c>
      <c r="S1220" s="25" t="n">
        <f>4361545528</f>
        <v>4.361545528E9</v>
      </c>
      <c r="T1220" s="25" t="str">
        <f>"－"</f>
        <v>－</v>
      </c>
      <c r="U1220" s="3" t="s">
        <v>267</v>
      </c>
      <c r="V1220" s="27" t="n">
        <f>15415240000</f>
        <v>1.541524E10</v>
      </c>
      <c r="W1220" s="3" t="s">
        <v>305</v>
      </c>
      <c r="X1220" s="27" t="n">
        <f>1366070000</f>
        <v>1.36607E9</v>
      </c>
      <c r="Y1220" s="27" t="n">
        <f>60463</f>
        <v>60463.0</v>
      </c>
      <c r="Z1220" s="25" t="str">
        <f>"－"</f>
        <v>－</v>
      </c>
      <c r="AA1220" s="25" t="n">
        <f>60202</f>
        <v>60202.0</v>
      </c>
      <c r="AB1220" s="2" t="s">
        <v>559</v>
      </c>
      <c r="AC1220" s="26" t="n">
        <f>110187</f>
        <v>110187.0</v>
      </c>
      <c r="AD1220" s="3" t="s">
        <v>963</v>
      </c>
      <c r="AE1220" s="27" t="n">
        <f>26124</f>
        <v>26124.0</v>
      </c>
    </row>
    <row r="1221">
      <c r="A1221" s="20" t="s">
        <v>2191</v>
      </c>
      <c r="B1221" s="21" t="s">
        <v>2192</v>
      </c>
      <c r="C1221" s="22" t="s">
        <v>1760</v>
      </c>
      <c r="D1221" s="23" t="s">
        <v>1761</v>
      </c>
      <c r="E1221" s="24" t="s">
        <v>317</v>
      </c>
      <c r="F1221" s="28" t="n">
        <f>126</f>
        <v>126.0</v>
      </c>
      <c r="G1221" s="25" t="n">
        <f>494502</f>
        <v>494502.0</v>
      </c>
      <c r="H1221" s="25"/>
      <c r="I1221" s="25" t="str">
        <f>"－"</f>
        <v>－</v>
      </c>
      <c r="J1221" s="25" t="n">
        <f>3925</f>
        <v>3925.0</v>
      </c>
      <c r="K1221" s="25" t="str">
        <f>"－"</f>
        <v>－</v>
      </c>
      <c r="L1221" s="2" t="s">
        <v>1082</v>
      </c>
      <c r="M1221" s="26" t="n">
        <f>13542</f>
        <v>13542.0</v>
      </c>
      <c r="N1221" s="3" t="s">
        <v>141</v>
      </c>
      <c r="O1221" s="27" t="n">
        <f>1230</f>
        <v>1230.0</v>
      </c>
      <c r="P1221" s="29" t="s">
        <v>2227</v>
      </c>
      <c r="Q1221" s="25"/>
      <c r="R1221" s="29" t="s">
        <v>262</v>
      </c>
      <c r="S1221" s="25" t="n">
        <f>1608132063</f>
        <v>1.608132063E9</v>
      </c>
      <c r="T1221" s="25" t="str">
        <f>"－"</f>
        <v>－</v>
      </c>
      <c r="U1221" s="3" t="s">
        <v>1082</v>
      </c>
      <c r="V1221" s="27" t="n">
        <f>9574990000</f>
        <v>9.57499E9</v>
      </c>
      <c r="W1221" s="3" t="s">
        <v>1142</v>
      </c>
      <c r="X1221" s="27" t="n">
        <f>292350000</f>
        <v>2.9235E8</v>
      </c>
      <c r="Y1221" s="27" t="n">
        <f>9807</f>
        <v>9807.0</v>
      </c>
      <c r="Z1221" s="25" t="str">
        <f>"－"</f>
        <v>－</v>
      </c>
      <c r="AA1221" s="25" t="n">
        <f>29773</f>
        <v>29773.0</v>
      </c>
      <c r="AB1221" s="2" t="s">
        <v>318</v>
      </c>
      <c r="AC1221" s="26" t="n">
        <f>46847</f>
        <v>46847.0</v>
      </c>
      <c r="AD1221" s="3" t="s">
        <v>593</v>
      </c>
      <c r="AE1221" s="27" t="n">
        <f>10786</f>
        <v>10786.0</v>
      </c>
    </row>
    <row r="1222">
      <c r="A1222" s="20" t="s">
        <v>2191</v>
      </c>
      <c r="B1222" s="21" t="s">
        <v>2192</v>
      </c>
      <c r="C1222" s="22" t="s">
        <v>1764</v>
      </c>
      <c r="D1222" s="23" t="s">
        <v>1765</v>
      </c>
      <c r="E1222" s="24" t="s">
        <v>317</v>
      </c>
      <c r="F1222" s="28" t="n">
        <f>126</f>
        <v>126.0</v>
      </c>
      <c r="G1222" s="25" t="n">
        <f>401319</f>
        <v>401319.0</v>
      </c>
      <c r="H1222" s="25"/>
      <c r="I1222" s="25" t="str">
        <f>"－"</f>
        <v>－</v>
      </c>
      <c r="J1222" s="25" t="n">
        <f>3185</f>
        <v>3185.0</v>
      </c>
      <c r="K1222" s="25" t="str">
        <f>"－"</f>
        <v>－</v>
      </c>
      <c r="L1222" s="2" t="s">
        <v>972</v>
      </c>
      <c r="M1222" s="26" t="n">
        <f>8975</f>
        <v>8975.0</v>
      </c>
      <c r="N1222" s="3" t="s">
        <v>269</v>
      </c>
      <c r="O1222" s="27" t="n">
        <f>1005</f>
        <v>1005.0</v>
      </c>
      <c r="P1222" s="29" t="s">
        <v>2228</v>
      </c>
      <c r="Q1222" s="25"/>
      <c r="R1222" s="29" t="s">
        <v>262</v>
      </c>
      <c r="S1222" s="25" t="n">
        <f>1785478492</f>
        <v>1.785478492E9</v>
      </c>
      <c r="T1222" s="25" t="str">
        <f>"－"</f>
        <v>－</v>
      </c>
      <c r="U1222" s="3" t="s">
        <v>972</v>
      </c>
      <c r="V1222" s="27" t="n">
        <f>9844820000</f>
        <v>9.84482E9</v>
      </c>
      <c r="W1222" s="3" t="s">
        <v>987</v>
      </c>
      <c r="X1222" s="27" t="n">
        <f>313470000</f>
        <v>3.1347E8</v>
      </c>
      <c r="Y1222" s="27" t="n">
        <f>21313</f>
        <v>21313.0</v>
      </c>
      <c r="Z1222" s="25" t="str">
        <f>"－"</f>
        <v>－</v>
      </c>
      <c r="AA1222" s="25" t="n">
        <f>26222</f>
        <v>26222.0</v>
      </c>
      <c r="AB1222" s="2" t="s">
        <v>80</v>
      </c>
      <c r="AC1222" s="26" t="n">
        <f>43033</f>
        <v>43033.0</v>
      </c>
      <c r="AD1222" s="3" t="s">
        <v>806</v>
      </c>
      <c r="AE1222" s="27" t="n">
        <f>10802</f>
        <v>10802.0</v>
      </c>
    </row>
    <row r="1223">
      <c r="A1223" s="20" t="s">
        <v>2191</v>
      </c>
      <c r="B1223" s="21" t="s">
        <v>2192</v>
      </c>
      <c r="C1223" s="22" t="s">
        <v>1768</v>
      </c>
      <c r="D1223" s="23" t="s">
        <v>1769</v>
      </c>
      <c r="E1223" s="24" t="s">
        <v>317</v>
      </c>
      <c r="F1223" s="28" t="n">
        <f>126</f>
        <v>126.0</v>
      </c>
      <c r="G1223" s="25" t="n">
        <f>895821</f>
        <v>895821.0</v>
      </c>
      <c r="H1223" s="25"/>
      <c r="I1223" s="25" t="str">
        <f>"－"</f>
        <v>－</v>
      </c>
      <c r="J1223" s="25" t="n">
        <f>7110</f>
        <v>7110.0</v>
      </c>
      <c r="K1223" s="25" t="str">
        <f>"－"</f>
        <v>－</v>
      </c>
      <c r="L1223" s="2" t="s">
        <v>1082</v>
      </c>
      <c r="M1223" s="26" t="n">
        <f>17706</f>
        <v>17706.0</v>
      </c>
      <c r="N1223" s="3" t="s">
        <v>141</v>
      </c>
      <c r="O1223" s="27" t="n">
        <f>2786</f>
        <v>2786.0</v>
      </c>
      <c r="P1223" s="29" t="s">
        <v>2229</v>
      </c>
      <c r="Q1223" s="25"/>
      <c r="R1223" s="29" t="s">
        <v>262</v>
      </c>
      <c r="S1223" s="25" t="n">
        <f>3393610556</f>
        <v>3.393610556E9</v>
      </c>
      <c r="T1223" s="25" t="str">
        <f>"－"</f>
        <v>－</v>
      </c>
      <c r="U1223" s="3" t="s">
        <v>972</v>
      </c>
      <c r="V1223" s="27" t="n">
        <f>12406810000</f>
        <v>1.240681E10</v>
      </c>
      <c r="W1223" s="3" t="s">
        <v>549</v>
      </c>
      <c r="X1223" s="27" t="n">
        <f>1220200000</f>
        <v>1.2202E9</v>
      </c>
      <c r="Y1223" s="27" t="n">
        <f>31120</f>
        <v>31120.0</v>
      </c>
      <c r="Z1223" s="25" t="str">
        <f>"－"</f>
        <v>－</v>
      </c>
      <c r="AA1223" s="25" t="n">
        <f>55995</f>
        <v>55995.0</v>
      </c>
      <c r="AB1223" s="2" t="s">
        <v>80</v>
      </c>
      <c r="AC1223" s="26" t="n">
        <f>82289</f>
        <v>82289.0</v>
      </c>
      <c r="AD1223" s="3" t="s">
        <v>806</v>
      </c>
      <c r="AE1223" s="27" t="n">
        <f>22509</f>
        <v>22509.0</v>
      </c>
    </row>
    <row r="1224">
      <c r="A1224" s="20" t="s">
        <v>2191</v>
      </c>
      <c r="B1224" s="21" t="s">
        <v>2192</v>
      </c>
      <c r="C1224" s="22" t="s">
        <v>1760</v>
      </c>
      <c r="D1224" s="23" t="s">
        <v>1761</v>
      </c>
      <c r="E1224" s="24" t="s">
        <v>322</v>
      </c>
      <c r="F1224" s="28" t="n">
        <f>121</f>
        <v>121.0</v>
      </c>
      <c r="G1224" s="25" t="n">
        <f>488078</f>
        <v>488078.0</v>
      </c>
      <c r="H1224" s="25"/>
      <c r="I1224" s="25" t="str">
        <f>"－"</f>
        <v>－</v>
      </c>
      <c r="J1224" s="25" t="n">
        <f>4034</f>
        <v>4034.0</v>
      </c>
      <c r="K1224" s="25" t="str">
        <f>"－"</f>
        <v>－</v>
      </c>
      <c r="L1224" s="2" t="s">
        <v>1094</v>
      </c>
      <c r="M1224" s="26" t="n">
        <f>11747</f>
        <v>11747.0</v>
      </c>
      <c r="N1224" s="3" t="s">
        <v>458</v>
      </c>
      <c r="O1224" s="27" t="n">
        <f>538</f>
        <v>538.0</v>
      </c>
      <c r="P1224" s="29" t="s">
        <v>2230</v>
      </c>
      <c r="Q1224" s="25"/>
      <c r="R1224" s="29" t="s">
        <v>262</v>
      </c>
      <c r="S1224" s="25" t="n">
        <f>1561080826</f>
        <v>1.561080826E9</v>
      </c>
      <c r="T1224" s="25" t="str">
        <f>"－"</f>
        <v>－</v>
      </c>
      <c r="U1224" s="3" t="s">
        <v>1094</v>
      </c>
      <c r="V1224" s="27" t="n">
        <f>5547240000</f>
        <v>5.54724E9</v>
      </c>
      <c r="W1224" s="3" t="s">
        <v>458</v>
      </c>
      <c r="X1224" s="27" t="n">
        <f>394380000</f>
        <v>3.9438E8</v>
      </c>
      <c r="Y1224" s="27" t="n">
        <f>12301</f>
        <v>12301.0</v>
      </c>
      <c r="Z1224" s="25" t="str">
        <f>"－"</f>
        <v>－</v>
      </c>
      <c r="AA1224" s="25" t="n">
        <f>38760</f>
        <v>38760.0</v>
      </c>
      <c r="AB1224" s="2" t="s">
        <v>754</v>
      </c>
      <c r="AC1224" s="26" t="n">
        <f>58370</f>
        <v>58370.0</v>
      </c>
      <c r="AD1224" s="3" t="s">
        <v>314</v>
      </c>
      <c r="AE1224" s="27" t="n">
        <f>16125</f>
        <v>16125.0</v>
      </c>
    </row>
    <row r="1225">
      <c r="A1225" s="20" t="s">
        <v>2191</v>
      </c>
      <c r="B1225" s="21" t="s">
        <v>2192</v>
      </c>
      <c r="C1225" s="22" t="s">
        <v>1764</v>
      </c>
      <c r="D1225" s="23" t="s">
        <v>1765</v>
      </c>
      <c r="E1225" s="24" t="s">
        <v>322</v>
      </c>
      <c r="F1225" s="28" t="n">
        <f>121</f>
        <v>121.0</v>
      </c>
      <c r="G1225" s="25" t="n">
        <f>395838</f>
        <v>395838.0</v>
      </c>
      <c r="H1225" s="25"/>
      <c r="I1225" s="25" t="str">
        <f>"－"</f>
        <v>－</v>
      </c>
      <c r="J1225" s="25" t="n">
        <f>3271</f>
        <v>3271.0</v>
      </c>
      <c r="K1225" s="25" t="str">
        <f>"－"</f>
        <v>－</v>
      </c>
      <c r="L1225" s="2" t="s">
        <v>1363</v>
      </c>
      <c r="M1225" s="26" t="n">
        <f>9868</f>
        <v>9868.0</v>
      </c>
      <c r="N1225" s="3" t="s">
        <v>513</v>
      </c>
      <c r="O1225" s="27" t="n">
        <f>724</f>
        <v>724.0</v>
      </c>
      <c r="P1225" s="29" t="s">
        <v>2231</v>
      </c>
      <c r="Q1225" s="25"/>
      <c r="R1225" s="29" t="s">
        <v>262</v>
      </c>
      <c r="S1225" s="25" t="n">
        <f>1075845207</f>
        <v>1.075845207E9</v>
      </c>
      <c r="T1225" s="25" t="str">
        <f>"－"</f>
        <v>－</v>
      </c>
      <c r="U1225" s="3" t="s">
        <v>1153</v>
      </c>
      <c r="V1225" s="27" t="n">
        <f>3724040000</f>
        <v>3.72404E9</v>
      </c>
      <c r="W1225" s="3" t="s">
        <v>981</v>
      </c>
      <c r="X1225" s="27" t="n">
        <f>272490000</f>
        <v>2.7249E8</v>
      </c>
      <c r="Y1225" s="27" t="n">
        <f>11451</f>
        <v>11451.0</v>
      </c>
      <c r="Z1225" s="25" t="str">
        <f>"－"</f>
        <v>－</v>
      </c>
      <c r="AA1225" s="25" t="n">
        <f>30282</f>
        <v>30282.0</v>
      </c>
      <c r="AB1225" s="2" t="s">
        <v>468</v>
      </c>
      <c r="AC1225" s="26" t="n">
        <f>41947</f>
        <v>41947.0</v>
      </c>
      <c r="AD1225" s="3" t="s">
        <v>314</v>
      </c>
      <c r="AE1225" s="27" t="n">
        <f>12949</f>
        <v>12949.0</v>
      </c>
    </row>
    <row r="1226">
      <c r="A1226" s="20" t="s">
        <v>2191</v>
      </c>
      <c r="B1226" s="21" t="s">
        <v>2192</v>
      </c>
      <c r="C1226" s="22" t="s">
        <v>1768</v>
      </c>
      <c r="D1226" s="23" t="s">
        <v>1769</v>
      </c>
      <c r="E1226" s="24" t="s">
        <v>322</v>
      </c>
      <c r="F1226" s="28" t="n">
        <f>121</f>
        <v>121.0</v>
      </c>
      <c r="G1226" s="25" t="n">
        <f>883916</f>
        <v>883916.0</v>
      </c>
      <c r="H1226" s="25"/>
      <c r="I1226" s="25" t="str">
        <f>"－"</f>
        <v>－</v>
      </c>
      <c r="J1226" s="25" t="n">
        <f>7305</f>
        <v>7305.0</v>
      </c>
      <c r="K1226" s="25" t="str">
        <f>"－"</f>
        <v>－</v>
      </c>
      <c r="L1226" s="2" t="s">
        <v>1094</v>
      </c>
      <c r="M1226" s="26" t="n">
        <f>16907</f>
        <v>16907.0</v>
      </c>
      <c r="N1226" s="3" t="s">
        <v>458</v>
      </c>
      <c r="O1226" s="27" t="n">
        <f>1875</f>
        <v>1875.0</v>
      </c>
      <c r="P1226" s="29" t="s">
        <v>2232</v>
      </c>
      <c r="Q1226" s="25"/>
      <c r="R1226" s="29" t="s">
        <v>262</v>
      </c>
      <c r="S1226" s="25" t="n">
        <f>2636926033</f>
        <v>2.636926033E9</v>
      </c>
      <c r="T1226" s="25" t="str">
        <f>"－"</f>
        <v>－</v>
      </c>
      <c r="U1226" s="3" t="s">
        <v>1094</v>
      </c>
      <c r="V1226" s="27" t="n">
        <f>6541560000</f>
        <v>6.54156E9</v>
      </c>
      <c r="W1226" s="3" t="s">
        <v>843</v>
      </c>
      <c r="X1226" s="27" t="n">
        <f>949280000</f>
        <v>9.4928E8</v>
      </c>
      <c r="Y1226" s="27" t="n">
        <f>23752</f>
        <v>23752.0</v>
      </c>
      <c r="Z1226" s="25" t="str">
        <f>"－"</f>
        <v>－</v>
      </c>
      <c r="AA1226" s="25" t="n">
        <f>69042</f>
        <v>69042.0</v>
      </c>
      <c r="AB1226" s="2" t="s">
        <v>468</v>
      </c>
      <c r="AC1226" s="26" t="n">
        <f>97996</f>
        <v>97996.0</v>
      </c>
      <c r="AD1226" s="3" t="s">
        <v>314</v>
      </c>
      <c r="AE1226" s="27" t="n">
        <f>29074</f>
        <v>29074.0</v>
      </c>
    </row>
    <row r="1227">
      <c r="A1227" s="20" t="s">
        <v>2191</v>
      </c>
      <c r="B1227" s="21" t="s">
        <v>2192</v>
      </c>
      <c r="C1227" s="22" t="s">
        <v>1760</v>
      </c>
      <c r="D1227" s="23" t="s">
        <v>1761</v>
      </c>
      <c r="E1227" s="24" t="s">
        <v>325</v>
      </c>
      <c r="F1227" s="28" t="n">
        <f>126</f>
        <v>126.0</v>
      </c>
      <c r="G1227" s="25" t="n">
        <f>592262</f>
        <v>592262.0</v>
      </c>
      <c r="H1227" s="25"/>
      <c r="I1227" s="25" t="str">
        <f>"－"</f>
        <v>－</v>
      </c>
      <c r="J1227" s="25" t="n">
        <f>4700</f>
        <v>4700.0</v>
      </c>
      <c r="K1227" s="25" t="str">
        <f>"－"</f>
        <v>－</v>
      </c>
      <c r="L1227" s="2" t="s">
        <v>461</v>
      </c>
      <c r="M1227" s="26" t="n">
        <f>13037</f>
        <v>13037.0</v>
      </c>
      <c r="N1227" s="3" t="s">
        <v>129</v>
      </c>
      <c r="O1227" s="27" t="n">
        <f>1307</f>
        <v>1307.0</v>
      </c>
      <c r="P1227" s="29" t="s">
        <v>2233</v>
      </c>
      <c r="Q1227" s="25"/>
      <c r="R1227" s="29" t="s">
        <v>262</v>
      </c>
      <c r="S1227" s="25" t="n">
        <f>1227852381</f>
        <v>1.227852381E9</v>
      </c>
      <c r="T1227" s="25" t="str">
        <f>"－"</f>
        <v>－</v>
      </c>
      <c r="U1227" s="3" t="s">
        <v>320</v>
      </c>
      <c r="V1227" s="27" t="n">
        <f>3367940000</f>
        <v>3.36794E9</v>
      </c>
      <c r="W1227" s="3" t="s">
        <v>1067</v>
      </c>
      <c r="X1227" s="27" t="n">
        <f>346560000</f>
        <v>3.4656E8</v>
      </c>
      <c r="Y1227" s="27" t="n">
        <f>1</f>
        <v>1.0</v>
      </c>
      <c r="Z1227" s="25" t="str">
        <f>"－"</f>
        <v>－</v>
      </c>
      <c r="AA1227" s="25" t="n">
        <f>24604</f>
        <v>24604.0</v>
      </c>
      <c r="AB1227" s="2" t="s">
        <v>221</v>
      </c>
      <c r="AC1227" s="26" t="n">
        <f>75718</f>
        <v>75718.0</v>
      </c>
      <c r="AD1227" s="3" t="s">
        <v>562</v>
      </c>
      <c r="AE1227" s="27" t="n">
        <f>10242</f>
        <v>10242.0</v>
      </c>
    </row>
    <row r="1228">
      <c r="A1228" s="20" t="s">
        <v>2191</v>
      </c>
      <c r="B1228" s="21" t="s">
        <v>2192</v>
      </c>
      <c r="C1228" s="22" t="s">
        <v>1764</v>
      </c>
      <c r="D1228" s="23" t="s">
        <v>1765</v>
      </c>
      <c r="E1228" s="24" t="s">
        <v>325</v>
      </c>
      <c r="F1228" s="28" t="n">
        <f>126</f>
        <v>126.0</v>
      </c>
      <c r="G1228" s="25" t="n">
        <f>499096</f>
        <v>499096.0</v>
      </c>
      <c r="H1228" s="25"/>
      <c r="I1228" s="25" t="str">
        <f>"－"</f>
        <v>－</v>
      </c>
      <c r="J1228" s="25" t="n">
        <f>3961</f>
        <v>3961.0</v>
      </c>
      <c r="K1228" s="25" t="str">
        <f>"－"</f>
        <v>－</v>
      </c>
      <c r="L1228" s="2" t="s">
        <v>994</v>
      </c>
      <c r="M1228" s="26" t="n">
        <f>11325</f>
        <v>11325.0</v>
      </c>
      <c r="N1228" s="3" t="s">
        <v>49</v>
      </c>
      <c r="O1228" s="27" t="n">
        <f>952</f>
        <v>952.0</v>
      </c>
      <c r="P1228" s="29" t="s">
        <v>2234</v>
      </c>
      <c r="Q1228" s="25"/>
      <c r="R1228" s="29" t="s">
        <v>262</v>
      </c>
      <c r="S1228" s="25" t="n">
        <f>2236543968</f>
        <v>2.236543968E9</v>
      </c>
      <c r="T1228" s="25" t="str">
        <f>"－"</f>
        <v>－</v>
      </c>
      <c r="U1228" s="3" t="s">
        <v>1415</v>
      </c>
      <c r="V1228" s="27" t="n">
        <f>8013270000</f>
        <v>8.01327E9</v>
      </c>
      <c r="W1228" s="3" t="s">
        <v>277</v>
      </c>
      <c r="X1228" s="27" t="n">
        <f>201320000</f>
        <v>2.0132E8</v>
      </c>
      <c r="Y1228" s="27" t="n">
        <f>52194</f>
        <v>52194.0</v>
      </c>
      <c r="Z1228" s="25" t="str">
        <f>"－"</f>
        <v>－</v>
      </c>
      <c r="AA1228" s="25" t="n">
        <f>23456</f>
        <v>23456.0</v>
      </c>
      <c r="AB1228" s="2" t="s">
        <v>1116</v>
      </c>
      <c r="AC1228" s="26" t="n">
        <f>49501</f>
        <v>49501.0</v>
      </c>
      <c r="AD1228" s="3" t="s">
        <v>562</v>
      </c>
      <c r="AE1228" s="27" t="n">
        <f>10633</f>
        <v>10633.0</v>
      </c>
    </row>
    <row r="1229">
      <c r="A1229" s="20" t="s">
        <v>2191</v>
      </c>
      <c r="B1229" s="21" t="s">
        <v>2192</v>
      </c>
      <c r="C1229" s="22" t="s">
        <v>1768</v>
      </c>
      <c r="D1229" s="23" t="s">
        <v>1769</v>
      </c>
      <c r="E1229" s="24" t="s">
        <v>325</v>
      </c>
      <c r="F1229" s="28" t="n">
        <f>126</f>
        <v>126.0</v>
      </c>
      <c r="G1229" s="25" t="n">
        <f>1091358</f>
        <v>1091358.0</v>
      </c>
      <c r="H1229" s="25"/>
      <c r="I1229" s="25" t="str">
        <f>"－"</f>
        <v>－</v>
      </c>
      <c r="J1229" s="25" t="n">
        <f>8662</f>
        <v>8662.0</v>
      </c>
      <c r="K1229" s="25" t="str">
        <f>"－"</f>
        <v>－</v>
      </c>
      <c r="L1229" s="2" t="s">
        <v>461</v>
      </c>
      <c r="M1229" s="26" t="n">
        <f>23879</f>
        <v>23879.0</v>
      </c>
      <c r="N1229" s="3" t="s">
        <v>129</v>
      </c>
      <c r="O1229" s="27" t="n">
        <f>3111</f>
        <v>3111.0</v>
      </c>
      <c r="P1229" s="29" t="s">
        <v>2235</v>
      </c>
      <c r="Q1229" s="25"/>
      <c r="R1229" s="29" t="s">
        <v>262</v>
      </c>
      <c r="S1229" s="25" t="n">
        <f>3464396349</f>
        <v>3.464396349E9</v>
      </c>
      <c r="T1229" s="25" t="str">
        <f>"－"</f>
        <v>－</v>
      </c>
      <c r="U1229" s="3" t="s">
        <v>1415</v>
      </c>
      <c r="V1229" s="27" t="n">
        <f>9306300000</f>
        <v>9.3063E9</v>
      </c>
      <c r="W1229" s="3" t="s">
        <v>277</v>
      </c>
      <c r="X1229" s="27" t="n">
        <f>859830000</f>
        <v>8.5983E8</v>
      </c>
      <c r="Y1229" s="27" t="n">
        <f>52195</f>
        <v>52195.0</v>
      </c>
      <c r="Z1229" s="25" t="str">
        <f>"－"</f>
        <v>－</v>
      </c>
      <c r="AA1229" s="25" t="n">
        <f>48060</f>
        <v>48060.0</v>
      </c>
      <c r="AB1229" s="2" t="s">
        <v>1160</v>
      </c>
      <c r="AC1229" s="26" t="n">
        <f>120738</f>
        <v>120738.0</v>
      </c>
      <c r="AD1229" s="3" t="s">
        <v>562</v>
      </c>
      <c r="AE1229" s="27" t="n">
        <f>20875</f>
        <v>20875.0</v>
      </c>
    </row>
    <row r="1230">
      <c r="A1230" s="20" t="s">
        <v>2191</v>
      </c>
      <c r="B1230" s="21" t="s">
        <v>2192</v>
      </c>
      <c r="C1230" s="22" t="s">
        <v>1760</v>
      </c>
      <c r="D1230" s="23" t="s">
        <v>1761</v>
      </c>
      <c r="E1230" s="24" t="s">
        <v>327</v>
      </c>
      <c r="F1230" s="28" t="n">
        <f>121</f>
        <v>121.0</v>
      </c>
      <c r="G1230" s="25" t="n">
        <f>554372</f>
        <v>554372.0</v>
      </c>
      <c r="H1230" s="25"/>
      <c r="I1230" s="25" t="str">
        <f>"－"</f>
        <v>－</v>
      </c>
      <c r="J1230" s="25" t="n">
        <f>4582</f>
        <v>4582.0</v>
      </c>
      <c r="K1230" s="25" t="str">
        <f>"－"</f>
        <v>－</v>
      </c>
      <c r="L1230" s="2" t="s">
        <v>1201</v>
      </c>
      <c r="M1230" s="26" t="n">
        <f>12930</f>
        <v>12930.0</v>
      </c>
      <c r="N1230" s="3" t="s">
        <v>56</v>
      </c>
      <c r="O1230" s="27" t="n">
        <f>1141</f>
        <v>1141.0</v>
      </c>
      <c r="P1230" s="29" t="s">
        <v>2236</v>
      </c>
      <c r="Q1230" s="25"/>
      <c r="R1230" s="29" t="s">
        <v>262</v>
      </c>
      <c r="S1230" s="25" t="n">
        <f>1712262975</f>
        <v>1.712262975E9</v>
      </c>
      <c r="T1230" s="25" t="str">
        <f>"－"</f>
        <v>－</v>
      </c>
      <c r="U1230" s="3" t="s">
        <v>855</v>
      </c>
      <c r="V1230" s="27" t="n">
        <f>10097470000</f>
        <v>1.009747E10</v>
      </c>
      <c r="W1230" s="3" t="s">
        <v>56</v>
      </c>
      <c r="X1230" s="27" t="n">
        <f>440990000</f>
        <v>4.4099E8</v>
      </c>
      <c r="Y1230" s="27" t="n">
        <f>16238</f>
        <v>16238.0</v>
      </c>
      <c r="Z1230" s="25" t="str">
        <f>"－"</f>
        <v>－</v>
      </c>
      <c r="AA1230" s="25" t="n">
        <f>31798</f>
        <v>31798.0</v>
      </c>
      <c r="AB1230" s="2" t="s">
        <v>462</v>
      </c>
      <c r="AC1230" s="26" t="n">
        <f>52827</f>
        <v>52827.0</v>
      </c>
      <c r="AD1230" s="3" t="s">
        <v>312</v>
      </c>
      <c r="AE1230" s="27" t="n">
        <f>8582</f>
        <v>8582.0</v>
      </c>
    </row>
    <row r="1231">
      <c r="A1231" s="20" t="s">
        <v>2191</v>
      </c>
      <c r="B1231" s="21" t="s">
        <v>2192</v>
      </c>
      <c r="C1231" s="22" t="s">
        <v>1764</v>
      </c>
      <c r="D1231" s="23" t="s">
        <v>1765</v>
      </c>
      <c r="E1231" s="24" t="s">
        <v>327</v>
      </c>
      <c r="F1231" s="28" t="n">
        <f>121</f>
        <v>121.0</v>
      </c>
      <c r="G1231" s="25" t="n">
        <f>426558</f>
        <v>426558.0</v>
      </c>
      <c r="H1231" s="25"/>
      <c r="I1231" s="25" t="str">
        <f>"－"</f>
        <v>－</v>
      </c>
      <c r="J1231" s="25" t="n">
        <f>3525</f>
        <v>3525.0</v>
      </c>
      <c r="K1231" s="25" t="str">
        <f>"－"</f>
        <v>－</v>
      </c>
      <c r="L1231" s="2" t="s">
        <v>85</v>
      </c>
      <c r="M1231" s="26" t="n">
        <f>10696</f>
        <v>10696.0</v>
      </c>
      <c r="N1231" s="3" t="s">
        <v>56</v>
      </c>
      <c r="O1231" s="27" t="n">
        <f>656</f>
        <v>656.0</v>
      </c>
      <c r="P1231" s="29" t="s">
        <v>2237</v>
      </c>
      <c r="Q1231" s="25"/>
      <c r="R1231" s="29" t="s">
        <v>262</v>
      </c>
      <c r="S1231" s="25" t="n">
        <f>1295925950</f>
        <v>1.29592595E9</v>
      </c>
      <c r="T1231" s="25" t="str">
        <f>"－"</f>
        <v>－</v>
      </c>
      <c r="U1231" s="3" t="s">
        <v>698</v>
      </c>
      <c r="V1231" s="27" t="n">
        <f>3140040000</f>
        <v>3.14004E9</v>
      </c>
      <c r="W1231" s="3" t="s">
        <v>328</v>
      </c>
      <c r="X1231" s="27" t="n">
        <f>269370000</f>
        <v>2.6937E8</v>
      </c>
      <c r="Y1231" s="27" t="n">
        <f>10362</f>
        <v>10362.0</v>
      </c>
      <c r="Z1231" s="25" t="str">
        <f>"－"</f>
        <v>－</v>
      </c>
      <c r="AA1231" s="25" t="n">
        <f>26663</f>
        <v>26663.0</v>
      </c>
      <c r="AB1231" s="2" t="s">
        <v>249</v>
      </c>
      <c r="AC1231" s="26" t="n">
        <f>52037</f>
        <v>52037.0</v>
      </c>
      <c r="AD1231" s="3" t="s">
        <v>312</v>
      </c>
      <c r="AE1231" s="27" t="n">
        <f>9284</f>
        <v>9284.0</v>
      </c>
    </row>
    <row r="1232">
      <c r="A1232" s="20" t="s">
        <v>2191</v>
      </c>
      <c r="B1232" s="21" t="s">
        <v>2192</v>
      </c>
      <c r="C1232" s="22" t="s">
        <v>1768</v>
      </c>
      <c r="D1232" s="23" t="s">
        <v>1769</v>
      </c>
      <c r="E1232" s="24" t="s">
        <v>327</v>
      </c>
      <c r="F1232" s="28" t="n">
        <f>121</f>
        <v>121.0</v>
      </c>
      <c r="G1232" s="25" t="n">
        <f>980930</f>
        <v>980930.0</v>
      </c>
      <c r="H1232" s="25"/>
      <c r="I1232" s="25" t="str">
        <f>"－"</f>
        <v>－</v>
      </c>
      <c r="J1232" s="25" t="n">
        <f>8107</f>
        <v>8107.0</v>
      </c>
      <c r="K1232" s="25" t="str">
        <f>"－"</f>
        <v>－</v>
      </c>
      <c r="L1232" s="2" t="s">
        <v>855</v>
      </c>
      <c r="M1232" s="26" t="n">
        <f>19977</f>
        <v>19977.0</v>
      </c>
      <c r="N1232" s="3" t="s">
        <v>56</v>
      </c>
      <c r="O1232" s="27" t="n">
        <f>1797</f>
        <v>1797.0</v>
      </c>
      <c r="P1232" s="29" t="s">
        <v>2238</v>
      </c>
      <c r="Q1232" s="25"/>
      <c r="R1232" s="29" t="s">
        <v>262</v>
      </c>
      <c r="S1232" s="25" t="n">
        <f>3008188926</f>
        <v>3.008188926E9</v>
      </c>
      <c r="T1232" s="25" t="str">
        <f>"－"</f>
        <v>－</v>
      </c>
      <c r="U1232" s="3" t="s">
        <v>855</v>
      </c>
      <c r="V1232" s="27" t="n">
        <f>12481280000</f>
        <v>1.248128E10</v>
      </c>
      <c r="W1232" s="3" t="s">
        <v>56</v>
      </c>
      <c r="X1232" s="27" t="n">
        <f>793460000</f>
        <v>7.9346E8</v>
      </c>
      <c r="Y1232" s="27" t="n">
        <f>26600</f>
        <v>26600.0</v>
      </c>
      <c r="Z1232" s="25" t="str">
        <f>"－"</f>
        <v>－</v>
      </c>
      <c r="AA1232" s="25" t="n">
        <f>58461</f>
        <v>58461.0</v>
      </c>
      <c r="AB1232" s="2" t="s">
        <v>462</v>
      </c>
      <c r="AC1232" s="26" t="n">
        <f>101769</f>
        <v>101769.0</v>
      </c>
      <c r="AD1232" s="3" t="s">
        <v>312</v>
      </c>
      <c r="AE1232" s="27" t="n">
        <f>17866</f>
        <v>17866.0</v>
      </c>
    </row>
    <row r="1233">
      <c r="A1233" s="20" t="s">
        <v>2191</v>
      </c>
      <c r="B1233" s="21" t="s">
        <v>2192</v>
      </c>
      <c r="C1233" s="22" t="s">
        <v>1760</v>
      </c>
      <c r="D1233" s="23" t="s">
        <v>1761</v>
      </c>
      <c r="E1233" s="24" t="s">
        <v>330</v>
      </c>
      <c r="F1233" s="28" t="n">
        <f>124</f>
        <v>124.0</v>
      </c>
      <c r="G1233" s="25" t="n">
        <f>563702</f>
        <v>563702.0</v>
      </c>
      <c r="H1233" s="25"/>
      <c r="I1233" s="25" t="str">
        <f>"－"</f>
        <v>－</v>
      </c>
      <c r="J1233" s="25" t="n">
        <f>4546</f>
        <v>4546.0</v>
      </c>
      <c r="K1233" s="25" t="str">
        <f>"－"</f>
        <v>－</v>
      </c>
      <c r="L1233" s="2" t="s">
        <v>1011</v>
      </c>
      <c r="M1233" s="26" t="n">
        <f>12314</f>
        <v>12314.0</v>
      </c>
      <c r="N1233" s="3" t="s">
        <v>50</v>
      </c>
      <c r="O1233" s="27" t="n">
        <f>1790</f>
        <v>1790.0</v>
      </c>
      <c r="P1233" s="29" t="s">
        <v>2239</v>
      </c>
      <c r="Q1233" s="25"/>
      <c r="R1233" s="29" t="s">
        <v>262</v>
      </c>
      <c r="S1233" s="25" t="n">
        <f>1077598790</f>
        <v>1.07759879E9</v>
      </c>
      <c r="T1233" s="25" t="str">
        <f>"－"</f>
        <v>－</v>
      </c>
      <c r="U1233" s="3" t="s">
        <v>1502</v>
      </c>
      <c r="V1233" s="27" t="n">
        <f>3347730000</f>
        <v>3.34773E9</v>
      </c>
      <c r="W1233" s="3" t="s">
        <v>1828</v>
      </c>
      <c r="X1233" s="27" t="n">
        <f>192210000</f>
        <v>1.9221E8</v>
      </c>
      <c r="Y1233" s="27" t="n">
        <f>3899</f>
        <v>3899.0</v>
      </c>
      <c r="Z1233" s="25" t="str">
        <f>"－"</f>
        <v>－</v>
      </c>
      <c r="AA1233" s="25" t="n">
        <f>26741</f>
        <v>26741.0</v>
      </c>
      <c r="AB1233" s="2" t="s">
        <v>1084</v>
      </c>
      <c r="AC1233" s="26" t="n">
        <f>71168</f>
        <v>71168.0</v>
      </c>
      <c r="AD1233" s="3" t="s">
        <v>806</v>
      </c>
      <c r="AE1233" s="27" t="n">
        <f>7047</f>
        <v>7047.0</v>
      </c>
    </row>
    <row r="1234">
      <c r="A1234" s="20" t="s">
        <v>2191</v>
      </c>
      <c r="B1234" s="21" t="s">
        <v>2192</v>
      </c>
      <c r="C1234" s="22" t="s">
        <v>1764</v>
      </c>
      <c r="D1234" s="23" t="s">
        <v>1765</v>
      </c>
      <c r="E1234" s="24" t="s">
        <v>330</v>
      </c>
      <c r="F1234" s="28" t="n">
        <f>124</f>
        <v>124.0</v>
      </c>
      <c r="G1234" s="25" t="n">
        <f>457725</f>
        <v>457725.0</v>
      </c>
      <c r="H1234" s="25"/>
      <c r="I1234" s="25" t="str">
        <f>"－"</f>
        <v>－</v>
      </c>
      <c r="J1234" s="25" t="n">
        <f>3691</f>
        <v>3691.0</v>
      </c>
      <c r="K1234" s="25" t="str">
        <f>"－"</f>
        <v>－</v>
      </c>
      <c r="L1234" s="2" t="s">
        <v>923</v>
      </c>
      <c r="M1234" s="26" t="n">
        <f>10780</f>
        <v>10780.0</v>
      </c>
      <c r="N1234" s="3" t="s">
        <v>95</v>
      </c>
      <c r="O1234" s="27" t="n">
        <f>715</f>
        <v>715.0</v>
      </c>
      <c r="P1234" s="29" t="s">
        <v>2240</v>
      </c>
      <c r="Q1234" s="25"/>
      <c r="R1234" s="29" t="s">
        <v>262</v>
      </c>
      <c r="S1234" s="25" t="n">
        <f>1632919032</f>
        <v>1.632919032E9</v>
      </c>
      <c r="T1234" s="25" t="str">
        <f>"－"</f>
        <v>－</v>
      </c>
      <c r="U1234" s="3" t="s">
        <v>923</v>
      </c>
      <c r="V1234" s="27" t="n">
        <f>6239810000</f>
        <v>6.23981E9</v>
      </c>
      <c r="W1234" s="3" t="s">
        <v>95</v>
      </c>
      <c r="X1234" s="27" t="n">
        <f>292500000</f>
        <v>2.925E8</v>
      </c>
      <c r="Y1234" s="27" t="n">
        <f>44046</f>
        <v>44046.0</v>
      </c>
      <c r="Z1234" s="25" t="str">
        <f>"－"</f>
        <v>－</v>
      </c>
      <c r="AA1234" s="25" t="n">
        <f>20161</f>
        <v>20161.0</v>
      </c>
      <c r="AB1234" s="2" t="s">
        <v>515</v>
      </c>
      <c r="AC1234" s="26" t="n">
        <f>44910</f>
        <v>44910.0</v>
      </c>
      <c r="AD1234" s="3" t="s">
        <v>806</v>
      </c>
      <c r="AE1234" s="27" t="n">
        <f>7724</f>
        <v>7724.0</v>
      </c>
    </row>
    <row r="1235">
      <c r="A1235" s="20" t="s">
        <v>2191</v>
      </c>
      <c r="B1235" s="21" t="s">
        <v>2192</v>
      </c>
      <c r="C1235" s="22" t="s">
        <v>1768</v>
      </c>
      <c r="D1235" s="23" t="s">
        <v>1769</v>
      </c>
      <c r="E1235" s="24" t="s">
        <v>330</v>
      </c>
      <c r="F1235" s="28" t="n">
        <f>124</f>
        <v>124.0</v>
      </c>
      <c r="G1235" s="25" t="n">
        <f>1021427</f>
        <v>1021427.0</v>
      </c>
      <c r="H1235" s="25"/>
      <c r="I1235" s="25" t="str">
        <f>"－"</f>
        <v>－</v>
      </c>
      <c r="J1235" s="25" t="n">
        <f>8237</f>
        <v>8237.0</v>
      </c>
      <c r="K1235" s="25" t="str">
        <f>"－"</f>
        <v>－</v>
      </c>
      <c r="L1235" s="2" t="s">
        <v>923</v>
      </c>
      <c r="M1235" s="26" t="n">
        <f>20544</f>
        <v>20544.0</v>
      </c>
      <c r="N1235" s="3" t="s">
        <v>806</v>
      </c>
      <c r="O1235" s="27" t="n">
        <f>3206</f>
        <v>3206.0</v>
      </c>
      <c r="P1235" s="29" t="s">
        <v>2241</v>
      </c>
      <c r="Q1235" s="25"/>
      <c r="R1235" s="29" t="s">
        <v>262</v>
      </c>
      <c r="S1235" s="25" t="n">
        <f>2710517823</f>
        <v>2.710517823E9</v>
      </c>
      <c r="T1235" s="25" t="str">
        <f>"－"</f>
        <v>－</v>
      </c>
      <c r="U1235" s="3" t="s">
        <v>923</v>
      </c>
      <c r="V1235" s="27" t="n">
        <f>8992790000</f>
        <v>8.99279E9</v>
      </c>
      <c r="W1235" s="3" t="s">
        <v>128</v>
      </c>
      <c r="X1235" s="27" t="n">
        <f>754050000</f>
        <v>7.5405E8</v>
      </c>
      <c r="Y1235" s="27" t="n">
        <f>47945</f>
        <v>47945.0</v>
      </c>
      <c r="Z1235" s="25" t="str">
        <f>"－"</f>
        <v>－</v>
      </c>
      <c r="AA1235" s="25" t="n">
        <f>46902</f>
        <v>46902.0</v>
      </c>
      <c r="AB1235" s="2" t="s">
        <v>1087</v>
      </c>
      <c r="AC1235" s="26" t="n">
        <f>113372</f>
        <v>113372.0</v>
      </c>
      <c r="AD1235" s="3" t="s">
        <v>806</v>
      </c>
      <c r="AE1235" s="27" t="n">
        <f>14771</f>
        <v>14771.0</v>
      </c>
    </row>
    <row r="1236">
      <c r="A1236" s="20" t="s">
        <v>2191</v>
      </c>
      <c r="B1236" s="21" t="s">
        <v>2192</v>
      </c>
      <c r="C1236" s="22" t="s">
        <v>1760</v>
      </c>
      <c r="D1236" s="23" t="s">
        <v>1761</v>
      </c>
      <c r="E1236" s="24" t="s">
        <v>336</v>
      </c>
      <c r="F1236" s="28" t="n">
        <f>122</f>
        <v>122.0</v>
      </c>
      <c r="G1236" s="25" t="n">
        <f>561171</f>
        <v>561171.0</v>
      </c>
      <c r="H1236" s="25"/>
      <c r="I1236" s="25" t="str">
        <f>"－"</f>
        <v>－</v>
      </c>
      <c r="J1236" s="25" t="n">
        <f>4600</f>
        <v>4600.0</v>
      </c>
      <c r="K1236" s="25" t="str">
        <f>"－"</f>
        <v>－</v>
      </c>
      <c r="L1236" s="2" t="s">
        <v>343</v>
      </c>
      <c r="M1236" s="26" t="n">
        <f>10893</f>
        <v>10893.0</v>
      </c>
      <c r="N1236" s="3" t="s">
        <v>147</v>
      </c>
      <c r="O1236" s="27" t="n">
        <f>1244</f>
        <v>1244.0</v>
      </c>
      <c r="P1236" s="29" t="s">
        <v>2242</v>
      </c>
      <c r="Q1236" s="25"/>
      <c r="R1236" s="29" t="s">
        <v>262</v>
      </c>
      <c r="S1236" s="25" t="n">
        <f>1193084098</f>
        <v>1.193084098E9</v>
      </c>
      <c r="T1236" s="25" t="str">
        <f>"－"</f>
        <v>－</v>
      </c>
      <c r="U1236" s="3" t="s">
        <v>343</v>
      </c>
      <c r="V1236" s="27" t="n">
        <f>5295110000</f>
        <v>5.29511E9</v>
      </c>
      <c r="W1236" s="3" t="s">
        <v>147</v>
      </c>
      <c r="X1236" s="27" t="n">
        <f>240150000</f>
        <v>2.4015E8</v>
      </c>
      <c r="Y1236" s="27" t="n">
        <f>14378</f>
        <v>14378.0</v>
      </c>
      <c r="Z1236" s="25" t="str">
        <f>"－"</f>
        <v>－</v>
      </c>
      <c r="AA1236" s="25" t="n">
        <f>56171</f>
        <v>56171.0</v>
      </c>
      <c r="AB1236" s="2" t="s">
        <v>249</v>
      </c>
      <c r="AC1236" s="26" t="n">
        <f>67176</f>
        <v>67176.0</v>
      </c>
      <c r="AD1236" s="3" t="s">
        <v>209</v>
      </c>
      <c r="AE1236" s="27" t="n">
        <f>13118</f>
        <v>13118.0</v>
      </c>
    </row>
    <row r="1237">
      <c r="A1237" s="20" t="s">
        <v>2191</v>
      </c>
      <c r="B1237" s="21" t="s">
        <v>2192</v>
      </c>
      <c r="C1237" s="22" t="s">
        <v>1764</v>
      </c>
      <c r="D1237" s="23" t="s">
        <v>1765</v>
      </c>
      <c r="E1237" s="24" t="s">
        <v>336</v>
      </c>
      <c r="F1237" s="28" t="n">
        <f>122</f>
        <v>122.0</v>
      </c>
      <c r="G1237" s="25" t="n">
        <f>334977</f>
        <v>334977.0</v>
      </c>
      <c r="H1237" s="25"/>
      <c r="I1237" s="25" t="str">
        <f>"－"</f>
        <v>－</v>
      </c>
      <c r="J1237" s="25" t="n">
        <f>2746</f>
        <v>2746.0</v>
      </c>
      <c r="K1237" s="25" t="str">
        <f>"－"</f>
        <v>－</v>
      </c>
      <c r="L1237" s="2" t="s">
        <v>236</v>
      </c>
      <c r="M1237" s="26" t="n">
        <f>6583</f>
        <v>6583.0</v>
      </c>
      <c r="N1237" s="3" t="s">
        <v>180</v>
      </c>
      <c r="O1237" s="27" t="n">
        <f>1092</f>
        <v>1092.0</v>
      </c>
      <c r="P1237" s="29" t="s">
        <v>2243</v>
      </c>
      <c r="Q1237" s="25"/>
      <c r="R1237" s="29" t="s">
        <v>262</v>
      </c>
      <c r="S1237" s="25" t="n">
        <f>896533279</f>
        <v>8.96533279E8</v>
      </c>
      <c r="T1237" s="25" t="str">
        <f>"－"</f>
        <v>－</v>
      </c>
      <c r="U1237" s="3" t="s">
        <v>249</v>
      </c>
      <c r="V1237" s="27" t="n">
        <f>3714090000</f>
        <v>3.71409E9</v>
      </c>
      <c r="W1237" s="3" t="s">
        <v>180</v>
      </c>
      <c r="X1237" s="27" t="n">
        <f>220310000</f>
        <v>2.2031E8</v>
      </c>
      <c r="Y1237" s="27" t="n">
        <f>32838</f>
        <v>32838.0</v>
      </c>
      <c r="Z1237" s="25" t="str">
        <f>"－"</f>
        <v>－</v>
      </c>
      <c r="AA1237" s="25" t="n">
        <f>27767</f>
        <v>27767.0</v>
      </c>
      <c r="AB1237" s="2" t="s">
        <v>552</v>
      </c>
      <c r="AC1237" s="26" t="n">
        <f>39644</f>
        <v>39644.0</v>
      </c>
      <c r="AD1237" s="3" t="s">
        <v>963</v>
      </c>
      <c r="AE1237" s="27" t="n">
        <f>10353</f>
        <v>10353.0</v>
      </c>
    </row>
    <row r="1238">
      <c r="A1238" s="20" t="s">
        <v>2191</v>
      </c>
      <c r="B1238" s="21" t="s">
        <v>2192</v>
      </c>
      <c r="C1238" s="22" t="s">
        <v>1768</v>
      </c>
      <c r="D1238" s="23" t="s">
        <v>1769</v>
      </c>
      <c r="E1238" s="24" t="s">
        <v>336</v>
      </c>
      <c r="F1238" s="28" t="n">
        <f>122</f>
        <v>122.0</v>
      </c>
      <c r="G1238" s="25" t="n">
        <f>896148</f>
        <v>896148.0</v>
      </c>
      <c r="H1238" s="25"/>
      <c r="I1238" s="25" t="str">
        <f>"－"</f>
        <v>－</v>
      </c>
      <c r="J1238" s="25" t="n">
        <f>7345</f>
        <v>7345.0</v>
      </c>
      <c r="K1238" s="25" t="str">
        <f>"－"</f>
        <v>－</v>
      </c>
      <c r="L1238" s="2" t="s">
        <v>343</v>
      </c>
      <c r="M1238" s="26" t="n">
        <f>13807</f>
        <v>13807.0</v>
      </c>
      <c r="N1238" s="3" t="s">
        <v>147</v>
      </c>
      <c r="O1238" s="27" t="n">
        <f>2542</f>
        <v>2542.0</v>
      </c>
      <c r="P1238" s="29" t="s">
        <v>2244</v>
      </c>
      <c r="Q1238" s="25"/>
      <c r="R1238" s="29" t="s">
        <v>262</v>
      </c>
      <c r="S1238" s="25" t="n">
        <f>2089617377</f>
        <v>2.089617377E9</v>
      </c>
      <c r="T1238" s="25" t="str">
        <f>"－"</f>
        <v>－</v>
      </c>
      <c r="U1238" s="3" t="s">
        <v>343</v>
      </c>
      <c r="V1238" s="27" t="n">
        <f>5832430000</f>
        <v>5.83243E9</v>
      </c>
      <c r="W1238" s="3" t="s">
        <v>147</v>
      </c>
      <c r="X1238" s="27" t="n">
        <f>609470000</f>
        <v>6.0947E8</v>
      </c>
      <c r="Y1238" s="27" t="n">
        <f>47216</f>
        <v>47216.0</v>
      </c>
      <c r="Z1238" s="25" t="str">
        <f>"－"</f>
        <v>－</v>
      </c>
      <c r="AA1238" s="25" t="n">
        <f>83938</f>
        <v>83938.0</v>
      </c>
      <c r="AB1238" s="2" t="s">
        <v>552</v>
      </c>
      <c r="AC1238" s="26" t="n">
        <f>96823</f>
        <v>96823.0</v>
      </c>
      <c r="AD1238" s="3" t="s">
        <v>209</v>
      </c>
      <c r="AE1238" s="27" t="n">
        <f>27772</f>
        <v>27772.0</v>
      </c>
    </row>
    <row r="1239">
      <c r="A1239" s="20" t="s">
        <v>2191</v>
      </c>
      <c r="B1239" s="21" t="s">
        <v>2192</v>
      </c>
      <c r="C1239" s="22" t="s">
        <v>1760</v>
      </c>
      <c r="D1239" s="23" t="s">
        <v>1761</v>
      </c>
      <c r="E1239" s="24" t="s">
        <v>338</v>
      </c>
      <c r="F1239" s="28" t="n">
        <f>125</f>
        <v>125.0</v>
      </c>
      <c r="G1239" s="25" t="n">
        <f>570423</f>
        <v>570423.0</v>
      </c>
      <c r="H1239" s="25"/>
      <c r="I1239" s="25" t="str">
        <f>"－"</f>
        <v>－</v>
      </c>
      <c r="J1239" s="25" t="n">
        <f>4563</f>
        <v>4563.0</v>
      </c>
      <c r="K1239" s="25" t="str">
        <f>"－"</f>
        <v>－</v>
      </c>
      <c r="L1239" s="2" t="s">
        <v>1160</v>
      </c>
      <c r="M1239" s="26" t="n">
        <f>13490</f>
        <v>13490.0</v>
      </c>
      <c r="N1239" s="3" t="s">
        <v>532</v>
      </c>
      <c r="O1239" s="27" t="n">
        <f>1002</f>
        <v>1002.0</v>
      </c>
      <c r="P1239" s="29" t="s">
        <v>2245</v>
      </c>
      <c r="Q1239" s="25"/>
      <c r="R1239" s="29" t="s">
        <v>262</v>
      </c>
      <c r="S1239" s="25" t="n">
        <f>1701572480</f>
        <v>1.70157248E9</v>
      </c>
      <c r="T1239" s="25" t="str">
        <f>"－"</f>
        <v>－</v>
      </c>
      <c r="U1239" s="3" t="s">
        <v>114</v>
      </c>
      <c r="V1239" s="27" t="n">
        <f>10602190000</f>
        <v>1.060219E10</v>
      </c>
      <c r="W1239" s="3" t="s">
        <v>532</v>
      </c>
      <c r="X1239" s="27" t="n">
        <f>194600000</f>
        <v>1.946E8</v>
      </c>
      <c r="Y1239" s="27" t="n">
        <f>32007</f>
        <v>32007.0</v>
      </c>
      <c r="Z1239" s="25" t="str">
        <f>"－"</f>
        <v>－</v>
      </c>
      <c r="AA1239" s="25" t="n">
        <f>32396</f>
        <v>32396.0</v>
      </c>
      <c r="AB1239" s="2" t="s">
        <v>529</v>
      </c>
      <c r="AC1239" s="26" t="n">
        <f>69168</f>
        <v>69168.0</v>
      </c>
      <c r="AD1239" s="3" t="s">
        <v>593</v>
      </c>
      <c r="AE1239" s="27" t="n">
        <f>15497</f>
        <v>15497.0</v>
      </c>
    </row>
    <row r="1240">
      <c r="A1240" s="20" t="s">
        <v>2191</v>
      </c>
      <c r="B1240" s="21" t="s">
        <v>2192</v>
      </c>
      <c r="C1240" s="22" t="s">
        <v>1764</v>
      </c>
      <c r="D1240" s="23" t="s">
        <v>1765</v>
      </c>
      <c r="E1240" s="24" t="s">
        <v>338</v>
      </c>
      <c r="F1240" s="28" t="n">
        <f>125</f>
        <v>125.0</v>
      </c>
      <c r="G1240" s="25" t="n">
        <f>382280</f>
        <v>382280.0</v>
      </c>
      <c r="H1240" s="25"/>
      <c r="I1240" s="25" t="str">
        <f>"－"</f>
        <v>－</v>
      </c>
      <c r="J1240" s="25" t="n">
        <f>3058</f>
        <v>3058.0</v>
      </c>
      <c r="K1240" s="25" t="str">
        <f>"－"</f>
        <v>－</v>
      </c>
      <c r="L1240" s="2" t="s">
        <v>295</v>
      </c>
      <c r="M1240" s="26" t="n">
        <f>8805</f>
        <v>8805.0</v>
      </c>
      <c r="N1240" s="3" t="s">
        <v>532</v>
      </c>
      <c r="O1240" s="27" t="n">
        <f>926</f>
        <v>926.0</v>
      </c>
      <c r="P1240" s="29" t="s">
        <v>2246</v>
      </c>
      <c r="Q1240" s="25"/>
      <c r="R1240" s="29" t="s">
        <v>262</v>
      </c>
      <c r="S1240" s="25" t="n">
        <f>1207813760</f>
        <v>1.20781376E9</v>
      </c>
      <c r="T1240" s="25" t="str">
        <f>"－"</f>
        <v>－</v>
      </c>
      <c r="U1240" s="3" t="s">
        <v>373</v>
      </c>
      <c r="V1240" s="27" t="n">
        <f>7131360000</f>
        <v>7.13136E9</v>
      </c>
      <c r="W1240" s="3" t="s">
        <v>1388</v>
      </c>
      <c r="X1240" s="27" t="n">
        <f>290110000</f>
        <v>2.9011E8</v>
      </c>
      <c r="Y1240" s="27" t="n">
        <f>36676</f>
        <v>36676.0</v>
      </c>
      <c r="Z1240" s="25" t="str">
        <f>"－"</f>
        <v>－</v>
      </c>
      <c r="AA1240" s="25" t="n">
        <f>17673</f>
        <v>17673.0</v>
      </c>
      <c r="AB1240" s="2" t="s">
        <v>719</v>
      </c>
      <c r="AC1240" s="26" t="n">
        <f>37230</f>
        <v>37230.0</v>
      </c>
      <c r="AD1240" s="3" t="s">
        <v>593</v>
      </c>
      <c r="AE1240" s="27" t="n">
        <f>5588</f>
        <v>5588.0</v>
      </c>
    </row>
    <row r="1241">
      <c r="A1241" s="20" t="s">
        <v>2191</v>
      </c>
      <c r="B1241" s="21" t="s">
        <v>2192</v>
      </c>
      <c r="C1241" s="22" t="s">
        <v>1768</v>
      </c>
      <c r="D1241" s="23" t="s">
        <v>1769</v>
      </c>
      <c r="E1241" s="24" t="s">
        <v>338</v>
      </c>
      <c r="F1241" s="28" t="n">
        <f>125</f>
        <v>125.0</v>
      </c>
      <c r="G1241" s="25" t="n">
        <f>952703</f>
        <v>952703.0</v>
      </c>
      <c r="H1241" s="25"/>
      <c r="I1241" s="25" t="str">
        <f>"－"</f>
        <v>－</v>
      </c>
      <c r="J1241" s="25" t="n">
        <f>7622</f>
        <v>7622.0</v>
      </c>
      <c r="K1241" s="25" t="str">
        <f>"－"</f>
        <v>－</v>
      </c>
      <c r="L1241" s="2" t="s">
        <v>1160</v>
      </c>
      <c r="M1241" s="26" t="n">
        <f>17265</f>
        <v>17265.0</v>
      </c>
      <c r="N1241" s="3" t="s">
        <v>532</v>
      </c>
      <c r="O1241" s="27" t="n">
        <f>1928</f>
        <v>1928.0</v>
      </c>
      <c r="P1241" s="29" t="s">
        <v>2247</v>
      </c>
      <c r="Q1241" s="25"/>
      <c r="R1241" s="29" t="s">
        <v>262</v>
      </c>
      <c r="S1241" s="25" t="n">
        <f>2909386240</f>
        <v>2.90938624E9</v>
      </c>
      <c r="T1241" s="25" t="str">
        <f>"－"</f>
        <v>－</v>
      </c>
      <c r="U1241" s="3" t="s">
        <v>114</v>
      </c>
      <c r="V1241" s="27" t="n">
        <f>12446570000</f>
        <v>1.244657E10</v>
      </c>
      <c r="W1241" s="3" t="s">
        <v>1388</v>
      </c>
      <c r="X1241" s="27" t="n">
        <f>777130000</f>
        <v>7.7713E8</v>
      </c>
      <c r="Y1241" s="27" t="n">
        <f>68683</f>
        <v>68683.0</v>
      </c>
      <c r="Z1241" s="25" t="str">
        <f>"－"</f>
        <v>－</v>
      </c>
      <c r="AA1241" s="25" t="n">
        <f>50069</f>
        <v>50069.0</v>
      </c>
      <c r="AB1241" s="2" t="s">
        <v>1526</v>
      </c>
      <c r="AC1241" s="26" t="n">
        <f>99477</f>
        <v>99477.0</v>
      </c>
      <c r="AD1241" s="3" t="s">
        <v>593</v>
      </c>
      <c r="AE1241" s="27" t="n">
        <f>21085</f>
        <v>21085.0</v>
      </c>
    </row>
    <row r="1242">
      <c r="A1242" s="20" t="s">
        <v>2191</v>
      </c>
      <c r="B1242" s="21" t="s">
        <v>2192</v>
      </c>
      <c r="C1242" s="22" t="s">
        <v>1760</v>
      </c>
      <c r="D1242" s="23" t="s">
        <v>1761</v>
      </c>
      <c r="E1242" s="24" t="s">
        <v>342</v>
      </c>
      <c r="F1242" s="28" t="n">
        <f>121</f>
        <v>121.0</v>
      </c>
      <c r="G1242" s="25" t="n">
        <f>442252</f>
        <v>442252.0</v>
      </c>
      <c r="H1242" s="25"/>
      <c r="I1242" s="25" t="str">
        <f>"－"</f>
        <v>－</v>
      </c>
      <c r="J1242" s="25" t="n">
        <f>3655</f>
        <v>3655.0</v>
      </c>
      <c r="K1242" s="25" t="str">
        <f>"－"</f>
        <v>－</v>
      </c>
      <c r="L1242" s="2" t="s">
        <v>369</v>
      </c>
      <c r="M1242" s="26" t="n">
        <f>8505</f>
        <v>8505.0</v>
      </c>
      <c r="N1242" s="3" t="s">
        <v>493</v>
      </c>
      <c r="O1242" s="27" t="n">
        <f>1081</f>
        <v>1081.0</v>
      </c>
      <c r="P1242" s="29" t="s">
        <v>2248</v>
      </c>
      <c r="Q1242" s="25"/>
      <c r="R1242" s="29" t="s">
        <v>262</v>
      </c>
      <c r="S1242" s="25" t="n">
        <f>1928384298</f>
        <v>1.928384298E9</v>
      </c>
      <c r="T1242" s="25" t="str">
        <f>"－"</f>
        <v>－</v>
      </c>
      <c r="U1242" s="3" t="s">
        <v>1401</v>
      </c>
      <c r="V1242" s="27" t="n">
        <f>9225690000</f>
        <v>9.22569E9</v>
      </c>
      <c r="W1242" s="3" t="s">
        <v>243</v>
      </c>
      <c r="X1242" s="27" t="n">
        <f>326790000</f>
        <v>3.2679E8</v>
      </c>
      <c r="Y1242" s="27" t="n">
        <f>34013</f>
        <v>34013.0</v>
      </c>
      <c r="Z1242" s="25" t="str">
        <f>"－"</f>
        <v>－</v>
      </c>
      <c r="AA1242" s="25" t="n">
        <f>20074</f>
        <v>20074.0</v>
      </c>
      <c r="AB1242" s="2" t="s">
        <v>508</v>
      </c>
      <c r="AC1242" s="26" t="n">
        <f>52974</f>
        <v>52974.0</v>
      </c>
      <c r="AD1242" s="3" t="s">
        <v>314</v>
      </c>
      <c r="AE1242" s="27" t="n">
        <f>6253</f>
        <v>6253.0</v>
      </c>
    </row>
    <row r="1243">
      <c r="A1243" s="20" t="s">
        <v>2191</v>
      </c>
      <c r="B1243" s="21" t="s">
        <v>2192</v>
      </c>
      <c r="C1243" s="22" t="s">
        <v>1764</v>
      </c>
      <c r="D1243" s="23" t="s">
        <v>1765</v>
      </c>
      <c r="E1243" s="24" t="s">
        <v>342</v>
      </c>
      <c r="F1243" s="28" t="n">
        <f>121</f>
        <v>121.0</v>
      </c>
      <c r="G1243" s="25" t="n">
        <f>339953</f>
        <v>339953.0</v>
      </c>
      <c r="H1243" s="25"/>
      <c r="I1243" s="25" t="str">
        <f>"－"</f>
        <v>－</v>
      </c>
      <c r="J1243" s="25" t="n">
        <f>2810</f>
        <v>2810.0</v>
      </c>
      <c r="K1243" s="25" t="str">
        <f>"－"</f>
        <v>－</v>
      </c>
      <c r="L1243" s="2" t="s">
        <v>1096</v>
      </c>
      <c r="M1243" s="26" t="n">
        <f>8432</f>
        <v>8432.0</v>
      </c>
      <c r="N1243" s="3" t="s">
        <v>688</v>
      </c>
      <c r="O1243" s="27" t="n">
        <f>920</f>
        <v>920.0</v>
      </c>
      <c r="P1243" s="29" t="s">
        <v>2249</v>
      </c>
      <c r="Q1243" s="25"/>
      <c r="R1243" s="29" t="s">
        <v>262</v>
      </c>
      <c r="S1243" s="25" t="n">
        <f>1189814876</f>
        <v>1.189814876E9</v>
      </c>
      <c r="T1243" s="25" t="str">
        <f>"－"</f>
        <v>－</v>
      </c>
      <c r="U1243" s="3" t="s">
        <v>220</v>
      </c>
      <c r="V1243" s="27" t="n">
        <f>3555200000</f>
        <v>3.5552E9</v>
      </c>
      <c r="W1243" s="3" t="s">
        <v>146</v>
      </c>
      <c r="X1243" s="27" t="n">
        <f>215640000</f>
        <v>2.1564E8</v>
      </c>
      <c r="Y1243" s="27" t="n">
        <f>24362</f>
        <v>24362.0</v>
      </c>
      <c r="Z1243" s="25" t="str">
        <f>"－"</f>
        <v>－</v>
      </c>
      <c r="AA1243" s="25" t="n">
        <f>20653</f>
        <v>20653.0</v>
      </c>
      <c r="AB1243" s="2" t="s">
        <v>1531</v>
      </c>
      <c r="AC1243" s="26" t="n">
        <f>33455</f>
        <v>33455.0</v>
      </c>
      <c r="AD1243" s="3" t="s">
        <v>963</v>
      </c>
      <c r="AE1243" s="27" t="n">
        <f>3361</f>
        <v>3361.0</v>
      </c>
    </row>
    <row r="1244">
      <c r="A1244" s="20" t="s">
        <v>2191</v>
      </c>
      <c r="B1244" s="21" t="s">
        <v>2192</v>
      </c>
      <c r="C1244" s="22" t="s">
        <v>1768</v>
      </c>
      <c r="D1244" s="23" t="s">
        <v>1769</v>
      </c>
      <c r="E1244" s="24" t="s">
        <v>342</v>
      </c>
      <c r="F1244" s="28" t="n">
        <f>121</f>
        <v>121.0</v>
      </c>
      <c r="G1244" s="25" t="n">
        <f>782205</f>
        <v>782205.0</v>
      </c>
      <c r="H1244" s="25"/>
      <c r="I1244" s="25" t="str">
        <f>"－"</f>
        <v>－</v>
      </c>
      <c r="J1244" s="25" t="n">
        <f>6465</f>
        <v>6465.0</v>
      </c>
      <c r="K1244" s="25" t="str">
        <f>"－"</f>
        <v>－</v>
      </c>
      <c r="L1244" s="2" t="s">
        <v>369</v>
      </c>
      <c r="M1244" s="26" t="n">
        <f>13842</f>
        <v>13842.0</v>
      </c>
      <c r="N1244" s="3" t="s">
        <v>314</v>
      </c>
      <c r="O1244" s="27" t="n">
        <f>2415</f>
        <v>2415.0</v>
      </c>
      <c r="P1244" s="29" t="s">
        <v>2250</v>
      </c>
      <c r="Q1244" s="25"/>
      <c r="R1244" s="29" t="s">
        <v>262</v>
      </c>
      <c r="S1244" s="25" t="n">
        <f>3118199174</f>
        <v>3.118199174E9</v>
      </c>
      <c r="T1244" s="25" t="str">
        <f>"－"</f>
        <v>－</v>
      </c>
      <c r="U1244" s="3" t="s">
        <v>1401</v>
      </c>
      <c r="V1244" s="27" t="n">
        <f>10710490000</f>
        <v>1.071049E10</v>
      </c>
      <c r="W1244" s="3" t="s">
        <v>243</v>
      </c>
      <c r="X1244" s="27" t="n">
        <f>611870000</f>
        <v>6.1187E8</v>
      </c>
      <c r="Y1244" s="27" t="n">
        <f>58375</f>
        <v>58375.0</v>
      </c>
      <c r="Z1244" s="25" t="str">
        <f>"－"</f>
        <v>－</v>
      </c>
      <c r="AA1244" s="25" t="n">
        <f>40727</f>
        <v>40727.0</v>
      </c>
      <c r="AB1244" s="2" t="s">
        <v>508</v>
      </c>
      <c r="AC1244" s="26" t="n">
        <f>85771</f>
        <v>85771.0</v>
      </c>
      <c r="AD1244" s="3" t="s">
        <v>314</v>
      </c>
      <c r="AE1244" s="27" t="n">
        <f>9931</f>
        <v>9931.0</v>
      </c>
    </row>
    <row r="1245">
      <c r="A1245" s="20" t="s">
        <v>2191</v>
      </c>
      <c r="B1245" s="21" t="s">
        <v>2192</v>
      </c>
      <c r="C1245" s="22" t="s">
        <v>1760</v>
      </c>
      <c r="D1245" s="23" t="s">
        <v>1761</v>
      </c>
      <c r="E1245" s="24" t="s">
        <v>347</v>
      </c>
      <c r="F1245" s="28" t="n">
        <f>124</f>
        <v>124.0</v>
      </c>
      <c r="G1245" s="25" t="n">
        <f>208815</f>
        <v>208815.0</v>
      </c>
      <c r="H1245" s="25"/>
      <c r="I1245" s="25" t="str">
        <f>"－"</f>
        <v>－</v>
      </c>
      <c r="J1245" s="25" t="n">
        <f>1684</f>
        <v>1684.0</v>
      </c>
      <c r="K1245" s="25" t="str">
        <f>"－"</f>
        <v>－</v>
      </c>
      <c r="L1245" s="2" t="s">
        <v>321</v>
      </c>
      <c r="M1245" s="26" t="n">
        <f>3526</f>
        <v>3526.0</v>
      </c>
      <c r="N1245" s="3" t="s">
        <v>1917</v>
      </c>
      <c r="O1245" s="27" t="n">
        <f>100</f>
        <v>100.0</v>
      </c>
      <c r="P1245" s="29" t="s">
        <v>2251</v>
      </c>
      <c r="Q1245" s="25"/>
      <c r="R1245" s="29" t="s">
        <v>262</v>
      </c>
      <c r="S1245" s="25" t="n">
        <f>875709355</f>
        <v>8.75709355E8</v>
      </c>
      <c r="T1245" s="25" t="str">
        <f>"－"</f>
        <v>－</v>
      </c>
      <c r="U1245" s="3" t="s">
        <v>1024</v>
      </c>
      <c r="V1245" s="27" t="n">
        <f>2964380000</f>
        <v>2.96438E9</v>
      </c>
      <c r="W1245" s="3" t="s">
        <v>1917</v>
      </c>
      <c r="X1245" s="27" t="n">
        <f>90510000</f>
        <v>9.051E7</v>
      </c>
      <c r="Y1245" s="27" t="n">
        <f>6332</f>
        <v>6332.0</v>
      </c>
      <c r="Z1245" s="25" t="str">
        <f>"－"</f>
        <v>－</v>
      </c>
      <c r="AA1245" s="25" t="n">
        <f>16271</f>
        <v>16271.0</v>
      </c>
      <c r="AB1245" s="2" t="s">
        <v>269</v>
      </c>
      <c r="AC1245" s="26" t="n">
        <f>34908</f>
        <v>34908.0</v>
      </c>
      <c r="AD1245" s="3" t="s">
        <v>806</v>
      </c>
      <c r="AE1245" s="27" t="n">
        <f>1791</f>
        <v>1791.0</v>
      </c>
    </row>
    <row r="1246">
      <c r="A1246" s="20" t="s">
        <v>2191</v>
      </c>
      <c r="B1246" s="21" t="s">
        <v>2192</v>
      </c>
      <c r="C1246" s="22" t="s">
        <v>1764</v>
      </c>
      <c r="D1246" s="23" t="s">
        <v>1765</v>
      </c>
      <c r="E1246" s="24" t="s">
        <v>347</v>
      </c>
      <c r="F1246" s="28" t="n">
        <f>124</f>
        <v>124.0</v>
      </c>
      <c r="G1246" s="25" t="n">
        <f>146299</f>
        <v>146299.0</v>
      </c>
      <c r="H1246" s="25"/>
      <c r="I1246" s="25" t="str">
        <f>"－"</f>
        <v>－</v>
      </c>
      <c r="J1246" s="25" t="n">
        <f>1180</f>
        <v>1180.0</v>
      </c>
      <c r="K1246" s="25" t="str">
        <f>"－"</f>
        <v>－</v>
      </c>
      <c r="L1246" s="2" t="s">
        <v>498</v>
      </c>
      <c r="M1246" s="26" t="n">
        <f>3335</f>
        <v>3335.0</v>
      </c>
      <c r="N1246" s="3" t="s">
        <v>1917</v>
      </c>
      <c r="O1246" s="27" t="n">
        <f>150</f>
        <v>150.0</v>
      </c>
      <c r="P1246" s="29" t="s">
        <v>2252</v>
      </c>
      <c r="Q1246" s="25"/>
      <c r="R1246" s="29" t="s">
        <v>262</v>
      </c>
      <c r="S1246" s="25" t="n">
        <f>639233871</f>
        <v>6.39233871E8</v>
      </c>
      <c r="T1246" s="25" t="str">
        <f>"－"</f>
        <v>－</v>
      </c>
      <c r="U1246" s="3" t="s">
        <v>1087</v>
      </c>
      <c r="V1246" s="27" t="n">
        <f>3097520000</f>
        <v>3.09752E9</v>
      </c>
      <c r="W1246" s="3" t="s">
        <v>1469</v>
      </c>
      <c r="X1246" s="27" t="n">
        <f>168830000</f>
        <v>1.6883E8</v>
      </c>
      <c r="Y1246" s="27" t="n">
        <f>5214</f>
        <v>5214.0</v>
      </c>
      <c r="Z1246" s="25" t="str">
        <f>"－"</f>
        <v>－</v>
      </c>
      <c r="AA1246" s="25" t="n">
        <f>8469</f>
        <v>8469.0</v>
      </c>
      <c r="AB1246" s="2" t="s">
        <v>271</v>
      </c>
      <c r="AC1246" s="26" t="n">
        <f>19741</f>
        <v>19741.0</v>
      </c>
      <c r="AD1246" s="3" t="s">
        <v>806</v>
      </c>
      <c r="AE1246" s="27" t="n">
        <f>2945</f>
        <v>2945.0</v>
      </c>
    </row>
    <row r="1247">
      <c r="A1247" s="20" t="s">
        <v>2191</v>
      </c>
      <c r="B1247" s="21" t="s">
        <v>2192</v>
      </c>
      <c r="C1247" s="22" t="s">
        <v>1768</v>
      </c>
      <c r="D1247" s="23" t="s">
        <v>1769</v>
      </c>
      <c r="E1247" s="24" t="s">
        <v>347</v>
      </c>
      <c r="F1247" s="28" t="n">
        <f>124</f>
        <v>124.0</v>
      </c>
      <c r="G1247" s="25" t="n">
        <f>355114</f>
        <v>355114.0</v>
      </c>
      <c r="H1247" s="25"/>
      <c r="I1247" s="25" t="str">
        <f>"－"</f>
        <v>－</v>
      </c>
      <c r="J1247" s="25" t="n">
        <f>2864</f>
        <v>2864.0</v>
      </c>
      <c r="K1247" s="25" t="str">
        <f>"－"</f>
        <v>－</v>
      </c>
      <c r="L1247" s="2" t="s">
        <v>128</v>
      </c>
      <c r="M1247" s="26" t="n">
        <f>6048</f>
        <v>6048.0</v>
      </c>
      <c r="N1247" s="3" t="s">
        <v>1917</v>
      </c>
      <c r="O1247" s="27" t="n">
        <f>250</f>
        <v>250.0</v>
      </c>
      <c r="P1247" s="29" t="s">
        <v>2253</v>
      </c>
      <c r="Q1247" s="25"/>
      <c r="R1247" s="29" t="s">
        <v>262</v>
      </c>
      <c r="S1247" s="25" t="n">
        <f>1514943226</f>
        <v>1.514943226E9</v>
      </c>
      <c r="T1247" s="25" t="str">
        <f>"－"</f>
        <v>－</v>
      </c>
      <c r="U1247" s="3" t="s">
        <v>1087</v>
      </c>
      <c r="V1247" s="27" t="n">
        <f>5582930000</f>
        <v>5.58293E9</v>
      </c>
      <c r="W1247" s="3" t="s">
        <v>1917</v>
      </c>
      <c r="X1247" s="27" t="n">
        <f>351170000</f>
        <v>3.5117E8</v>
      </c>
      <c r="Y1247" s="27" t="n">
        <f>11546</f>
        <v>11546.0</v>
      </c>
      <c r="Z1247" s="25" t="str">
        <f>"－"</f>
        <v>－</v>
      </c>
      <c r="AA1247" s="25" t="n">
        <f>24740</f>
        <v>24740.0</v>
      </c>
      <c r="AB1247" s="2" t="s">
        <v>138</v>
      </c>
      <c r="AC1247" s="26" t="n">
        <f>52833</f>
        <v>52833.0</v>
      </c>
      <c r="AD1247" s="3" t="s">
        <v>806</v>
      </c>
      <c r="AE1247" s="27" t="n">
        <f>4736</f>
        <v>4736.0</v>
      </c>
    </row>
    <row r="1248">
      <c r="A1248" s="20" t="s">
        <v>2191</v>
      </c>
      <c r="B1248" s="21" t="s">
        <v>2192</v>
      </c>
      <c r="C1248" s="22" t="s">
        <v>1760</v>
      </c>
      <c r="D1248" s="23" t="s">
        <v>1761</v>
      </c>
      <c r="E1248" s="24" t="s">
        <v>351</v>
      </c>
      <c r="F1248" s="28" t="n">
        <f>123</f>
        <v>123.0</v>
      </c>
      <c r="G1248" s="25" t="n">
        <f>414884</f>
        <v>414884.0</v>
      </c>
      <c r="H1248" s="25"/>
      <c r="I1248" s="25" t="str">
        <f>"－"</f>
        <v>－</v>
      </c>
      <c r="J1248" s="25" t="n">
        <f>3373</f>
        <v>3373.0</v>
      </c>
      <c r="K1248" s="25" t="str">
        <f>"－"</f>
        <v>－</v>
      </c>
      <c r="L1248" s="2" t="s">
        <v>1027</v>
      </c>
      <c r="M1248" s="26" t="n">
        <f>9234</f>
        <v>9234.0</v>
      </c>
      <c r="N1248" s="3" t="s">
        <v>156</v>
      </c>
      <c r="O1248" s="27" t="n">
        <f>674</f>
        <v>674.0</v>
      </c>
      <c r="P1248" s="29" t="s">
        <v>2254</v>
      </c>
      <c r="Q1248" s="25"/>
      <c r="R1248" s="29" t="s">
        <v>262</v>
      </c>
      <c r="S1248" s="25" t="n">
        <f>841364228</f>
        <v>8.41364228E8</v>
      </c>
      <c r="T1248" s="25" t="str">
        <f>"－"</f>
        <v>－</v>
      </c>
      <c r="U1248" s="3" t="s">
        <v>1096</v>
      </c>
      <c r="V1248" s="27" t="n">
        <f>3621910000</f>
        <v>3.62191E9</v>
      </c>
      <c r="W1248" s="3" t="s">
        <v>1091</v>
      </c>
      <c r="X1248" s="27" t="n">
        <f>207740000</f>
        <v>2.0774E8</v>
      </c>
      <c r="Y1248" s="27" t="n">
        <f>3617</f>
        <v>3617.0</v>
      </c>
      <c r="Z1248" s="25" t="str">
        <f>"－"</f>
        <v>－</v>
      </c>
      <c r="AA1248" s="25" t="n">
        <f>45999</f>
        <v>45999.0</v>
      </c>
      <c r="AB1248" s="2" t="s">
        <v>754</v>
      </c>
      <c r="AC1248" s="26" t="n">
        <f>49218</f>
        <v>49218.0</v>
      </c>
      <c r="AD1248" s="3" t="s">
        <v>314</v>
      </c>
      <c r="AE1248" s="27" t="n">
        <f>11056</f>
        <v>11056.0</v>
      </c>
    </row>
    <row r="1249">
      <c r="A1249" s="20" t="s">
        <v>2191</v>
      </c>
      <c r="B1249" s="21" t="s">
        <v>2192</v>
      </c>
      <c r="C1249" s="22" t="s">
        <v>1764</v>
      </c>
      <c r="D1249" s="23" t="s">
        <v>1765</v>
      </c>
      <c r="E1249" s="24" t="s">
        <v>351</v>
      </c>
      <c r="F1249" s="28" t="n">
        <f>123</f>
        <v>123.0</v>
      </c>
      <c r="G1249" s="25" t="n">
        <f>240001</f>
        <v>240001.0</v>
      </c>
      <c r="H1249" s="25"/>
      <c r="I1249" s="25" t="str">
        <f>"－"</f>
        <v>－</v>
      </c>
      <c r="J1249" s="25" t="n">
        <f>1951</f>
        <v>1951.0</v>
      </c>
      <c r="K1249" s="25" t="str">
        <f>"－"</f>
        <v>－</v>
      </c>
      <c r="L1249" s="2" t="s">
        <v>226</v>
      </c>
      <c r="M1249" s="26" t="n">
        <f>4595</f>
        <v>4595.0</v>
      </c>
      <c r="N1249" s="3" t="s">
        <v>156</v>
      </c>
      <c r="O1249" s="27" t="n">
        <f>334</f>
        <v>334.0</v>
      </c>
      <c r="P1249" s="29" t="s">
        <v>2255</v>
      </c>
      <c r="Q1249" s="25"/>
      <c r="R1249" s="29" t="s">
        <v>262</v>
      </c>
      <c r="S1249" s="25" t="n">
        <f>634481138</f>
        <v>6.34481138E8</v>
      </c>
      <c r="T1249" s="25" t="str">
        <f>"－"</f>
        <v>－</v>
      </c>
      <c r="U1249" s="3" t="s">
        <v>559</v>
      </c>
      <c r="V1249" s="27" t="n">
        <f>2111410000</f>
        <v>2.11141E9</v>
      </c>
      <c r="W1249" s="3" t="s">
        <v>242</v>
      </c>
      <c r="X1249" s="27" t="n">
        <f>80990000</f>
        <v>8.099E7</v>
      </c>
      <c r="Y1249" s="27" t="n">
        <f>17091</f>
        <v>17091.0</v>
      </c>
      <c r="Z1249" s="25" t="str">
        <f>"－"</f>
        <v>－</v>
      </c>
      <c r="AA1249" s="25" t="n">
        <f>22254</f>
        <v>22254.0</v>
      </c>
      <c r="AB1249" s="2" t="s">
        <v>184</v>
      </c>
      <c r="AC1249" s="26" t="n">
        <f>23100</f>
        <v>23100.0</v>
      </c>
      <c r="AD1249" s="3" t="s">
        <v>314</v>
      </c>
      <c r="AE1249" s="27" t="n">
        <f>6827</f>
        <v>6827.0</v>
      </c>
    </row>
    <row r="1250">
      <c r="A1250" s="20" t="s">
        <v>2191</v>
      </c>
      <c r="B1250" s="21" t="s">
        <v>2192</v>
      </c>
      <c r="C1250" s="22" t="s">
        <v>1768</v>
      </c>
      <c r="D1250" s="23" t="s">
        <v>1769</v>
      </c>
      <c r="E1250" s="24" t="s">
        <v>351</v>
      </c>
      <c r="F1250" s="28" t="n">
        <f>123</f>
        <v>123.0</v>
      </c>
      <c r="G1250" s="25" t="n">
        <f>654885</f>
        <v>654885.0</v>
      </c>
      <c r="H1250" s="25"/>
      <c r="I1250" s="25" t="str">
        <f>"－"</f>
        <v>－</v>
      </c>
      <c r="J1250" s="25" t="n">
        <f>5324</f>
        <v>5324.0</v>
      </c>
      <c r="K1250" s="25" t="str">
        <f>"－"</f>
        <v>－</v>
      </c>
      <c r="L1250" s="2" t="s">
        <v>1027</v>
      </c>
      <c r="M1250" s="26" t="n">
        <f>11922</f>
        <v>11922.0</v>
      </c>
      <c r="N1250" s="3" t="s">
        <v>156</v>
      </c>
      <c r="O1250" s="27" t="n">
        <f>1008</f>
        <v>1008.0</v>
      </c>
      <c r="P1250" s="29" t="s">
        <v>2256</v>
      </c>
      <c r="Q1250" s="25"/>
      <c r="R1250" s="29" t="s">
        <v>262</v>
      </c>
      <c r="S1250" s="25" t="n">
        <f>1475845366</f>
        <v>1.475845366E9</v>
      </c>
      <c r="T1250" s="25" t="str">
        <f>"－"</f>
        <v>－</v>
      </c>
      <c r="U1250" s="3" t="s">
        <v>1096</v>
      </c>
      <c r="V1250" s="27" t="n">
        <f>4339210000</f>
        <v>4.33921E9</v>
      </c>
      <c r="W1250" s="3" t="s">
        <v>242</v>
      </c>
      <c r="X1250" s="27" t="n">
        <f>367410000</f>
        <v>3.6741E8</v>
      </c>
      <c r="Y1250" s="27" t="n">
        <f>20708</f>
        <v>20708.0</v>
      </c>
      <c r="Z1250" s="25" t="str">
        <f>"－"</f>
        <v>－</v>
      </c>
      <c r="AA1250" s="25" t="n">
        <f>68253</f>
        <v>68253.0</v>
      </c>
      <c r="AB1250" s="2" t="s">
        <v>251</v>
      </c>
      <c r="AC1250" s="26" t="n">
        <f>68253</f>
        <v>68253.0</v>
      </c>
      <c r="AD1250" s="3" t="s">
        <v>314</v>
      </c>
      <c r="AE1250" s="27" t="n">
        <f>17883</f>
        <v>17883.0</v>
      </c>
    </row>
    <row r="1251">
      <c r="A1251" s="20" t="s">
        <v>2191</v>
      </c>
      <c r="B1251" s="21" t="s">
        <v>2192</v>
      </c>
      <c r="C1251" s="22" t="s">
        <v>1760</v>
      </c>
      <c r="D1251" s="23" t="s">
        <v>1761</v>
      </c>
      <c r="E1251" s="24" t="s">
        <v>354</v>
      </c>
      <c r="F1251" s="28" t="n">
        <f>125</f>
        <v>125.0</v>
      </c>
      <c r="G1251" s="25" t="n">
        <f>362042</f>
        <v>362042.0</v>
      </c>
      <c r="H1251" s="25"/>
      <c r="I1251" s="25" t="str">
        <f>"－"</f>
        <v>－</v>
      </c>
      <c r="J1251" s="25" t="n">
        <f>2896</f>
        <v>2896.0</v>
      </c>
      <c r="K1251" s="25" t="str">
        <f>"－"</f>
        <v>－</v>
      </c>
      <c r="L1251" s="2" t="s">
        <v>671</v>
      </c>
      <c r="M1251" s="26" t="n">
        <f>11367</f>
        <v>11367.0</v>
      </c>
      <c r="N1251" s="3" t="s">
        <v>331</v>
      </c>
      <c r="O1251" s="27" t="n">
        <f>670</f>
        <v>670.0</v>
      </c>
      <c r="P1251" s="29" t="s">
        <v>2257</v>
      </c>
      <c r="Q1251" s="25"/>
      <c r="R1251" s="29" t="s">
        <v>262</v>
      </c>
      <c r="S1251" s="25" t="n">
        <f>550054240</f>
        <v>5.5005424E8</v>
      </c>
      <c r="T1251" s="25" t="str">
        <f>"－"</f>
        <v>－</v>
      </c>
      <c r="U1251" s="3" t="s">
        <v>2258</v>
      </c>
      <c r="V1251" s="27" t="n">
        <f>2180610000</f>
        <v>2.18061E9</v>
      </c>
      <c r="W1251" s="3" t="s">
        <v>1931</v>
      </c>
      <c r="X1251" s="27" t="n">
        <f>106020000</f>
        <v>1.0602E8</v>
      </c>
      <c r="Y1251" s="27" t="n">
        <f>11852</f>
        <v>11852.0</v>
      </c>
      <c r="Z1251" s="25" t="str">
        <f>"－"</f>
        <v>－</v>
      </c>
      <c r="AA1251" s="25" t="n">
        <f>11119</f>
        <v>11119.0</v>
      </c>
      <c r="AB1251" s="2" t="s">
        <v>838</v>
      </c>
      <c r="AC1251" s="26" t="n">
        <f>63672</f>
        <v>63672.0</v>
      </c>
      <c r="AD1251" s="3" t="s">
        <v>593</v>
      </c>
      <c r="AE1251" s="27" t="n">
        <f>5670</f>
        <v>5670.0</v>
      </c>
    </row>
    <row r="1252">
      <c r="A1252" s="20" t="s">
        <v>2191</v>
      </c>
      <c r="B1252" s="21" t="s">
        <v>2192</v>
      </c>
      <c r="C1252" s="22" t="s">
        <v>1764</v>
      </c>
      <c r="D1252" s="23" t="s">
        <v>1765</v>
      </c>
      <c r="E1252" s="24" t="s">
        <v>354</v>
      </c>
      <c r="F1252" s="28" t="n">
        <f>125</f>
        <v>125.0</v>
      </c>
      <c r="G1252" s="25" t="n">
        <f>254947</f>
        <v>254947.0</v>
      </c>
      <c r="H1252" s="25"/>
      <c r="I1252" s="25" t="str">
        <f>"－"</f>
        <v>－</v>
      </c>
      <c r="J1252" s="25" t="n">
        <f>2040</f>
        <v>2040.0</v>
      </c>
      <c r="K1252" s="25" t="str">
        <f>"－"</f>
        <v>－</v>
      </c>
      <c r="L1252" s="2" t="s">
        <v>1142</v>
      </c>
      <c r="M1252" s="26" t="n">
        <f>5408</f>
        <v>5408.0</v>
      </c>
      <c r="N1252" s="3" t="s">
        <v>1100</v>
      </c>
      <c r="O1252" s="27" t="n">
        <f>432</f>
        <v>432.0</v>
      </c>
      <c r="P1252" s="29" t="s">
        <v>2259</v>
      </c>
      <c r="Q1252" s="25"/>
      <c r="R1252" s="29" t="s">
        <v>262</v>
      </c>
      <c r="S1252" s="25" t="n">
        <f>497021200</f>
        <v>4.970212E8</v>
      </c>
      <c r="T1252" s="25" t="str">
        <f>"－"</f>
        <v>－</v>
      </c>
      <c r="U1252" s="3" t="s">
        <v>882</v>
      </c>
      <c r="V1252" s="27" t="n">
        <f>1929450000</f>
        <v>1.92945E9</v>
      </c>
      <c r="W1252" s="3" t="s">
        <v>1100</v>
      </c>
      <c r="X1252" s="27" t="n">
        <f>63210000</f>
        <v>6.321E7</v>
      </c>
      <c r="Y1252" s="27" t="n">
        <f>24408</f>
        <v>24408.0</v>
      </c>
      <c r="Z1252" s="25" t="str">
        <f>"－"</f>
        <v>－</v>
      </c>
      <c r="AA1252" s="25" t="n">
        <f>5244</f>
        <v>5244.0</v>
      </c>
      <c r="AB1252" s="2" t="s">
        <v>529</v>
      </c>
      <c r="AC1252" s="26" t="n">
        <f>27584</f>
        <v>27584.0</v>
      </c>
      <c r="AD1252" s="3" t="s">
        <v>318</v>
      </c>
      <c r="AE1252" s="27" t="n">
        <f>4139</f>
        <v>4139.0</v>
      </c>
    </row>
    <row r="1253">
      <c r="A1253" s="20" t="s">
        <v>2191</v>
      </c>
      <c r="B1253" s="21" t="s">
        <v>2192</v>
      </c>
      <c r="C1253" s="22" t="s">
        <v>1768</v>
      </c>
      <c r="D1253" s="23" t="s">
        <v>1769</v>
      </c>
      <c r="E1253" s="24" t="s">
        <v>354</v>
      </c>
      <c r="F1253" s="28" t="n">
        <f>125</f>
        <v>125.0</v>
      </c>
      <c r="G1253" s="25" t="n">
        <f>616989</f>
        <v>616989.0</v>
      </c>
      <c r="H1253" s="25"/>
      <c r="I1253" s="25" t="str">
        <f>"－"</f>
        <v>－</v>
      </c>
      <c r="J1253" s="25" t="n">
        <f>4936</f>
        <v>4936.0</v>
      </c>
      <c r="K1253" s="25" t="str">
        <f>"－"</f>
        <v>－</v>
      </c>
      <c r="L1253" s="2" t="s">
        <v>309</v>
      </c>
      <c r="M1253" s="26" t="n">
        <f>14152</f>
        <v>14152.0</v>
      </c>
      <c r="N1253" s="3" t="s">
        <v>331</v>
      </c>
      <c r="O1253" s="27" t="n">
        <f>1360</f>
        <v>1360.0</v>
      </c>
      <c r="P1253" s="29" t="s">
        <v>2260</v>
      </c>
      <c r="Q1253" s="25"/>
      <c r="R1253" s="29" t="s">
        <v>262</v>
      </c>
      <c r="S1253" s="25" t="n">
        <f>1047075440</f>
        <v>1.04707544E9</v>
      </c>
      <c r="T1253" s="25" t="str">
        <f>"－"</f>
        <v>－</v>
      </c>
      <c r="U1253" s="3" t="s">
        <v>117</v>
      </c>
      <c r="V1253" s="27" t="n">
        <f>2918380000</f>
        <v>2.91838E9</v>
      </c>
      <c r="W1253" s="3" t="s">
        <v>1100</v>
      </c>
      <c r="X1253" s="27" t="n">
        <f>249530000</f>
        <v>2.4953E8</v>
      </c>
      <c r="Y1253" s="27" t="n">
        <f>36260</f>
        <v>36260.0</v>
      </c>
      <c r="Z1253" s="25" t="str">
        <f>"－"</f>
        <v>－</v>
      </c>
      <c r="AA1253" s="25" t="n">
        <f>16363</f>
        <v>16363.0</v>
      </c>
      <c r="AB1253" s="2" t="s">
        <v>240</v>
      </c>
      <c r="AC1253" s="26" t="n">
        <f>85472</f>
        <v>85472.0</v>
      </c>
      <c r="AD1253" s="3" t="s">
        <v>593</v>
      </c>
      <c r="AE1253" s="27" t="n">
        <f>10656</f>
        <v>10656.0</v>
      </c>
    </row>
    <row r="1254">
      <c r="A1254" s="20" t="s">
        <v>2191</v>
      </c>
      <c r="B1254" s="21" t="s">
        <v>2192</v>
      </c>
      <c r="C1254" s="22" t="s">
        <v>1760</v>
      </c>
      <c r="D1254" s="23" t="s">
        <v>1761</v>
      </c>
      <c r="E1254" s="24" t="s">
        <v>357</v>
      </c>
      <c r="F1254" s="28" t="n">
        <f>121</f>
        <v>121.0</v>
      </c>
      <c r="G1254" s="25" t="n">
        <f>303282</f>
        <v>303282.0</v>
      </c>
      <c r="H1254" s="25"/>
      <c r="I1254" s="25" t="str">
        <f>"－"</f>
        <v>－</v>
      </c>
      <c r="J1254" s="25" t="n">
        <f>2506</f>
        <v>2506.0</v>
      </c>
      <c r="K1254" s="25" t="str">
        <f>"－"</f>
        <v>－</v>
      </c>
      <c r="L1254" s="2" t="s">
        <v>1144</v>
      </c>
      <c r="M1254" s="26" t="n">
        <f>5036</f>
        <v>5036.0</v>
      </c>
      <c r="N1254" s="3" t="s">
        <v>101</v>
      </c>
      <c r="O1254" s="27" t="n">
        <f>541</f>
        <v>541.0</v>
      </c>
      <c r="P1254" s="29" t="s">
        <v>2261</v>
      </c>
      <c r="Q1254" s="25"/>
      <c r="R1254" s="29" t="s">
        <v>262</v>
      </c>
      <c r="S1254" s="25" t="n">
        <f>576690496</f>
        <v>5.76690496E8</v>
      </c>
      <c r="T1254" s="25" t="str">
        <f>"－"</f>
        <v>－</v>
      </c>
      <c r="U1254" s="3" t="s">
        <v>1631</v>
      </c>
      <c r="V1254" s="27" t="n">
        <f>1674740000</f>
        <v>1.67474E9</v>
      </c>
      <c r="W1254" s="3" t="s">
        <v>101</v>
      </c>
      <c r="X1254" s="27" t="n">
        <f>100110000</f>
        <v>1.0011E8</v>
      </c>
      <c r="Y1254" s="27" t="n">
        <f>2463</f>
        <v>2463.0</v>
      </c>
      <c r="Z1254" s="25" t="str">
        <f>"－"</f>
        <v>－</v>
      </c>
      <c r="AA1254" s="25" t="n">
        <f>28028</f>
        <v>28028.0</v>
      </c>
      <c r="AB1254" s="2" t="s">
        <v>754</v>
      </c>
      <c r="AC1254" s="26" t="n">
        <f>32024</f>
        <v>32024.0</v>
      </c>
      <c r="AD1254" s="3" t="s">
        <v>314</v>
      </c>
      <c r="AE1254" s="27" t="n">
        <f>6292</f>
        <v>6292.0</v>
      </c>
    </row>
    <row r="1255">
      <c r="A1255" s="20" t="s">
        <v>2191</v>
      </c>
      <c r="B1255" s="21" t="s">
        <v>2192</v>
      </c>
      <c r="C1255" s="22" t="s">
        <v>1764</v>
      </c>
      <c r="D1255" s="23" t="s">
        <v>1765</v>
      </c>
      <c r="E1255" s="24" t="s">
        <v>357</v>
      </c>
      <c r="F1255" s="28" t="n">
        <f>121</f>
        <v>121.0</v>
      </c>
      <c r="G1255" s="25" t="n">
        <f>233357</f>
        <v>233357.0</v>
      </c>
      <c r="H1255" s="25"/>
      <c r="I1255" s="25" t="str">
        <f>"－"</f>
        <v>－</v>
      </c>
      <c r="J1255" s="25" t="n">
        <f>1929</f>
        <v>1929.0</v>
      </c>
      <c r="K1255" s="25" t="str">
        <f>"－"</f>
        <v>－</v>
      </c>
      <c r="L1255" s="2" t="s">
        <v>314</v>
      </c>
      <c r="M1255" s="26" t="n">
        <f>4815</f>
        <v>4815.0</v>
      </c>
      <c r="N1255" s="3" t="s">
        <v>156</v>
      </c>
      <c r="O1255" s="27" t="n">
        <f>280</f>
        <v>280.0</v>
      </c>
      <c r="P1255" s="29" t="s">
        <v>2262</v>
      </c>
      <c r="Q1255" s="25"/>
      <c r="R1255" s="29" t="s">
        <v>262</v>
      </c>
      <c r="S1255" s="25" t="n">
        <f>650310083</f>
        <v>6.50310083E8</v>
      </c>
      <c r="T1255" s="25" t="str">
        <f>"－"</f>
        <v>－</v>
      </c>
      <c r="U1255" s="3" t="s">
        <v>314</v>
      </c>
      <c r="V1255" s="27" t="n">
        <f>2893740000</f>
        <v>2.89374E9</v>
      </c>
      <c r="W1255" s="3" t="s">
        <v>156</v>
      </c>
      <c r="X1255" s="27" t="n">
        <f>76170000</f>
        <v>7.617E7</v>
      </c>
      <c r="Y1255" s="27" t="n">
        <f>23067</f>
        <v>23067.0</v>
      </c>
      <c r="Z1255" s="25" t="str">
        <f>"－"</f>
        <v>－</v>
      </c>
      <c r="AA1255" s="25" t="n">
        <f>7216</f>
        <v>7216.0</v>
      </c>
      <c r="AB1255" s="2" t="s">
        <v>1094</v>
      </c>
      <c r="AC1255" s="26" t="n">
        <f>16571</f>
        <v>16571.0</v>
      </c>
      <c r="AD1255" s="3" t="s">
        <v>963</v>
      </c>
      <c r="AE1255" s="27" t="n">
        <f>2277</f>
        <v>2277.0</v>
      </c>
    </row>
    <row r="1256">
      <c r="A1256" s="20" t="s">
        <v>2191</v>
      </c>
      <c r="B1256" s="21" t="s">
        <v>2192</v>
      </c>
      <c r="C1256" s="22" t="s">
        <v>1768</v>
      </c>
      <c r="D1256" s="23" t="s">
        <v>1769</v>
      </c>
      <c r="E1256" s="24" t="s">
        <v>357</v>
      </c>
      <c r="F1256" s="28" t="n">
        <f>121</f>
        <v>121.0</v>
      </c>
      <c r="G1256" s="25" t="n">
        <f>536639</f>
        <v>536639.0</v>
      </c>
      <c r="H1256" s="25"/>
      <c r="I1256" s="25" t="str">
        <f>"－"</f>
        <v>－</v>
      </c>
      <c r="J1256" s="25" t="n">
        <f>4435</f>
        <v>4435.0</v>
      </c>
      <c r="K1256" s="25" t="str">
        <f>"－"</f>
        <v>－</v>
      </c>
      <c r="L1256" s="2" t="s">
        <v>314</v>
      </c>
      <c r="M1256" s="26" t="n">
        <f>8888</f>
        <v>8888.0</v>
      </c>
      <c r="N1256" s="3" t="s">
        <v>156</v>
      </c>
      <c r="O1256" s="27" t="n">
        <f>1070</f>
        <v>1070.0</v>
      </c>
      <c r="P1256" s="29" t="s">
        <v>2263</v>
      </c>
      <c r="Q1256" s="25"/>
      <c r="R1256" s="29" t="s">
        <v>262</v>
      </c>
      <c r="S1256" s="25" t="n">
        <f>1227000579</f>
        <v>1.227000579E9</v>
      </c>
      <c r="T1256" s="25" t="str">
        <f>"－"</f>
        <v>－</v>
      </c>
      <c r="U1256" s="3" t="s">
        <v>314</v>
      </c>
      <c r="V1256" s="27" t="n">
        <f>4227870000</f>
        <v>4.22787E9</v>
      </c>
      <c r="W1256" s="3" t="s">
        <v>156</v>
      </c>
      <c r="X1256" s="27" t="n">
        <f>337650000</f>
        <v>3.3765E8</v>
      </c>
      <c r="Y1256" s="27" t="n">
        <f>25530</f>
        <v>25530.0</v>
      </c>
      <c r="Z1256" s="25" t="str">
        <f>"－"</f>
        <v>－</v>
      </c>
      <c r="AA1256" s="25" t="n">
        <f>35244</f>
        <v>35244.0</v>
      </c>
      <c r="AB1256" s="2" t="s">
        <v>249</v>
      </c>
      <c r="AC1256" s="26" t="n">
        <f>43531</f>
        <v>43531.0</v>
      </c>
      <c r="AD1256" s="3" t="s">
        <v>963</v>
      </c>
      <c r="AE1256" s="27" t="n">
        <f>11102</f>
        <v>11102.0</v>
      </c>
    </row>
    <row r="1257">
      <c r="A1257" s="20" t="s">
        <v>2191</v>
      </c>
      <c r="B1257" s="21" t="s">
        <v>2192</v>
      </c>
      <c r="C1257" s="22" t="s">
        <v>1760</v>
      </c>
      <c r="D1257" s="23" t="s">
        <v>1761</v>
      </c>
      <c r="E1257" s="24" t="s">
        <v>361</v>
      </c>
      <c r="F1257" s="28" t="n">
        <f>125</f>
        <v>125.0</v>
      </c>
      <c r="G1257" s="25" t="n">
        <f>320617</f>
        <v>320617.0</v>
      </c>
      <c r="H1257" s="25"/>
      <c r="I1257" s="25" t="str">
        <f>"－"</f>
        <v>－</v>
      </c>
      <c r="J1257" s="25" t="n">
        <f>2565</f>
        <v>2565.0</v>
      </c>
      <c r="K1257" s="25" t="str">
        <f>"－"</f>
        <v>－</v>
      </c>
      <c r="L1257" s="2" t="s">
        <v>524</v>
      </c>
      <c r="M1257" s="26" t="n">
        <f>5549</f>
        <v>5549.0</v>
      </c>
      <c r="N1257" s="3" t="s">
        <v>295</v>
      </c>
      <c r="O1257" s="27" t="n">
        <f>168</f>
        <v>168.0</v>
      </c>
      <c r="P1257" s="29" t="s">
        <v>2264</v>
      </c>
      <c r="Q1257" s="25"/>
      <c r="R1257" s="29" t="s">
        <v>262</v>
      </c>
      <c r="S1257" s="25" t="n">
        <f>535878080</f>
        <v>5.3587808E8</v>
      </c>
      <c r="T1257" s="25" t="str">
        <f>"－"</f>
        <v>－</v>
      </c>
      <c r="U1257" s="3" t="s">
        <v>309</v>
      </c>
      <c r="V1257" s="27" t="n">
        <f>1987610000</f>
        <v>1.98761E9</v>
      </c>
      <c r="W1257" s="3" t="s">
        <v>295</v>
      </c>
      <c r="X1257" s="27" t="n">
        <f>58890000</f>
        <v>5.889E7</v>
      </c>
      <c r="Y1257" s="27" t="n">
        <f>8411</f>
        <v>8411.0</v>
      </c>
      <c r="Z1257" s="25" t="str">
        <f>"－"</f>
        <v>－</v>
      </c>
      <c r="AA1257" s="25" t="n">
        <f>11701</f>
        <v>11701.0</v>
      </c>
      <c r="AB1257" s="2" t="s">
        <v>1469</v>
      </c>
      <c r="AC1257" s="26" t="n">
        <f>29061</f>
        <v>29061.0</v>
      </c>
      <c r="AD1257" s="3" t="s">
        <v>259</v>
      </c>
      <c r="AE1257" s="27" t="n">
        <f>4956</f>
        <v>4956.0</v>
      </c>
    </row>
    <row r="1258">
      <c r="A1258" s="20" t="s">
        <v>2191</v>
      </c>
      <c r="B1258" s="21" t="s">
        <v>2192</v>
      </c>
      <c r="C1258" s="22" t="s">
        <v>1764</v>
      </c>
      <c r="D1258" s="23" t="s">
        <v>1765</v>
      </c>
      <c r="E1258" s="24" t="s">
        <v>361</v>
      </c>
      <c r="F1258" s="28" t="n">
        <f>125</f>
        <v>125.0</v>
      </c>
      <c r="G1258" s="25" t="n">
        <f>204979</f>
        <v>204979.0</v>
      </c>
      <c r="H1258" s="25"/>
      <c r="I1258" s="25" t="str">
        <f>"－"</f>
        <v>－</v>
      </c>
      <c r="J1258" s="25" t="n">
        <f>1640</f>
        <v>1640.0</v>
      </c>
      <c r="K1258" s="25" t="str">
        <f>"－"</f>
        <v>－</v>
      </c>
      <c r="L1258" s="2" t="s">
        <v>49</v>
      </c>
      <c r="M1258" s="26" t="n">
        <f>3565</f>
        <v>3565.0</v>
      </c>
      <c r="N1258" s="3" t="s">
        <v>295</v>
      </c>
      <c r="O1258" s="27" t="n">
        <f>73</f>
        <v>73.0</v>
      </c>
      <c r="P1258" s="29" t="s">
        <v>2265</v>
      </c>
      <c r="Q1258" s="25"/>
      <c r="R1258" s="29" t="s">
        <v>262</v>
      </c>
      <c r="S1258" s="25" t="n">
        <f>350339360</f>
        <v>3.5033936E8</v>
      </c>
      <c r="T1258" s="25" t="str">
        <f>"－"</f>
        <v>－</v>
      </c>
      <c r="U1258" s="3" t="s">
        <v>444</v>
      </c>
      <c r="V1258" s="27" t="n">
        <f>1149640000</f>
        <v>1.14964E9</v>
      </c>
      <c r="W1258" s="3" t="s">
        <v>295</v>
      </c>
      <c r="X1258" s="27" t="n">
        <f>32370000</f>
        <v>3.237E7</v>
      </c>
      <c r="Y1258" s="27" t="n">
        <f>8847</f>
        <v>8847.0</v>
      </c>
      <c r="Z1258" s="25" t="str">
        <f>"－"</f>
        <v>－</v>
      </c>
      <c r="AA1258" s="25" t="n">
        <f>4599</f>
        <v>4599.0</v>
      </c>
      <c r="AB1258" s="2" t="s">
        <v>1469</v>
      </c>
      <c r="AC1258" s="26" t="n">
        <f>14075</f>
        <v>14075.0</v>
      </c>
      <c r="AD1258" s="3" t="s">
        <v>302</v>
      </c>
      <c r="AE1258" s="27" t="n">
        <f>3896</f>
        <v>3896.0</v>
      </c>
    </row>
    <row r="1259">
      <c r="A1259" s="20" t="s">
        <v>2191</v>
      </c>
      <c r="B1259" s="21" t="s">
        <v>2192</v>
      </c>
      <c r="C1259" s="22" t="s">
        <v>1768</v>
      </c>
      <c r="D1259" s="23" t="s">
        <v>1769</v>
      </c>
      <c r="E1259" s="24" t="s">
        <v>361</v>
      </c>
      <c r="F1259" s="28" t="n">
        <f>125</f>
        <v>125.0</v>
      </c>
      <c r="G1259" s="25" t="n">
        <f>525596</f>
        <v>525596.0</v>
      </c>
      <c r="H1259" s="25"/>
      <c r="I1259" s="25" t="str">
        <f>"－"</f>
        <v>－</v>
      </c>
      <c r="J1259" s="25" t="n">
        <f>4205</f>
        <v>4205.0</v>
      </c>
      <c r="K1259" s="25" t="str">
        <f>"－"</f>
        <v>－</v>
      </c>
      <c r="L1259" s="2" t="s">
        <v>524</v>
      </c>
      <c r="M1259" s="26" t="n">
        <f>8045</f>
        <v>8045.0</v>
      </c>
      <c r="N1259" s="3" t="s">
        <v>295</v>
      </c>
      <c r="O1259" s="27" t="n">
        <f>241</f>
        <v>241.0</v>
      </c>
      <c r="P1259" s="29" t="s">
        <v>2266</v>
      </c>
      <c r="Q1259" s="25"/>
      <c r="R1259" s="29" t="s">
        <v>262</v>
      </c>
      <c r="S1259" s="25" t="n">
        <f>886217440</f>
        <v>8.8621744E8</v>
      </c>
      <c r="T1259" s="25" t="str">
        <f>"－"</f>
        <v>－</v>
      </c>
      <c r="U1259" s="3" t="s">
        <v>309</v>
      </c>
      <c r="V1259" s="27" t="n">
        <f>2745690000</f>
        <v>2.74569E9</v>
      </c>
      <c r="W1259" s="3" t="s">
        <v>295</v>
      </c>
      <c r="X1259" s="27" t="n">
        <f>91260000</f>
        <v>9.126E7</v>
      </c>
      <c r="Y1259" s="27" t="n">
        <f>17258</f>
        <v>17258.0</v>
      </c>
      <c r="Z1259" s="25" t="str">
        <f>"－"</f>
        <v>－</v>
      </c>
      <c r="AA1259" s="25" t="n">
        <f>16300</f>
        <v>16300.0</v>
      </c>
      <c r="AB1259" s="2" t="s">
        <v>1469</v>
      </c>
      <c r="AC1259" s="26" t="n">
        <f>43136</f>
        <v>43136.0</v>
      </c>
      <c r="AD1259" s="3" t="s">
        <v>259</v>
      </c>
      <c r="AE1259" s="27" t="n">
        <f>9148</f>
        <v>9148.0</v>
      </c>
    </row>
    <row r="1260">
      <c r="A1260" s="20" t="s">
        <v>2191</v>
      </c>
      <c r="B1260" s="21" t="s">
        <v>2192</v>
      </c>
      <c r="C1260" s="22" t="s">
        <v>1760</v>
      </c>
      <c r="D1260" s="23" t="s">
        <v>1761</v>
      </c>
      <c r="E1260" s="24" t="s">
        <v>365</v>
      </c>
      <c r="F1260" s="28" t="n">
        <f>120</f>
        <v>120.0</v>
      </c>
      <c r="G1260" s="25" t="n">
        <f>321558</f>
        <v>321558.0</v>
      </c>
      <c r="H1260" s="25"/>
      <c r="I1260" s="25" t="str">
        <f>"－"</f>
        <v>－</v>
      </c>
      <c r="J1260" s="25" t="n">
        <f>2680</f>
        <v>2680.0</v>
      </c>
      <c r="K1260" s="25" t="str">
        <f>"－"</f>
        <v>－</v>
      </c>
      <c r="L1260" s="2" t="s">
        <v>176</v>
      </c>
      <c r="M1260" s="26" t="n">
        <f>7289</f>
        <v>7289.0</v>
      </c>
      <c r="N1260" s="3" t="s">
        <v>1531</v>
      </c>
      <c r="O1260" s="27" t="n">
        <f>817</f>
        <v>817.0</v>
      </c>
      <c r="P1260" s="29" t="s">
        <v>2267</v>
      </c>
      <c r="Q1260" s="25"/>
      <c r="R1260" s="29" t="s">
        <v>262</v>
      </c>
      <c r="S1260" s="25" t="n">
        <f>510135833</f>
        <v>5.10135833E8</v>
      </c>
      <c r="T1260" s="25" t="str">
        <f>"－"</f>
        <v>－</v>
      </c>
      <c r="U1260" s="3" t="s">
        <v>305</v>
      </c>
      <c r="V1260" s="27" t="n">
        <f>2800090000</f>
        <v>2.80009E9</v>
      </c>
      <c r="W1260" s="3" t="s">
        <v>1531</v>
      </c>
      <c r="X1260" s="27" t="n">
        <f>99210000</f>
        <v>9.921E7</v>
      </c>
      <c r="Y1260" s="27" t="n">
        <f>10202</f>
        <v>10202.0</v>
      </c>
      <c r="Z1260" s="25" t="str">
        <f>"－"</f>
        <v>－</v>
      </c>
      <c r="AA1260" s="25" t="n">
        <f>33889</f>
        <v>33889.0</v>
      </c>
      <c r="AB1260" s="2" t="s">
        <v>754</v>
      </c>
      <c r="AC1260" s="26" t="n">
        <f>36775</f>
        <v>36775.0</v>
      </c>
      <c r="AD1260" s="3" t="s">
        <v>314</v>
      </c>
      <c r="AE1260" s="27" t="n">
        <f>7078</f>
        <v>7078.0</v>
      </c>
    </row>
    <row r="1261">
      <c r="A1261" s="20" t="s">
        <v>2191</v>
      </c>
      <c r="B1261" s="21" t="s">
        <v>2192</v>
      </c>
      <c r="C1261" s="22" t="s">
        <v>1764</v>
      </c>
      <c r="D1261" s="23" t="s">
        <v>1765</v>
      </c>
      <c r="E1261" s="24" t="s">
        <v>365</v>
      </c>
      <c r="F1261" s="28" t="n">
        <f>120</f>
        <v>120.0</v>
      </c>
      <c r="G1261" s="25" t="n">
        <f>208210</f>
        <v>208210.0</v>
      </c>
      <c r="H1261" s="25"/>
      <c r="I1261" s="25" t="str">
        <f>"－"</f>
        <v>－</v>
      </c>
      <c r="J1261" s="25" t="n">
        <f>1735</f>
        <v>1735.0</v>
      </c>
      <c r="K1261" s="25" t="str">
        <f>"－"</f>
        <v>－</v>
      </c>
      <c r="L1261" s="2" t="s">
        <v>754</v>
      </c>
      <c r="M1261" s="26" t="n">
        <f>5332</f>
        <v>5332.0</v>
      </c>
      <c r="N1261" s="3" t="s">
        <v>323</v>
      </c>
      <c r="O1261" s="27" t="n">
        <f>478</f>
        <v>478.0</v>
      </c>
      <c r="P1261" s="29" t="s">
        <v>2268</v>
      </c>
      <c r="Q1261" s="25"/>
      <c r="R1261" s="29" t="s">
        <v>262</v>
      </c>
      <c r="S1261" s="25" t="n">
        <f>355695667</f>
        <v>3.55695667E8</v>
      </c>
      <c r="T1261" s="25" t="str">
        <f>"－"</f>
        <v>－</v>
      </c>
      <c r="U1261" s="3" t="s">
        <v>131</v>
      </c>
      <c r="V1261" s="27" t="n">
        <f>1326860000</f>
        <v>1.32686E9</v>
      </c>
      <c r="W1261" s="3" t="s">
        <v>1089</v>
      </c>
      <c r="X1261" s="27" t="n">
        <f>82000000</f>
        <v>8.2E7</v>
      </c>
      <c r="Y1261" s="27" t="n">
        <f>21222</f>
        <v>21222.0</v>
      </c>
      <c r="Z1261" s="25" t="str">
        <f>"－"</f>
        <v>－</v>
      </c>
      <c r="AA1261" s="25" t="n">
        <f>6654</f>
        <v>6654.0</v>
      </c>
      <c r="AB1261" s="2" t="s">
        <v>305</v>
      </c>
      <c r="AC1261" s="26" t="n">
        <f>15414</f>
        <v>15414.0</v>
      </c>
      <c r="AD1261" s="3" t="s">
        <v>314</v>
      </c>
      <c r="AE1261" s="27" t="n">
        <f>3355</f>
        <v>3355.0</v>
      </c>
    </row>
    <row r="1262">
      <c r="A1262" s="20" t="s">
        <v>2191</v>
      </c>
      <c r="B1262" s="21" t="s">
        <v>2192</v>
      </c>
      <c r="C1262" s="22" t="s">
        <v>1768</v>
      </c>
      <c r="D1262" s="23" t="s">
        <v>1769</v>
      </c>
      <c r="E1262" s="24" t="s">
        <v>365</v>
      </c>
      <c r="F1262" s="28" t="n">
        <f>120</f>
        <v>120.0</v>
      </c>
      <c r="G1262" s="25" t="n">
        <f>529768</f>
        <v>529768.0</v>
      </c>
      <c r="H1262" s="25"/>
      <c r="I1262" s="25" t="str">
        <f>"－"</f>
        <v>－</v>
      </c>
      <c r="J1262" s="25" t="n">
        <f>4415</f>
        <v>4415.0</v>
      </c>
      <c r="K1262" s="25" t="str">
        <f>"－"</f>
        <v>－</v>
      </c>
      <c r="L1262" s="2" t="s">
        <v>176</v>
      </c>
      <c r="M1262" s="26" t="n">
        <f>9725</f>
        <v>9725.0</v>
      </c>
      <c r="N1262" s="3" t="s">
        <v>625</v>
      </c>
      <c r="O1262" s="27" t="n">
        <f>1648</f>
        <v>1648.0</v>
      </c>
      <c r="P1262" s="29" t="s">
        <v>2269</v>
      </c>
      <c r="Q1262" s="25"/>
      <c r="R1262" s="29" t="s">
        <v>262</v>
      </c>
      <c r="S1262" s="25" t="n">
        <f>865831500</f>
        <v>8.658315E8</v>
      </c>
      <c r="T1262" s="25" t="str">
        <f>"－"</f>
        <v>－</v>
      </c>
      <c r="U1262" s="3" t="s">
        <v>305</v>
      </c>
      <c r="V1262" s="27" t="n">
        <f>3225850000</f>
        <v>3.22585E9</v>
      </c>
      <c r="W1262" s="3" t="s">
        <v>1089</v>
      </c>
      <c r="X1262" s="27" t="n">
        <f>275270000</f>
        <v>2.7527E8</v>
      </c>
      <c r="Y1262" s="27" t="n">
        <f>31424</f>
        <v>31424.0</v>
      </c>
      <c r="Z1262" s="25" t="str">
        <f>"－"</f>
        <v>－</v>
      </c>
      <c r="AA1262" s="25" t="n">
        <f>40543</f>
        <v>40543.0</v>
      </c>
      <c r="AB1262" s="2" t="s">
        <v>468</v>
      </c>
      <c r="AC1262" s="26" t="n">
        <f>49612</f>
        <v>49612.0</v>
      </c>
      <c r="AD1262" s="3" t="s">
        <v>314</v>
      </c>
      <c r="AE1262" s="27" t="n">
        <f>10433</f>
        <v>10433.0</v>
      </c>
    </row>
    <row r="1263">
      <c r="A1263" s="20" t="s">
        <v>2191</v>
      </c>
      <c r="B1263" s="21" t="s">
        <v>2192</v>
      </c>
      <c r="C1263" s="22" t="s">
        <v>1760</v>
      </c>
      <c r="D1263" s="23" t="s">
        <v>1761</v>
      </c>
      <c r="E1263" s="24" t="s">
        <v>370</v>
      </c>
      <c r="F1263" s="28" t="n">
        <f>126</f>
        <v>126.0</v>
      </c>
      <c r="G1263" s="25" t="n">
        <f>298820</f>
        <v>298820.0</v>
      </c>
      <c r="H1263" s="25"/>
      <c r="I1263" s="25" t="str">
        <f>"－"</f>
        <v>－</v>
      </c>
      <c r="J1263" s="25" t="n">
        <f>2372</f>
        <v>2372.0</v>
      </c>
      <c r="K1263" s="25" t="str">
        <f>"－"</f>
        <v>－</v>
      </c>
      <c r="L1263" s="2" t="s">
        <v>295</v>
      </c>
      <c r="M1263" s="26" t="n">
        <f>6431</f>
        <v>6431.0</v>
      </c>
      <c r="N1263" s="3" t="s">
        <v>129</v>
      </c>
      <c r="O1263" s="27" t="n">
        <f>167</f>
        <v>167.0</v>
      </c>
      <c r="P1263" s="29" t="s">
        <v>2270</v>
      </c>
      <c r="Q1263" s="25"/>
      <c r="R1263" s="29" t="s">
        <v>262</v>
      </c>
      <c r="S1263" s="25" t="n">
        <f>386364683</f>
        <v>3.86364683E8</v>
      </c>
      <c r="T1263" s="25" t="str">
        <f>"－"</f>
        <v>－</v>
      </c>
      <c r="U1263" s="3" t="s">
        <v>705</v>
      </c>
      <c r="V1263" s="27" t="n">
        <f>1732380000</f>
        <v>1.73238E9</v>
      </c>
      <c r="W1263" s="3" t="s">
        <v>129</v>
      </c>
      <c r="X1263" s="27" t="n">
        <f>20300000</f>
        <v>2.03E7</v>
      </c>
      <c r="Y1263" s="27" t="n">
        <f>6817</f>
        <v>6817.0</v>
      </c>
      <c r="Z1263" s="25" t="str">
        <f>"－"</f>
        <v>－</v>
      </c>
      <c r="AA1263" s="25" t="n">
        <f>11497</f>
        <v>11497.0</v>
      </c>
      <c r="AB1263" s="2" t="s">
        <v>80</v>
      </c>
      <c r="AC1263" s="26" t="n">
        <f>34045</f>
        <v>34045.0</v>
      </c>
      <c r="AD1263" s="3" t="s">
        <v>735</v>
      </c>
      <c r="AE1263" s="27" t="n">
        <f>5530</f>
        <v>5530.0</v>
      </c>
    </row>
    <row r="1264">
      <c r="A1264" s="20" t="s">
        <v>2191</v>
      </c>
      <c r="B1264" s="21" t="s">
        <v>2192</v>
      </c>
      <c r="C1264" s="22" t="s">
        <v>1764</v>
      </c>
      <c r="D1264" s="23" t="s">
        <v>1765</v>
      </c>
      <c r="E1264" s="24" t="s">
        <v>370</v>
      </c>
      <c r="F1264" s="28" t="n">
        <f>126</f>
        <v>126.0</v>
      </c>
      <c r="G1264" s="25" t="n">
        <f>207807</f>
        <v>207807.0</v>
      </c>
      <c r="H1264" s="25"/>
      <c r="I1264" s="25" t="str">
        <f>"－"</f>
        <v>－</v>
      </c>
      <c r="J1264" s="25" t="n">
        <f>1649</f>
        <v>1649.0</v>
      </c>
      <c r="K1264" s="25" t="str">
        <f>"－"</f>
        <v>－</v>
      </c>
      <c r="L1264" s="2" t="s">
        <v>80</v>
      </c>
      <c r="M1264" s="26" t="n">
        <f>6775</f>
        <v>6775.0</v>
      </c>
      <c r="N1264" s="3" t="s">
        <v>114</v>
      </c>
      <c r="O1264" s="27" t="n">
        <f>379</f>
        <v>379.0</v>
      </c>
      <c r="P1264" s="29" t="s">
        <v>2271</v>
      </c>
      <c r="Q1264" s="25"/>
      <c r="R1264" s="29" t="s">
        <v>262</v>
      </c>
      <c r="S1264" s="25" t="n">
        <f>388965714</f>
        <v>3.88965714E8</v>
      </c>
      <c r="T1264" s="25" t="str">
        <f>"－"</f>
        <v>－</v>
      </c>
      <c r="U1264" s="3" t="s">
        <v>80</v>
      </c>
      <c r="V1264" s="27" t="n">
        <f>7193380000</f>
        <v>7.19338E9</v>
      </c>
      <c r="W1264" s="3" t="s">
        <v>498</v>
      </c>
      <c r="X1264" s="27" t="n">
        <f>56530000</f>
        <v>5.653E7</v>
      </c>
      <c r="Y1264" s="27" t="n">
        <f>20435</f>
        <v>20435.0</v>
      </c>
      <c r="Z1264" s="25" t="str">
        <f>"－"</f>
        <v>－</v>
      </c>
      <c r="AA1264" s="25" t="n">
        <f>4920</f>
        <v>4920.0</v>
      </c>
      <c r="AB1264" s="2" t="s">
        <v>1259</v>
      </c>
      <c r="AC1264" s="26" t="n">
        <f>12151</f>
        <v>12151.0</v>
      </c>
      <c r="AD1264" s="3" t="s">
        <v>562</v>
      </c>
      <c r="AE1264" s="27" t="n">
        <f>3353</f>
        <v>3353.0</v>
      </c>
    </row>
    <row r="1265">
      <c r="A1265" s="20" t="s">
        <v>2191</v>
      </c>
      <c r="B1265" s="21" t="s">
        <v>2192</v>
      </c>
      <c r="C1265" s="22" t="s">
        <v>1768</v>
      </c>
      <c r="D1265" s="23" t="s">
        <v>1769</v>
      </c>
      <c r="E1265" s="24" t="s">
        <v>370</v>
      </c>
      <c r="F1265" s="28" t="n">
        <f>126</f>
        <v>126.0</v>
      </c>
      <c r="G1265" s="25" t="n">
        <f>506627</f>
        <v>506627.0</v>
      </c>
      <c r="H1265" s="25"/>
      <c r="I1265" s="25" t="str">
        <f>"－"</f>
        <v>－</v>
      </c>
      <c r="J1265" s="25" t="n">
        <f>4021</f>
        <v>4021.0</v>
      </c>
      <c r="K1265" s="25" t="str">
        <f>"－"</f>
        <v>－</v>
      </c>
      <c r="L1265" s="2" t="s">
        <v>80</v>
      </c>
      <c r="M1265" s="26" t="n">
        <f>10874</f>
        <v>10874.0</v>
      </c>
      <c r="N1265" s="3" t="s">
        <v>129</v>
      </c>
      <c r="O1265" s="27" t="n">
        <f>660</f>
        <v>660.0</v>
      </c>
      <c r="P1265" s="29" t="s">
        <v>2272</v>
      </c>
      <c r="Q1265" s="25"/>
      <c r="R1265" s="29" t="s">
        <v>262</v>
      </c>
      <c r="S1265" s="25" t="n">
        <f>775330397</f>
        <v>7.75330397E8</v>
      </c>
      <c r="T1265" s="25" t="str">
        <f>"－"</f>
        <v>－</v>
      </c>
      <c r="U1265" s="3" t="s">
        <v>80</v>
      </c>
      <c r="V1265" s="27" t="n">
        <f>7858100000</f>
        <v>7.8581E9</v>
      </c>
      <c r="W1265" s="3" t="s">
        <v>129</v>
      </c>
      <c r="X1265" s="27" t="n">
        <f>134150000</f>
        <v>1.3415E8</v>
      </c>
      <c r="Y1265" s="27" t="n">
        <f>27252</f>
        <v>27252.0</v>
      </c>
      <c r="Z1265" s="25" t="str">
        <f>"－"</f>
        <v>－</v>
      </c>
      <c r="AA1265" s="25" t="n">
        <f>16417</f>
        <v>16417.0</v>
      </c>
      <c r="AB1265" s="2" t="s">
        <v>1259</v>
      </c>
      <c r="AC1265" s="26" t="n">
        <f>43433</f>
        <v>43433.0</v>
      </c>
      <c r="AD1265" s="3" t="s">
        <v>735</v>
      </c>
      <c r="AE1265" s="27" t="n">
        <f>8924</f>
        <v>8924.0</v>
      </c>
    </row>
    <row r="1266">
      <c r="A1266" s="20" t="s">
        <v>2191</v>
      </c>
      <c r="B1266" s="21" t="s">
        <v>2192</v>
      </c>
      <c r="C1266" s="22" t="s">
        <v>1760</v>
      </c>
      <c r="D1266" s="23" t="s">
        <v>1761</v>
      </c>
      <c r="E1266" s="24" t="s">
        <v>374</v>
      </c>
      <c r="F1266" s="28" t="n">
        <f>121</f>
        <v>121.0</v>
      </c>
      <c r="G1266" s="25" t="n">
        <f>324395</f>
        <v>324395.0</v>
      </c>
      <c r="H1266" s="25"/>
      <c r="I1266" s="25" t="str">
        <f>"－"</f>
        <v>－</v>
      </c>
      <c r="J1266" s="25" t="n">
        <f>2681</f>
        <v>2681.0</v>
      </c>
      <c r="K1266" s="25" t="str">
        <f>"－"</f>
        <v>－</v>
      </c>
      <c r="L1266" s="2" t="s">
        <v>468</v>
      </c>
      <c r="M1266" s="26" t="n">
        <f>11180</f>
        <v>11180.0</v>
      </c>
      <c r="N1266" s="3" t="s">
        <v>217</v>
      </c>
      <c r="O1266" s="27" t="n">
        <f>719</f>
        <v>719.0</v>
      </c>
      <c r="P1266" s="29" t="s">
        <v>2273</v>
      </c>
      <c r="Q1266" s="25"/>
      <c r="R1266" s="29" t="s">
        <v>262</v>
      </c>
      <c r="S1266" s="25" t="n">
        <f>449498843</f>
        <v>4.49498843E8</v>
      </c>
      <c r="T1266" s="25" t="str">
        <f>"－"</f>
        <v>－</v>
      </c>
      <c r="U1266" s="3" t="s">
        <v>251</v>
      </c>
      <c r="V1266" s="27" t="n">
        <f>7849750000</f>
        <v>7.84975E9</v>
      </c>
      <c r="W1266" s="3" t="s">
        <v>217</v>
      </c>
      <c r="X1266" s="27" t="n">
        <f>54870000</f>
        <v>5.487E7</v>
      </c>
      <c r="Y1266" s="27" t="n">
        <f>14711</f>
        <v>14711.0</v>
      </c>
      <c r="Z1266" s="25" t="str">
        <f>"－"</f>
        <v>－</v>
      </c>
      <c r="AA1266" s="25" t="n">
        <f>18178</f>
        <v>18178.0</v>
      </c>
      <c r="AB1266" s="2" t="s">
        <v>468</v>
      </c>
      <c r="AC1266" s="26" t="n">
        <f>45618</f>
        <v>45618.0</v>
      </c>
      <c r="AD1266" s="3" t="s">
        <v>316</v>
      </c>
      <c r="AE1266" s="27" t="n">
        <f>5541</f>
        <v>5541.0</v>
      </c>
    </row>
    <row r="1267">
      <c r="A1267" s="20" t="s">
        <v>2191</v>
      </c>
      <c r="B1267" s="21" t="s">
        <v>2192</v>
      </c>
      <c r="C1267" s="22" t="s">
        <v>1764</v>
      </c>
      <c r="D1267" s="23" t="s">
        <v>1765</v>
      </c>
      <c r="E1267" s="24" t="s">
        <v>374</v>
      </c>
      <c r="F1267" s="28" t="n">
        <f>121</f>
        <v>121.0</v>
      </c>
      <c r="G1267" s="25" t="n">
        <f>172305</f>
        <v>172305.0</v>
      </c>
      <c r="H1267" s="25"/>
      <c r="I1267" s="25" t="str">
        <f>"－"</f>
        <v>－</v>
      </c>
      <c r="J1267" s="25" t="n">
        <f>1424</f>
        <v>1424.0</v>
      </c>
      <c r="K1267" s="25" t="str">
        <f>"－"</f>
        <v>－</v>
      </c>
      <c r="L1267" s="2" t="s">
        <v>468</v>
      </c>
      <c r="M1267" s="26" t="n">
        <f>8683</f>
        <v>8683.0</v>
      </c>
      <c r="N1267" s="3" t="s">
        <v>773</v>
      </c>
      <c r="O1267" s="27" t="n">
        <f>225</f>
        <v>225.0</v>
      </c>
      <c r="P1267" s="29" t="s">
        <v>2274</v>
      </c>
      <c r="Q1267" s="25"/>
      <c r="R1267" s="29" t="s">
        <v>262</v>
      </c>
      <c r="S1267" s="25" t="n">
        <f>330264628</f>
        <v>3.30264628E8</v>
      </c>
      <c r="T1267" s="25" t="str">
        <f>"－"</f>
        <v>－</v>
      </c>
      <c r="U1267" s="3" t="s">
        <v>468</v>
      </c>
      <c r="V1267" s="27" t="n">
        <f>6456950000</f>
        <v>6.45695E9</v>
      </c>
      <c r="W1267" s="3" t="s">
        <v>1153</v>
      </c>
      <c r="X1267" s="27" t="n">
        <f>28040000</f>
        <v>2.804E7</v>
      </c>
      <c r="Y1267" s="27" t="n">
        <f>24644</f>
        <v>24644.0</v>
      </c>
      <c r="Z1267" s="25" t="str">
        <f>"－"</f>
        <v>－</v>
      </c>
      <c r="AA1267" s="25" t="n">
        <f>17840</f>
        <v>17840.0</v>
      </c>
      <c r="AB1267" s="2" t="s">
        <v>251</v>
      </c>
      <c r="AC1267" s="26" t="n">
        <f>17840</f>
        <v>17840.0</v>
      </c>
      <c r="AD1267" s="3" t="s">
        <v>316</v>
      </c>
      <c r="AE1267" s="27" t="n">
        <f>1737</f>
        <v>1737.0</v>
      </c>
    </row>
    <row r="1268">
      <c r="A1268" s="20" t="s">
        <v>2191</v>
      </c>
      <c r="B1268" s="21" t="s">
        <v>2192</v>
      </c>
      <c r="C1268" s="22" t="s">
        <v>1768</v>
      </c>
      <c r="D1268" s="23" t="s">
        <v>1769</v>
      </c>
      <c r="E1268" s="24" t="s">
        <v>374</v>
      </c>
      <c r="F1268" s="28" t="n">
        <f>121</f>
        <v>121.0</v>
      </c>
      <c r="G1268" s="25" t="n">
        <f>496700</f>
        <v>496700.0</v>
      </c>
      <c r="H1268" s="25"/>
      <c r="I1268" s="25" t="str">
        <f>"－"</f>
        <v>－</v>
      </c>
      <c r="J1268" s="25" t="n">
        <f>4105</f>
        <v>4105.0</v>
      </c>
      <c r="K1268" s="25" t="str">
        <f>"－"</f>
        <v>－</v>
      </c>
      <c r="L1268" s="2" t="s">
        <v>468</v>
      </c>
      <c r="M1268" s="26" t="n">
        <f>19863</f>
        <v>19863.0</v>
      </c>
      <c r="N1268" s="3" t="s">
        <v>773</v>
      </c>
      <c r="O1268" s="27" t="n">
        <f>1049</f>
        <v>1049.0</v>
      </c>
      <c r="P1268" s="29" t="s">
        <v>2275</v>
      </c>
      <c r="Q1268" s="25"/>
      <c r="R1268" s="29" t="s">
        <v>262</v>
      </c>
      <c r="S1268" s="25" t="n">
        <f>779763471</f>
        <v>7.79763471E8</v>
      </c>
      <c r="T1268" s="25" t="str">
        <f>"－"</f>
        <v>－</v>
      </c>
      <c r="U1268" s="3" t="s">
        <v>251</v>
      </c>
      <c r="V1268" s="27" t="n">
        <f>8266510000</f>
        <v>8.26651E9</v>
      </c>
      <c r="W1268" s="3" t="s">
        <v>773</v>
      </c>
      <c r="X1268" s="27" t="n">
        <f>142130000</f>
        <v>1.4213E8</v>
      </c>
      <c r="Y1268" s="27" t="n">
        <f>39355</f>
        <v>39355.0</v>
      </c>
      <c r="Z1268" s="25" t="str">
        <f>"－"</f>
        <v>－</v>
      </c>
      <c r="AA1268" s="25" t="n">
        <f>36018</f>
        <v>36018.0</v>
      </c>
      <c r="AB1268" s="2" t="s">
        <v>249</v>
      </c>
      <c r="AC1268" s="26" t="n">
        <f>52159</f>
        <v>52159.0</v>
      </c>
      <c r="AD1268" s="3" t="s">
        <v>316</v>
      </c>
      <c r="AE1268" s="27" t="n">
        <f>7278</f>
        <v>7278.0</v>
      </c>
    </row>
    <row r="1269">
      <c r="A1269" s="20" t="s">
        <v>2191</v>
      </c>
      <c r="B1269" s="21" t="s">
        <v>2192</v>
      </c>
      <c r="C1269" s="22" t="s">
        <v>1760</v>
      </c>
      <c r="D1269" s="23" t="s">
        <v>1761</v>
      </c>
      <c r="E1269" s="24" t="s">
        <v>379</v>
      </c>
      <c r="F1269" s="28" t="n">
        <f>124</f>
        <v>124.0</v>
      </c>
      <c r="G1269" s="25" t="n">
        <f>264216</f>
        <v>264216.0</v>
      </c>
      <c r="H1269" s="25"/>
      <c r="I1269" s="25" t="str">
        <f>"－"</f>
        <v>－</v>
      </c>
      <c r="J1269" s="25" t="n">
        <f>2131</f>
        <v>2131.0</v>
      </c>
      <c r="K1269" s="25" t="str">
        <f>"－"</f>
        <v>－</v>
      </c>
      <c r="L1269" s="2" t="s">
        <v>633</v>
      </c>
      <c r="M1269" s="26" t="n">
        <f>6477</f>
        <v>6477.0</v>
      </c>
      <c r="N1269" s="3" t="s">
        <v>335</v>
      </c>
      <c r="O1269" s="27" t="n">
        <f>216</f>
        <v>216.0</v>
      </c>
      <c r="P1269" s="29" t="s">
        <v>2276</v>
      </c>
      <c r="Q1269" s="25"/>
      <c r="R1269" s="29" t="s">
        <v>262</v>
      </c>
      <c r="S1269" s="25" t="n">
        <f>1066338952</f>
        <v>1.066338952E9</v>
      </c>
      <c r="T1269" s="25" t="str">
        <f>"－"</f>
        <v>－</v>
      </c>
      <c r="U1269" s="3" t="s">
        <v>1084</v>
      </c>
      <c r="V1269" s="27" t="n">
        <f>17395170000</f>
        <v>1.739517E10</v>
      </c>
      <c r="W1269" s="3" t="s">
        <v>335</v>
      </c>
      <c r="X1269" s="27" t="n">
        <f>55520000</f>
        <v>5.552E7</v>
      </c>
      <c r="Y1269" s="27" t="n">
        <f>29297</f>
        <v>29297.0</v>
      </c>
      <c r="Z1269" s="25" t="str">
        <f>"－"</f>
        <v>－</v>
      </c>
      <c r="AA1269" s="25" t="n">
        <f>11443</f>
        <v>11443.0</v>
      </c>
      <c r="AB1269" s="2" t="s">
        <v>1469</v>
      </c>
      <c r="AC1269" s="26" t="n">
        <f>29680</f>
        <v>29680.0</v>
      </c>
      <c r="AD1269" s="3" t="s">
        <v>735</v>
      </c>
      <c r="AE1269" s="27" t="n">
        <f>3546</f>
        <v>3546.0</v>
      </c>
    </row>
    <row r="1270">
      <c r="A1270" s="20" t="s">
        <v>2191</v>
      </c>
      <c r="B1270" s="21" t="s">
        <v>2192</v>
      </c>
      <c r="C1270" s="22" t="s">
        <v>1764</v>
      </c>
      <c r="D1270" s="23" t="s">
        <v>1765</v>
      </c>
      <c r="E1270" s="24" t="s">
        <v>379</v>
      </c>
      <c r="F1270" s="28" t="n">
        <f>124</f>
        <v>124.0</v>
      </c>
      <c r="G1270" s="25" t="n">
        <f>211602</f>
        <v>211602.0</v>
      </c>
      <c r="H1270" s="25"/>
      <c r="I1270" s="25" t="str">
        <f>"－"</f>
        <v>－</v>
      </c>
      <c r="J1270" s="25" t="n">
        <f>1706</f>
        <v>1706.0</v>
      </c>
      <c r="K1270" s="25" t="str">
        <f>"－"</f>
        <v>－</v>
      </c>
      <c r="L1270" s="2" t="s">
        <v>68</v>
      </c>
      <c r="M1270" s="26" t="n">
        <f>4186</f>
        <v>4186.0</v>
      </c>
      <c r="N1270" s="3" t="s">
        <v>806</v>
      </c>
      <c r="O1270" s="27" t="n">
        <f>112</f>
        <v>112.0</v>
      </c>
      <c r="P1270" s="29" t="s">
        <v>2277</v>
      </c>
      <c r="Q1270" s="25"/>
      <c r="R1270" s="29" t="s">
        <v>262</v>
      </c>
      <c r="S1270" s="25" t="n">
        <f>532014274</f>
        <v>5.32014274E8</v>
      </c>
      <c r="T1270" s="25" t="str">
        <f>"－"</f>
        <v>－</v>
      </c>
      <c r="U1270" s="3" t="s">
        <v>869</v>
      </c>
      <c r="V1270" s="27" t="n">
        <f>2021700000</f>
        <v>2.0217E9</v>
      </c>
      <c r="W1270" s="3" t="s">
        <v>806</v>
      </c>
      <c r="X1270" s="27" t="n">
        <f>24720000</f>
        <v>2.472E7</v>
      </c>
      <c r="Y1270" s="27" t="n">
        <f>14206</f>
        <v>14206.0</v>
      </c>
      <c r="Z1270" s="25" t="str">
        <f>"－"</f>
        <v>－</v>
      </c>
      <c r="AA1270" s="25" t="n">
        <f>5608</f>
        <v>5608.0</v>
      </c>
      <c r="AB1270" s="2" t="s">
        <v>240</v>
      </c>
      <c r="AC1270" s="26" t="n">
        <f>19912</f>
        <v>19912.0</v>
      </c>
      <c r="AD1270" s="3" t="s">
        <v>806</v>
      </c>
      <c r="AE1270" s="27" t="n">
        <f>1317</f>
        <v>1317.0</v>
      </c>
    </row>
    <row r="1271">
      <c r="A1271" s="20" t="s">
        <v>2191</v>
      </c>
      <c r="B1271" s="21" t="s">
        <v>2192</v>
      </c>
      <c r="C1271" s="22" t="s">
        <v>1768</v>
      </c>
      <c r="D1271" s="23" t="s">
        <v>1769</v>
      </c>
      <c r="E1271" s="24" t="s">
        <v>379</v>
      </c>
      <c r="F1271" s="28" t="n">
        <f>124</f>
        <v>124.0</v>
      </c>
      <c r="G1271" s="25" t="n">
        <f>475818</f>
        <v>475818.0</v>
      </c>
      <c r="H1271" s="25"/>
      <c r="I1271" s="25" t="str">
        <f>"－"</f>
        <v>－</v>
      </c>
      <c r="J1271" s="25" t="n">
        <f>3837</f>
        <v>3837.0</v>
      </c>
      <c r="K1271" s="25" t="str">
        <f>"－"</f>
        <v>－</v>
      </c>
      <c r="L1271" s="2" t="s">
        <v>68</v>
      </c>
      <c r="M1271" s="26" t="n">
        <f>10434</f>
        <v>10434.0</v>
      </c>
      <c r="N1271" s="3" t="s">
        <v>806</v>
      </c>
      <c r="O1271" s="27" t="n">
        <f>876</f>
        <v>876.0</v>
      </c>
      <c r="P1271" s="29" t="s">
        <v>2278</v>
      </c>
      <c r="Q1271" s="25"/>
      <c r="R1271" s="29" t="s">
        <v>262</v>
      </c>
      <c r="S1271" s="25" t="n">
        <f>1598353226</f>
        <v>1.598353226E9</v>
      </c>
      <c r="T1271" s="25" t="str">
        <f>"－"</f>
        <v>－</v>
      </c>
      <c r="U1271" s="3" t="s">
        <v>1084</v>
      </c>
      <c r="V1271" s="27" t="n">
        <f>17466200000</f>
        <v>1.74662E10</v>
      </c>
      <c r="W1271" s="3" t="s">
        <v>50</v>
      </c>
      <c r="X1271" s="27" t="n">
        <f>271230000</f>
        <v>2.7123E8</v>
      </c>
      <c r="Y1271" s="27" t="n">
        <f>43503</f>
        <v>43503.0</v>
      </c>
      <c r="Z1271" s="25" t="str">
        <f>"－"</f>
        <v>－</v>
      </c>
      <c r="AA1271" s="25" t="n">
        <f>17051</f>
        <v>17051.0</v>
      </c>
      <c r="AB1271" s="2" t="s">
        <v>1469</v>
      </c>
      <c r="AC1271" s="26" t="n">
        <f>49359</f>
        <v>49359.0</v>
      </c>
      <c r="AD1271" s="3" t="s">
        <v>806</v>
      </c>
      <c r="AE1271" s="27" t="n">
        <f>4931</f>
        <v>4931.0</v>
      </c>
    </row>
    <row r="1272">
      <c r="A1272" s="20" t="s">
        <v>2191</v>
      </c>
      <c r="B1272" s="21" t="s">
        <v>2192</v>
      </c>
      <c r="C1272" s="22" t="s">
        <v>1760</v>
      </c>
      <c r="D1272" s="23" t="s">
        <v>1761</v>
      </c>
      <c r="E1272" s="24" t="s">
        <v>382</v>
      </c>
      <c r="F1272" s="28" t="n">
        <f>122</f>
        <v>122.0</v>
      </c>
      <c r="G1272" s="25" t="n">
        <f>359407</f>
        <v>359407.0</v>
      </c>
      <c r="H1272" s="25"/>
      <c r="I1272" s="25" t="str">
        <f>"－"</f>
        <v>－</v>
      </c>
      <c r="J1272" s="25" t="n">
        <f>2946</f>
        <v>2946.0</v>
      </c>
      <c r="K1272" s="25" t="str">
        <f>"－"</f>
        <v>－</v>
      </c>
      <c r="L1272" s="2" t="s">
        <v>61</v>
      </c>
      <c r="M1272" s="26" t="n">
        <f>8317</f>
        <v>8317.0</v>
      </c>
      <c r="N1272" s="3" t="s">
        <v>147</v>
      </c>
      <c r="O1272" s="27" t="n">
        <f>275</f>
        <v>275.0</v>
      </c>
      <c r="P1272" s="29" t="s">
        <v>2279</v>
      </c>
      <c r="Q1272" s="25"/>
      <c r="R1272" s="29" t="s">
        <v>262</v>
      </c>
      <c r="S1272" s="25" t="n">
        <f>949316148</f>
        <v>9.49316148E8</v>
      </c>
      <c r="T1272" s="25" t="str">
        <f>"－"</f>
        <v>－</v>
      </c>
      <c r="U1272" s="3" t="s">
        <v>61</v>
      </c>
      <c r="V1272" s="27" t="n">
        <f>4799440000</f>
        <v>4.79944E9</v>
      </c>
      <c r="W1272" s="3" t="s">
        <v>147</v>
      </c>
      <c r="X1272" s="27" t="n">
        <f>94140000</f>
        <v>9.414E7</v>
      </c>
      <c r="Y1272" s="27" t="n">
        <f>19637</f>
        <v>19637.0</v>
      </c>
      <c r="Z1272" s="25" t="str">
        <f>"－"</f>
        <v>－</v>
      </c>
      <c r="AA1272" s="25" t="n">
        <f>35690</f>
        <v>35690.0</v>
      </c>
      <c r="AB1272" s="2" t="s">
        <v>1121</v>
      </c>
      <c r="AC1272" s="26" t="n">
        <f>39109</f>
        <v>39109.0</v>
      </c>
      <c r="AD1272" s="3" t="s">
        <v>963</v>
      </c>
      <c r="AE1272" s="27" t="n">
        <f>8805</f>
        <v>8805.0</v>
      </c>
    </row>
    <row r="1273">
      <c r="A1273" s="20" t="s">
        <v>2191</v>
      </c>
      <c r="B1273" s="21" t="s">
        <v>2192</v>
      </c>
      <c r="C1273" s="22" t="s">
        <v>1764</v>
      </c>
      <c r="D1273" s="23" t="s">
        <v>1765</v>
      </c>
      <c r="E1273" s="24" t="s">
        <v>382</v>
      </c>
      <c r="F1273" s="28" t="n">
        <f>122</f>
        <v>122.0</v>
      </c>
      <c r="G1273" s="25" t="n">
        <f>277581</f>
        <v>277581.0</v>
      </c>
      <c r="H1273" s="25"/>
      <c r="I1273" s="25" t="str">
        <f>"－"</f>
        <v>－</v>
      </c>
      <c r="J1273" s="25" t="n">
        <f>2275</f>
        <v>2275.0</v>
      </c>
      <c r="K1273" s="25" t="str">
        <f>"－"</f>
        <v>－</v>
      </c>
      <c r="L1273" s="2" t="s">
        <v>427</v>
      </c>
      <c r="M1273" s="26" t="n">
        <f>6102</f>
        <v>6102.0</v>
      </c>
      <c r="N1273" s="3" t="s">
        <v>147</v>
      </c>
      <c r="O1273" s="27" t="n">
        <f>116</f>
        <v>116.0</v>
      </c>
      <c r="P1273" s="29" t="s">
        <v>2280</v>
      </c>
      <c r="Q1273" s="25"/>
      <c r="R1273" s="29" t="s">
        <v>262</v>
      </c>
      <c r="S1273" s="25" t="n">
        <f>594887377</f>
        <v>5.94887377E8</v>
      </c>
      <c r="T1273" s="25" t="str">
        <f>"－"</f>
        <v>－</v>
      </c>
      <c r="U1273" s="3" t="s">
        <v>1121</v>
      </c>
      <c r="V1273" s="27" t="n">
        <f>3240500000</f>
        <v>3.2405E9</v>
      </c>
      <c r="W1273" s="3" t="s">
        <v>147</v>
      </c>
      <c r="X1273" s="27" t="n">
        <f>24420000</f>
        <v>2.442E7</v>
      </c>
      <c r="Y1273" s="27" t="n">
        <f>21158</f>
        <v>21158.0</v>
      </c>
      <c r="Z1273" s="25" t="str">
        <f>"－"</f>
        <v>－</v>
      </c>
      <c r="AA1273" s="25" t="n">
        <f>24480</f>
        <v>24480.0</v>
      </c>
      <c r="AB1273" s="2" t="s">
        <v>739</v>
      </c>
      <c r="AC1273" s="26" t="n">
        <f>29712</f>
        <v>29712.0</v>
      </c>
      <c r="AD1273" s="3" t="s">
        <v>314</v>
      </c>
      <c r="AE1273" s="27" t="n">
        <f>4034</f>
        <v>4034.0</v>
      </c>
    </row>
    <row r="1274">
      <c r="A1274" s="20" t="s">
        <v>2191</v>
      </c>
      <c r="B1274" s="21" t="s">
        <v>2192</v>
      </c>
      <c r="C1274" s="22" t="s">
        <v>1768</v>
      </c>
      <c r="D1274" s="23" t="s">
        <v>1769</v>
      </c>
      <c r="E1274" s="24" t="s">
        <v>382</v>
      </c>
      <c r="F1274" s="28" t="n">
        <f>122</f>
        <v>122.0</v>
      </c>
      <c r="G1274" s="25" t="n">
        <f>636988</f>
        <v>636988.0</v>
      </c>
      <c r="H1274" s="25"/>
      <c r="I1274" s="25" t="str">
        <f>"－"</f>
        <v>－</v>
      </c>
      <c r="J1274" s="25" t="n">
        <f>5221</f>
        <v>5221.0</v>
      </c>
      <c r="K1274" s="25" t="str">
        <f>"－"</f>
        <v>－</v>
      </c>
      <c r="L1274" s="2" t="s">
        <v>61</v>
      </c>
      <c r="M1274" s="26" t="n">
        <f>12138</f>
        <v>12138.0</v>
      </c>
      <c r="N1274" s="3" t="s">
        <v>147</v>
      </c>
      <c r="O1274" s="27" t="n">
        <f>391</f>
        <v>391.0</v>
      </c>
      <c r="P1274" s="29" t="s">
        <v>2281</v>
      </c>
      <c r="Q1274" s="25"/>
      <c r="R1274" s="29" t="s">
        <v>262</v>
      </c>
      <c r="S1274" s="25" t="n">
        <f>1544203525</f>
        <v>1.544203525E9</v>
      </c>
      <c r="T1274" s="25" t="str">
        <f>"－"</f>
        <v>－</v>
      </c>
      <c r="U1274" s="3" t="s">
        <v>61</v>
      </c>
      <c r="V1274" s="27" t="n">
        <f>5874190000</f>
        <v>5.87419E9</v>
      </c>
      <c r="W1274" s="3" t="s">
        <v>147</v>
      </c>
      <c r="X1274" s="27" t="n">
        <f>118560000</f>
        <v>1.1856E8</v>
      </c>
      <c r="Y1274" s="27" t="n">
        <f>40795</f>
        <v>40795.0</v>
      </c>
      <c r="Z1274" s="25" t="str">
        <f>"－"</f>
        <v>－</v>
      </c>
      <c r="AA1274" s="25" t="n">
        <f>60170</f>
        <v>60170.0</v>
      </c>
      <c r="AB1274" s="2" t="s">
        <v>739</v>
      </c>
      <c r="AC1274" s="26" t="n">
        <f>68705</f>
        <v>68705.0</v>
      </c>
      <c r="AD1274" s="3" t="s">
        <v>314</v>
      </c>
      <c r="AE1274" s="27" t="n">
        <f>13259</f>
        <v>13259.0</v>
      </c>
    </row>
    <row r="1275">
      <c r="A1275" s="20" t="s">
        <v>2191</v>
      </c>
      <c r="B1275" s="21" t="s">
        <v>2192</v>
      </c>
      <c r="C1275" s="22" t="s">
        <v>1760</v>
      </c>
      <c r="D1275" s="23" t="s">
        <v>1761</v>
      </c>
      <c r="E1275" s="24" t="s">
        <v>385</v>
      </c>
      <c r="F1275" s="28" t="n">
        <f>124</f>
        <v>124.0</v>
      </c>
      <c r="G1275" s="25" t="n">
        <f>366696</f>
        <v>366696.0</v>
      </c>
      <c r="H1275" s="25"/>
      <c r="I1275" s="25" t="str">
        <f>"－"</f>
        <v>－</v>
      </c>
      <c r="J1275" s="25" t="n">
        <f>2957</f>
        <v>2957.0</v>
      </c>
      <c r="K1275" s="25" t="str">
        <f>"－"</f>
        <v>－</v>
      </c>
      <c r="L1275" s="2" t="s">
        <v>106</v>
      </c>
      <c r="M1275" s="26" t="n">
        <f>6647</f>
        <v>6647.0</v>
      </c>
      <c r="N1275" s="3" t="s">
        <v>891</v>
      </c>
      <c r="O1275" s="27" t="n">
        <f>739</f>
        <v>739.0</v>
      </c>
      <c r="P1275" s="29" t="s">
        <v>2282</v>
      </c>
      <c r="Q1275" s="25"/>
      <c r="R1275" s="29" t="s">
        <v>262</v>
      </c>
      <c r="S1275" s="25" t="n">
        <f>640321774</f>
        <v>6.40321774E8</v>
      </c>
      <c r="T1275" s="25" t="str">
        <f>"－"</f>
        <v>－</v>
      </c>
      <c r="U1275" s="3" t="s">
        <v>68</v>
      </c>
      <c r="V1275" s="27" t="n">
        <f>2459100000</f>
        <v>2.4591E9</v>
      </c>
      <c r="W1275" s="3" t="s">
        <v>1087</v>
      </c>
      <c r="X1275" s="27" t="n">
        <f>125330000</f>
        <v>1.2533E8</v>
      </c>
      <c r="Y1275" s="27" t="n">
        <f>5909</f>
        <v>5909.0</v>
      </c>
      <c r="Z1275" s="25" t="str">
        <f>"－"</f>
        <v>－</v>
      </c>
      <c r="AA1275" s="25" t="n">
        <f>11602</f>
        <v>11602.0</v>
      </c>
      <c r="AB1275" s="2" t="s">
        <v>529</v>
      </c>
      <c r="AC1275" s="26" t="n">
        <f>41931</f>
        <v>41931.0</v>
      </c>
      <c r="AD1275" s="3" t="s">
        <v>593</v>
      </c>
      <c r="AE1275" s="27" t="n">
        <f>7382</f>
        <v>7382.0</v>
      </c>
    </row>
    <row r="1276">
      <c r="A1276" s="20" t="s">
        <v>2191</v>
      </c>
      <c r="B1276" s="21" t="s">
        <v>2192</v>
      </c>
      <c r="C1276" s="22" t="s">
        <v>1764</v>
      </c>
      <c r="D1276" s="23" t="s">
        <v>1765</v>
      </c>
      <c r="E1276" s="24" t="s">
        <v>385</v>
      </c>
      <c r="F1276" s="28" t="n">
        <f>124</f>
        <v>124.0</v>
      </c>
      <c r="G1276" s="25" t="n">
        <f>259310</f>
        <v>259310.0</v>
      </c>
      <c r="H1276" s="25"/>
      <c r="I1276" s="25" t="str">
        <f>"－"</f>
        <v>－</v>
      </c>
      <c r="J1276" s="25" t="n">
        <f>2091</f>
        <v>2091.0</v>
      </c>
      <c r="K1276" s="25" t="str">
        <f>"－"</f>
        <v>－</v>
      </c>
      <c r="L1276" s="2" t="s">
        <v>1502</v>
      </c>
      <c r="M1276" s="26" t="n">
        <f>4730</f>
        <v>4730.0</v>
      </c>
      <c r="N1276" s="3" t="s">
        <v>720</v>
      </c>
      <c r="O1276" s="27" t="n">
        <f>744</f>
        <v>744.0</v>
      </c>
      <c r="P1276" s="29" t="s">
        <v>2283</v>
      </c>
      <c r="Q1276" s="25"/>
      <c r="R1276" s="29" t="s">
        <v>262</v>
      </c>
      <c r="S1276" s="25" t="n">
        <f>551169032</f>
        <v>5.51169032E8</v>
      </c>
      <c r="T1276" s="25" t="str">
        <f>"－"</f>
        <v>－</v>
      </c>
      <c r="U1276" s="3" t="s">
        <v>529</v>
      </c>
      <c r="V1276" s="27" t="n">
        <f>2120890000</f>
        <v>2.12089E9</v>
      </c>
      <c r="W1276" s="3" t="s">
        <v>987</v>
      </c>
      <c r="X1276" s="27" t="n">
        <f>145420000</f>
        <v>1.4542E8</v>
      </c>
      <c r="Y1276" s="27" t="n">
        <f>28431</f>
        <v>28431.0</v>
      </c>
      <c r="Z1276" s="25" t="str">
        <f>"－"</f>
        <v>－</v>
      </c>
      <c r="AA1276" s="25" t="n">
        <f>5494</f>
        <v>5494.0</v>
      </c>
      <c r="AB1276" s="2" t="s">
        <v>285</v>
      </c>
      <c r="AC1276" s="26" t="n">
        <f>18884</f>
        <v>18884.0</v>
      </c>
      <c r="AD1276" s="3" t="s">
        <v>593</v>
      </c>
      <c r="AE1276" s="27" t="n">
        <f>3538</f>
        <v>3538.0</v>
      </c>
    </row>
    <row r="1277">
      <c r="A1277" s="20" t="s">
        <v>2191</v>
      </c>
      <c r="B1277" s="21" t="s">
        <v>2192</v>
      </c>
      <c r="C1277" s="22" t="s">
        <v>1768</v>
      </c>
      <c r="D1277" s="23" t="s">
        <v>1769</v>
      </c>
      <c r="E1277" s="24" t="s">
        <v>385</v>
      </c>
      <c r="F1277" s="28" t="n">
        <f>124</f>
        <v>124.0</v>
      </c>
      <c r="G1277" s="25" t="n">
        <f>626006</f>
        <v>626006.0</v>
      </c>
      <c r="H1277" s="25"/>
      <c r="I1277" s="25" t="str">
        <f>"－"</f>
        <v>－</v>
      </c>
      <c r="J1277" s="25" t="n">
        <f>5048</f>
        <v>5048.0</v>
      </c>
      <c r="K1277" s="25" t="str">
        <f>"－"</f>
        <v>－</v>
      </c>
      <c r="L1277" s="2" t="s">
        <v>750</v>
      </c>
      <c r="M1277" s="26" t="n">
        <f>10438</f>
        <v>10438.0</v>
      </c>
      <c r="N1277" s="3" t="s">
        <v>891</v>
      </c>
      <c r="O1277" s="27" t="n">
        <f>1660</f>
        <v>1660.0</v>
      </c>
      <c r="P1277" s="29" t="s">
        <v>2284</v>
      </c>
      <c r="Q1277" s="25"/>
      <c r="R1277" s="29" t="s">
        <v>262</v>
      </c>
      <c r="S1277" s="25" t="n">
        <f>1191490806</f>
        <v>1.191490806E9</v>
      </c>
      <c r="T1277" s="25" t="str">
        <f>"－"</f>
        <v>－</v>
      </c>
      <c r="U1277" s="3" t="s">
        <v>68</v>
      </c>
      <c r="V1277" s="27" t="n">
        <f>2775020000</f>
        <v>2.77502E9</v>
      </c>
      <c r="W1277" s="3" t="s">
        <v>1931</v>
      </c>
      <c r="X1277" s="27" t="n">
        <f>401390000</f>
        <v>4.0139E8</v>
      </c>
      <c r="Y1277" s="27" t="n">
        <f>34340</f>
        <v>34340.0</v>
      </c>
      <c r="Z1277" s="25" t="str">
        <f>"－"</f>
        <v>－</v>
      </c>
      <c r="AA1277" s="25" t="n">
        <f>17096</f>
        <v>17096.0</v>
      </c>
      <c r="AB1277" s="2" t="s">
        <v>285</v>
      </c>
      <c r="AC1277" s="26" t="n">
        <f>57518</f>
        <v>57518.0</v>
      </c>
      <c r="AD1277" s="3" t="s">
        <v>593</v>
      </c>
      <c r="AE1277" s="27" t="n">
        <f>10920</f>
        <v>10920.0</v>
      </c>
    </row>
    <row r="1278">
      <c r="A1278" s="20" t="s">
        <v>2191</v>
      </c>
      <c r="B1278" s="21" t="s">
        <v>2192</v>
      </c>
      <c r="C1278" s="22" t="s">
        <v>1760</v>
      </c>
      <c r="D1278" s="23" t="s">
        <v>1761</v>
      </c>
      <c r="E1278" s="24" t="s">
        <v>389</v>
      </c>
      <c r="F1278" s="28" t="n">
        <f>121</f>
        <v>121.0</v>
      </c>
      <c r="G1278" s="25" t="n">
        <f>488042</f>
        <v>488042.0</v>
      </c>
      <c r="H1278" s="25"/>
      <c r="I1278" s="25" t="str">
        <f>"－"</f>
        <v>－</v>
      </c>
      <c r="J1278" s="25" t="n">
        <f>4033</f>
        <v>4033.0</v>
      </c>
      <c r="K1278" s="25" t="str">
        <f>"－"</f>
        <v>－</v>
      </c>
      <c r="L1278" s="2" t="s">
        <v>397</v>
      </c>
      <c r="M1278" s="26" t="n">
        <f>18316</f>
        <v>18316.0</v>
      </c>
      <c r="N1278" s="3" t="s">
        <v>70</v>
      </c>
      <c r="O1278" s="27" t="n">
        <f>1049</f>
        <v>1049.0</v>
      </c>
      <c r="P1278" s="29" t="s">
        <v>2285</v>
      </c>
      <c r="Q1278" s="25"/>
      <c r="R1278" s="29" t="s">
        <v>262</v>
      </c>
      <c r="S1278" s="25" t="n">
        <f>669907769</f>
        <v>6.69907769E8</v>
      </c>
      <c r="T1278" s="25" t="str">
        <f>"－"</f>
        <v>－</v>
      </c>
      <c r="U1278" s="3" t="s">
        <v>765</v>
      </c>
      <c r="V1278" s="27" t="n">
        <f>2444230000</f>
        <v>2.44423E9</v>
      </c>
      <c r="W1278" s="3" t="s">
        <v>88</v>
      </c>
      <c r="X1278" s="27" t="n">
        <f>143050000</f>
        <v>1.4305E8</v>
      </c>
      <c r="Y1278" s="27" t="n">
        <f>7779</f>
        <v>7779.0</v>
      </c>
      <c r="Z1278" s="25" t="str">
        <f>"－"</f>
        <v>－</v>
      </c>
      <c r="AA1278" s="25" t="n">
        <f>49364</f>
        <v>49364.0</v>
      </c>
      <c r="AB1278" s="2" t="s">
        <v>1201</v>
      </c>
      <c r="AC1278" s="26" t="n">
        <f>86206</f>
        <v>86206.0</v>
      </c>
      <c r="AD1278" s="3" t="s">
        <v>156</v>
      </c>
      <c r="AE1278" s="27" t="n">
        <f>12711</f>
        <v>12711.0</v>
      </c>
    </row>
    <row r="1279">
      <c r="A1279" s="20" t="s">
        <v>2191</v>
      </c>
      <c r="B1279" s="21" t="s">
        <v>2192</v>
      </c>
      <c r="C1279" s="22" t="s">
        <v>1764</v>
      </c>
      <c r="D1279" s="23" t="s">
        <v>1765</v>
      </c>
      <c r="E1279" s="24" t="s">
        <v>389</v>
      </c>
      <c r="F1279" s="28" t="n">
        <f>121</f>
        <v>121.0</v>
      </c>
      <c r="G1279" s="25" t="n">
        <f>267130</f>
        <v>267130.0</v>
      </c>
      <c r="H1279" s="25"/>
      <c r="I1279" s="25" t="str">
        <f>"－"</f>
        <v>－</v>
      </c>
      <c r="J1279" s="25" t="n">
        <f>2208</f>
        <v>2208.0</v>
      </c>
      <c r="K1279" s="25" t="str">
        <f>"－"</f>
        <v>－</v>
      </c>
      <c r="L1279" s="2" t="s">
        <v>1201</v>
      </c>
      <c r="M1279" s="26" t="n">
        <f>6850</f>
        <v>6850.0</v>
      </c>
      <c r="N1279" s="3" t="s">
        <v>152</v>
      </c>
      <c r="O1279" s="27" t="n">
        <f>604</f>
        <v>604.0</v>
      </c>
      <c r="P1279" s="29" t="s">
        <v>2286</v>
      </c>
      <c r="Q1279" s="25"/>
      <c r="R1279" s="29" t="s">
        <v>262</v>
      </c>
      <c r="S1279" s="25" t="n">
        <f>532988430</f>
        <v>5.3298843E8</v>
      </c>
      <c r="T1279" s="25" t="str">
        <f>"－"</f>
        <v>－</v>
      </c>
      <c r="U1279" s="3" t="s">
        <v>754</v>
      </c>
      <c r="V1279" s="27" t="n">
        <f>4433470000</f>
        <v>4.43347E9</v>
      </c>
      <c r="W1279" s="3" t="s">
        <v>932</v>
      </c>
      <c r="X1279" s="27" t="n">
        <f>107600000</f>
        <v>1.076E8</v>
      </c>
      <c r="Y1279" s="27" t="n">
        <f>42642</f>
        <v>42642.0</v>
      </c>
      <c r="Z1279" s="25" t="str">
        <f>"－"</f>
        <v>－</v>
      </c>
      <c r="AA1279" s="25" t="n">
        <f>10761</f>
        <v>10761.0</v>
      </c>
      <c r="AB1279" s="2" t="s">
        <v>525</v>
      </c>
      <c r="AC1279" s="26" t="n">
        <f>24240</f>
        <v>24240.0</v>
      </c>
      <c r="AD1279" s="3" t="s">
        <v>963</v>
      </c>
      <c r="AE1279" s="27" t="n">
        <f>4768</f>
        <v>4768.0</v>
      </c>
    </row>
    <row r="1280">
      <c r="A1280" s="20" t="s">
        <v>2191</v>
      </c>
      <c r="B1280" s="21" t="s">
        <v>2192</v>
      </c>
      <c r="C1280" s="22" t="s">
        <v>1768</v>
      </c>
      <c r="D1280" s="23" t="s">
        <v>1769</v>
      </c>
      <c r="E1280" s="24" t="s">
        <v>389</v>
      </c>
      <c r="F1280" s="28" t="n">
        <f>121</f>
        <v>121.0</v>
      </c>
      <c r="G1280" s="25" t="n">
        <f>755172</f>
        <v>755172.0</v>
      </c>
      <c r="H1280" s="25"/>
      <c r="I1280" s="25" t="str">
        <f>"－"</f>
        <v>－</v>
      </c>
      <c r="J1280" s="25" t="n">
        <f>6241</f>
        <v>6241.0</v>
      </c>
      <c r="K1280" s="25" t="str">
        <f>"－"</f>
        <v>－</v>
      </c>
      <c r="L1280" s="2" t="s">
        <v>397</v>
      </c>
      <c r="M1280" s="26" t="n">
        <f>22258</f>
        <v>22258.0</v>
      </c>
      <c r="N1280" s="3" t="s">
        <v>88</v>
      </c>
      <c r="O1280" s="27" t="n">
        <f>1987</f>
        <v>1987.0</v>
      </c>
      <c r="P1280" s="29" t="s">
        <v>2287</v>
      </c>
      <c r="Q1280" s="25"/>
      <c r="R1280" s="29" t="s">
        <v>262</v>
      </c>
      <c r="S1280" s="25" t="n">
        <f>1202896198</f>
        <v>1.202896198E9</v>
      </c>
      <c r="T1280" s="25" t="str">
        <f>"－"</f>
        <v>－</v>
      </c>
      <c r="U1280" s="3" t="s">
        <v>754</v>
      </c>
      <c r="V1280" s="27" t="n">
        <f>5216940000</f>
        <v>5.21694E9</v>
      </c>
      <c r="W1280" s="3" t="s">
        <v>88</v>
      </c>
      <c r="X1280" s="27" t="n">
        <f>307780000</f>
        <v>3.0778E8</v>
      </c>
      <c r="Y1280" s="27" t="n">
        <f>50421</f>
        <v>50421.0</v>
      </c>
      <c r="Z1280" s="25" t="str">
        <f>"－"</f>
        <v>－</v>
      </c>
      <c r="AA1280" s="25" t="n">
        <f>60125</f>
        <v>60125.0</v>
      </c>
      <c r="AB1280" s="2" t="s">
        <v>539</v>
      </c>
      <c r="AC1280" s="26" t="n">
        <f>107310</f>
        <v>107310.0</v>
      </c>
      <c r="AD1280" s="3" t="s">
        <v>156</v>
      </c>
      <c r="AE1280" s="27" t="n">
        <f>19054</f>
        <v>19054.0</v>
      </c>
    </row>
    <row r="1281">
      <c r="A1281" s="20" t="s">
        <v>2191</v>
      </c>
      <c r="B1281" s="21" t="s">
        <v>2192</v>
      </c>
      <c r="C1281" s="22" t="s">
        <v>1760</v>
      </c>
      <c r="D1281" s="23" t="s">
        <v>1761</v>
      </c>
      <c r="E1281" s="24" t="s">
        <v>392</v>
      </c>
      <c r="F1281" s="28" t="n">
        <f>124</f>
        <v>124.0</v>
      </c>
      <c r="G1281" s="25" t="n">
        <f>547339</f>
        <v>547339.0</v>
      </c>
      <c r="H1281" s="25"/>
      <c r="I1281" s="25" t="str">
        <f>"－"</f>
        <v>－</v>
      </c>
      <c r="J1281" s="25" t="n">
        <f>4414</f>
        <v>4414.0</v>
      </c>
      <c r="K1281" s="25" t="str">
        <f>"－"</f>
        <v>－</v>
      </c>
      <c r="L1281" s="2" t="s">
        <v>1024</v>
      </c>
      <c r="M1281" s="26" t="n">
        <f>10536</f>
        <v>10536.0</v>
      </c>
      <c r="N1281" s="3" t="s">
        <v>872</v>
      </c>
      <c r="O1281" s="27" t="n">
        <f>1330</f>
        <v>1330.0</v>
      </c>
      <c r="P1281" s="29" t="s">
        <v>2288</v>
      </c>
      <c r="Q1281" s="25"/>
      <c r="R1281" s="29" t="s">
        <v>262</v>
      </c>
      <c r="S1281" s="25" t="n">
        <f>1067740565</f>
        <v>1.067740565E9</v>
      </c>
      <c r="T1281" s="25" t="str">
        <f>"－"</f>
        <v>－</v>
      </c>
      <c r="U1281" s="3" t="s">
        <v>1024</v>
      </c>
      <c r="V1281" s="27" t="n">
        <f>3475770000</f>
        <v>3.47577E9</v>
      </c>
      <c r="W1281" s="3" t="s">
        <v>833</v>
      </c>
      <c r="X1281" s="27" t="n">
        <f>242980000</f>
        <v>2.4298E8</v>
      </c>
      <c r="Y1281" s="27" t="n">
        <f>26263</f>
        <v>26263.0</v>
      </c>
      <c r="Z1281" s="25" t="str">
        <f>"－"</f>
        <v>－</v>
      </c>
      <c r="AA1281" s="25" t="n">
        <f>15511</f>
        <v>15511.0</v>
      </c>
      <c r="AB1281" s="2" t="s">
        <v>393</v>
      </c>
      <c r="AC1281" s="26" t="n">
        <f>48541</f>
        <v>48541.0</v>
      </c>
      <c r="AD1281" s="3" t="s">
        <v>806</v>
      </c>
      <c r="AE1281" s="27" t="n">
        <f>9864</f>
        <v>9864.0</v>
      </c>
    </row>
    <row r="1282">
      <c r="A1282" s="20" t="s">
        <v>2191</v>
      </c>
      <c r="B1282" s="21" t="s">
        <v>2192</v>
      </c>
      <c r="C1282" s="22" t="s">
        <v>1764</v>
      </c>
      <c r="D1282" s="23" t="s">
        <v>1765</v>
      </c>
      <c r="E1282" s="24" t="s">
        <v>392</v>
      </c>
      <c r="F1282" s="28" t="n">
        <f>124</f>
        <v>124.0</v>
      </c>
      <c r="G1282" s="25" t="n">
        <f>396526</f>
        <v>396526.0</v>
      </c>
      <c r="H1282" s="25"/>
      <c r="I1282" s="25" t="str">
        <f>"－"</f>
        <v>－</v>
      </c>
      <c r="J1282" s="25" t="n">
        <f>3198</f>
        <v>3198.0</v>
      </c>
      <c r="K1282" s="25" t="str">
        <f>"－"</f>
        <v>－</v>
      </c>
      <c r="L1282" s="2" t="s">
        <v>1008</v>
      </c>
      <c r="M1282" s="26" t="n">
        <f>9609</f>
        <v>9609.0</v>
      </c>
      <c r="N1282" s="3" t="s">
        <v>975</v>
      </c>
      <c r="O1282" s="27" t="n">
        <f>766</f>
        <v>766.0</v>
      </c>
      <c r="P1282" s="29" t="s">
        <v>2289</v>
      </c>
      <c r="Q1282" s="25"/>
      <c r="R1282" s="29" t="s">
        <v>262</v>
      </c>
      <c r="S1282" s="25" t="n">
        <f>638798710</f>
        <v>6.3879871E8</v>
      </c>
      <c r="T1282" s="25" t="str">
        <f>"－"</f>
        <v>－</v>
      </c>
      <c r="U1282" s="3" t="s">
        <v>1008</v>
      </c>
      <c r="V1282" s="27" t="n">
        <f>2922080000</f>
        <v>2.92208E9</v>
      </c>
      <c r="W1282" s="3" t="s">
        <v>975</v>
      </c>
      <c r="X1282" s="27" t="n">
        <f>101710000</f>
        <v>1.0171E8</v>
      </c>
      <c r="Y1282" s="27" t="n">
        <f>26597</f>
        <v>26597.0</v>
      </c>
      <c r="Z1282" s="25" t="str">
        <f>"－"</f>
        <v>－</v>
      </c>
      <c r="AA1282" s="25" t="n">
        <f>7428</f>
        <v>7428.0</v>
      </c>
      <c r="AB1282" s="2" t="s">
        <v>80</v>
      </c>
      <c r="AC1282" s="26" t="n">
        <f>30464</f>
        <v>30464.0</v>
      </c>
      <c r="AD1282" s="3" t="s">
        <v>806</v>
      </c>
      <c r="AE1282" s="27" t="n">
        <f>3974</f>
        <v>3974.0</v>
      </c>
    </row>
    <row r="1283">
      <c r="A1283" s="20" t="s">
        <v>2191</v>
      </c>
      <c r="B1283" s="21" t="s">
        <v>2192</v>
      </c>
      <c r="C1283" s="22" t="s">
        <v>1768</v>
      </c>
      <c r="D1283" s="23" t="s">
        <v>1769</v>
      </c>
      <c r="E1283" s="24" t="s">
        <v>392</v>
      </c>
      <c r="F1283" s="28" t="n">
        <f>124</f>
        <v>124.0</v>
      </c>
      <c r="G1283" s="25" t="n">
        <f>943865</f>
        <v>943865.0</v>
      </c>
      <c r="H1283" s="25"/>
      <c r="I1283" s="25" t="str">
        <f>"－"</f>
        <v>－</v>
      </c>
      <c r="J1283" s="25" t="n">
        <f>7612</f>
        <v>7612.0</v>
      </c>
      <c r="K1283" s="25" t="str">
        <f>"－"</f>
        <v>－</v>
      </c>
      <c r="L1283" s="2" t="s">
        <v>1008</v>
      </c>
      <c r="M1283" s="26" t="n">
        <f>18838</f>
        <v>18838.0</v>
      </c>
      <c r="N1283" s="3" t="s">
        <v>975</v>
      </c>
      <c r="O1283" s="27" t="n">
        <f>2836</f>
        <v>2836.0</v>
      </c>
      <c r="P1283" s="29" t="s">
        <v>2290</v>
      </c>
      <c r="Q1283" s="25"/>
      <c r="R1283" s="29" t="s">
        <v>262</v>
      </c>
      <c r="S1283" s="25" t="n">
        <f>1706539274</f>
        <v>1.706539274E9</v>
      </c>
      <c r="T1283" s="25" t="str">
        <f>"－"</f>
        <v>－</v>
      </c>
      <c r="U1283" s="3" t="s">
        <v>1008</v>
      </c>
      <c r="V1283" s="27" t="n">
        <f>5466910000</f>
        <v>5.46691E9</v>
      </c>
      <c r="W1283" s="3" t="s">
        <v>975</v>
      </c>
      <c r="X1283" s="27" t="n">
        <f>519300000</f>
        <v>5.193E8</v>
      </c>
      <c r="Y1283" s="27" t="n">
        <f>52860</f>
        <v>52860.0</v>
      </c>
      <c r="Z1283" s="25" t="str">
        <f>"－"</f>
        <v>－</v>
      </c>
      <c r="AA1283" s="25" t="n">
        <f>22939</f>
        <v>22939.0</v>
      </c>
      <c r="AB1283" s="2" t="s">
        <v>80</v>
      </c>
      <c r="AC1283" s="26" t="n">
        <f>77663</f>
        <v>77663.0</v>
      </c>
      <c r="AD1283" s="3" t="s">
        <v>806</v>
      </c>
      <c r="AE1283" s="27" t="n">
        <f>13838</f>
        <v>13838.0</v>
      </c>
    </row>
    <row r="1284">
      <c r="A1284" s="20" t="s">
        <v>2191</v>
      </c>
      <c r="B1284" s="21" t="s">
        <v>2192</v>
      </c>
      <c r="C1284" s="22" t="s">
        <v>1760</v>
      </c>
      <c r="D1284" s="23" t="s">
        <v>1761</v>
      </c>
      <c r="E1284" s="24" t="s">
        <v>396</v>
      </c>
      <c r="F1284" s="28" t="n">
        <f>123</f>
        <v>123.0</v>
      </c>
      <c r="G1284" s="25" t="n">
        <f>668753</f>
        <v>668753.0</v>
      </c>
      <c r="H1284" s="25"/>
      <c r="I1284" s="25" t="str">
        <f>"－"</f>
        <v>－</v>
      </c>
      <c r="J1284" s="25" t="n">
        <f>5437</f>
        <v>5437.0</v>
      </c>
      <c r="K1284" s="25" t="str">
        <f>"－"</f>
        <v>－</v>
      </c>
      <c r="L1284" s="2" t="s">
        <v>1401</v>
      </c>
      <c r="M1284" s="26" t="n">
        <f>21716</f>
        <v>21716.0</v>
      </c>
      <c r="N1284" s="3" t="s">
        <v>1179</v>
      </c>
      <c r="O1284" s="27" t="n">
        <f>969</f>
        <v>969.0</v>
      </c>
      <c r="P1284" s="29" t="s">
        <v>2291</v>
      </c>
      <c r="Q1284" s="25"/>
      <c r="R1284" s="29" t="s">
        <v>262</v>
      </c>
      <c r="S1284" s="25" t="n">
        <f>1590032276</f>
        <v>1.590032276E9</v>
      </c>
      <c r="T1284" s="25" t="str">
        <f>"－"</f>
        <v>－</v>
      </c>
      <c r="U1284" s="3" t="s">
        <v>1121</v>
      </c>
      <c r="V1284" s="27" t="n">
        <f>6821230000</f>
        <v>6.82123E9</v>
      </c>
      <c r="W1284" s="3" t="s">
        <v>168</v>
      </c>
      <c r="X1284" s="27" t="n">
        <f>230740000</f>
        <v>2.3074E8</v>
      </c>
      <c r="Y1284" s="27" t="n">
        <f>39316</f>
        <v>39316.0</v>
      </c>
      <c r="Z1284" s="25" t="str">
        <f>"－"</f>
        <v>－</v>
      </c>
      <c r="AA1284" s="25" t="n">
        <f>30903</f>
        <v>30903.0</v>
      </c>
      <c r="AB1284" s="2" t="s">
        <v>1121</v>
      </c>
      <c r="AC1284" s="26" t="n">
        <f>55295</f>
        <v>55295.0</v>
      </c>
      <c r="AD1284" s="3" t="s">
        <v>963</v>
      </c>
      <c r="AE1284" s="27" t="n">
        <f>10399</f>
        <v>10399.0</v>
      </c>
    </row>
    <row r="1285">
      <c r="A1285" s="20" t="s">
        <v>2191</v>
      </c>
      <c r="B1285" s="21" t="s">
        <v>2192</v>
      </c>
      <c r="C1285" s="22" t="s">
        <v>1764</v>
      </c>
      <c r="D1285" s="23" t="s">
        <v>1765</v>
      </c>
      <c r="E1285" s="24" t="s">
        <v>396</v>
      </c>
      <c r="F1285" s="28" t="n">
        <f>123</f>
        <v>123.0</v>
      </c>
      <c r="G1285" s="25" t="n">
        <f>436172</f>
        <v>436172.0</v>
      </c>
      <c r="H1285" s="25"/>
      <c r="I1285" s="25" t="str">
        <f>"－"</f>
        <v>－</v>
      </c>
      <c r="J1285" s="25" t="n">
        <f>3546</f>
        <v>3546.0</v>
      </c>
      <c r="K1285" s="25" t="str">
        <f>"－"</f>
        <v>－</v>
      </c>
      <c r="L1285" s="2" t="s">
        <v>455</v>
      </c>
      <c r="M1285" s="26" t="n">
        <f>9876</f>
        <v>9876.0</v>
      </c>
      <c r="N1285" s="3" t="s">
        <v>189</v>
      </c>
      <c r="O1285" s="27" t="n">
        <f>636</f>
        <v>636.0</v>
      </c>
      <c r="P1285" s="29" t="s">
        <v>2292</v>
      </c>
      <c r="Q1285" s="25"/>
      <c r="R1285" s="29" t="s">
        <v>262</v>
      </c>
      <c r="S1285" s="25" t="n">
        <f>717723333</f>
        <v>7.17723333E8</v>
      </c>
      <c r="T1285" s="25" t="str">
        <f>"－"</f>
        <v>－</v>
      </c>
      <c r="U1285" s="3" t="s">
        <v>754</v>
      </c>
      <c r="V1285" s="27" t="n">
        <f>2738670000</f>
        <v>2.73867E9</v>
      </c>
      <c r="W1285" s="3" t="s">
        <v>168</v>
      </c>
      <c r="X1285" s="27" t="n">
        <f>139510000</f>
        <v>1.3951E8</v>
      </c>
      <c r="Y1285" s="27" t="n">
        <f>14638</f>
        <v>14638.0</v>
      </c>
      <c r="Z1285" s="25" t="str">
        <f>"－"</f>
        <v>－</v>
      </c>
      <c r="AA1285" s="25" t="n">
        <f>15972</f>
        <v>15972.0</v>
      </c>
      <c r="AB1285" s="2" t="s">
        <v>346</v>
      </c>
      <c r="AC1285" s="26" t="n">
        <f>32221</f>
        <v>32221.0</v>
      </c>
      <c r="AD1285" s="3" t="s">
        <v>314</v>
      </c>
      <c r="AE1285" s="27" t="n">
        <f>4438</f>
        <v>4438.0</v>
      </c>
    </row>
    <row r="1286">
      <c r="A1286" s="20" t="s">
        <v>2191</v>
      </c>
      <c r="B1286" s="21" t="s">
        <v>2192</v>
      </c>
      <c r="C1286" s="22" t="s">
        <v>1768</v>
      </c>
      <c r="D1286" s="23" t="s">
        <v>1769</v>
      </c>
      <c r="E1286" s="24" t="s">
        <v>396</v>
      </c>
      <c r="F1286" s="28" t="n">
        <f>123</f>
        <v>123.0</v>
      </c>
      <c r="G1286" s="25" t="n">
        <f>1104925</f>
        <v>1104925.0</v>
      </c>
      <c r="H1286" s="25"/>
      <c r="I1286" s="25" t="str">
        <f>"－"</f>
        <v>－</v>
      </c>
      <c r="J1286" s="25" t="n">
        <f>8983</f>
        <v>8983.0</v>
      </c>
      <c r="K1286" s="25" t="str">
        <f>"－"</f>
        <v>－</v>
      </c>
      <c r="L1286" s="2" t="s">
        <v>1401</v>
      </c>
      <c r="M1286" s="26" t="n">
        <f>25260</f>
        <v>25260.0</v>
      </c>
      <c r="N1286" s="3" t="s">
        <v>168</v>
      </c>
      <c r="O1286" s="27" t="n">
        <f>2201</f>
        <v>2201.0</v>
      </c>
      <c r="P1286" s="29" t="s">
        <v>2293</v>
      </c>
      <c r="Q1286" s="25"/>
      <c r="R1286" s="29" t="s">
        <v>262</v>
      </c>
      <c r="S1286" s="25" t="n">
        <f>2307755610</f>
        <v>2.30775561E9</v>
      </c>
      <c r="T1286" s="25" t="str">
        <f>"－"</f>
        <v>－</v>
      </c>
      <c r="U1286" s="3" t="s">
        <v>1121</v>
      </c>
      <c r="V1286" s="27" t="n">
        <f>7372200000</f>
        <v>7.3722E9</v>
      </c>
      <c r="W1286" s="3" t="s">
        <v>168</v>
      </c>
      <c r="X1286" s="27" t="n">
        <f>370250000</f>
        <v>3.7025E8</v>
      </c>
      <c r="Y1286" s="27" t="n">
        <f>53954</f>
        <v>53954.0</v>
      </c>
      <c r="Z1286" s="25" t="str">
        <f>"－"</f>
        <v>－</v>
      </c>
      <c r="AA1286" s="25" t="n">
        <f>46875</f>
        <v>46875.0</v>
      </c>
      <c r="AB1286" s="2" t="s">
        <v>1121</v>
      </c>
      <c r="AC1286" s="26" t="n">
        <f>78087</f>
        <v>78087.0</v>
      </c>
      <c r="AD1286" s="3" t="s">
        <v>963</v>
      </c>
      <c r="AE1286" s="27" t="n">
        <f>16642</f>
        <v>16642.0</v>
      </c>
    </row>
    <row r="1287">
      <c r="A1287" s="20" t="s">
        <v>2191</v>
      </c>
      <c r="B1287" s="21" t="s">
        <v>2192</v>
      </c>
      <c r="C1287" s="22" t="s">
        <v>1760</v>
      </c>
      <c r="D1287" s="23" t="s">
        <v>1761</v>
      </c>
      <c r="E1287" s="24" t="s">
        <v>401</v>
      </c>
      <c r="F1287" s="28" t="n">
        <f>125</f>
        <v>125.0</v>
      </c>
      <c r="G1287" s="25" t="n">
        <f>556883</f>
        <v>556883.0</v>
      </c>
      <c r="H1287" s="25"/>
      <c r="I1287" s="25" t="str">
        <f>"－"</f>
        <v>－</v>
      </c>
      <c r="J1287" s="25" t="n">
        <f>4455</f>
        <v>4455.0</v>
      </c>
      <c r="K1287" s="25" t="str">
        <f>"－"</f>
        <v>－</v>
      </c>
      <c r="L1287" s="2" t="s">
        <v>891</v>
      </c>
      <c r="M1287" s="26" t="n">
        <f>10812</f>
        <v>10812.0</v>
      </c>
      <c r="N1287" s="3" t="s">
        <v>545</v>
      </c>
      <c r="O1287" s="27" t="n">
        <f>1495</f>
        <v>1495.0</v>
      </c>
      <c r="P1287" s="29" t="s">
        <v>2294</v>
      </c>
      <c r="Q1287" s="25"/>
      <c r="R1287" s="29" t="s">
        <v>262</v>
      </c>
      <c r="S1287" s="25" t="n">
        <f>931020960</f>
        <v>9.3102096E8</v>
      </c>
      <c r="T1287" s="25" t="str">
        <f>"－"</f>
        <v>－</v>
      </c>
      <c r="U1287" s="3" t="s">
        <v>388</v>
      </c>
      <c r="V1287" s="27" t="n">
        <f>3703750000</f>
        <v>3.70375E9</v>
      </c>
      <c r="W1287" s="3" t="s">
        <v>114</v>
      </c>
      <c r="X1287" s="27" t="n">
        <f>209600000</f>
        <v>2.096E8</v>
      </c>
      <c r="Y1287" s="27" t="n">
        <f>10432</f>
        <v>10432.0</v>
      </c>
      <c r="Z1287" s="25" t="str">
        <f>"－"</f>
        <v>－</v>
      </c>
      <c r="AA1287" s="25" t="n">
        <f>9157</f>
        <v>9157.0</v>
      </c>
      <c r="AB1287" s="2" t="s">
        <v>529</v>
      </c>
      <c r="AC1287" s="26" t="n">
        <f>59542</f>
        <v>59542.0</v>
      </c>
      <c r="AD1287" s="3" t="s">
        <v>269</v>
      </c>
      <c r="AE1287" s="27" t="n">
        <f>9157</f>
        <v>9157.0</v>
      </c>
    </row>
    <row r="1288">
      <c r="A1288" s="20" t="s">
        <v>2191</v>
      </c>
      <c r="B1288" s="21" t="s">
        <v>2192</v>
      </c>
      <c r="C1288" s="22" t="s">
        <v>1764</v>
      </c>
      <c r="D1288" s="23" t="s">
        <v>1765</v>
      </c>
      <c r="E1288" s="24" t="s">
        <v>401</v>
      </c>
      <c r="F1288" s="28" t="n">
        <f>125</f>
        <v>125.0</v>
      </c>
      <c r="G1288" s="25" t="n">
        <f>398816</f>
        <v>398816.0</v>
      </c>
      <c r="H1288" s="25"/>
      <c r="I1288" s="25" t="str">
        <f>"－"</f>
        <v>－</v>
      </c>
      <c r="J1288" s="25" t="n">
        <f>3191</f>
        <v>3191.0</v>
      </c>
      <c r="K1288" s="25" t="str">
        <f>"－"</f>
        <v>－</v>
      </c>
      <c r="L1288" s="2" t="s">
        <v>529</v>
      </c>
      <c r="M1288" s="26" t="n">
        <f>9214</f>
        <v>9214.0</v>
      </c>
      <c r="N1288" s="3" t="s">
        <v>77</v>
      </c>
      <c r="O1288" s="27" t="n">
        <f>663</f>
        <v>663.0</v>
      </c>
      <c r="P1288" s="29" t="s">
        <v>2295</v>
      </c>
      <c r="Q1288" s="25"/>
      <c r="R1288" s="29" t="s">
        <v>262</v>
      </c>
      <c r="S1288" s="25" t="n">
        <f>805583920</f>
        <v>8.0558392E8</v>
      </c>
      <c r="T1288" s="25" t="str">
        <f>"－"</f>
        <v>－</v>
      </c>
      <c r="U1288" s="3" t="s">
        <v>529</v>
      </c>
      <c r="V1288" s="27" t="n">
        <f>11020550000</f>
        <v>1.102055E10</v>
      </c>
      <c r="W1288" s="3" t="s">
        <v>77</v>
      </c>
      <c r="X1288" s="27" t="n">
        <f>115480000</f>
        <v>1.1548E8</v>
      </c>
      <c r="Y1288" s="27" t="n">
        <f>35492</f>
        <v>35492.0</v>
      </c>
      <c r="Z1288" s="25" t="str">
        <f>"－"</f>
        <v>－</v>
      </c>
      <c r="AA1288" s="25" t="n">
        <f>7830</f>
        <v>7830.0</v>
      </c>
      <c r="AB1288" s="2" t="s">
        <v>138</v>
      </c>
      <c r="AC1288" s="26" t="n">
        <f>22705</f>
        <v>22705.0</v>
      </c>
      <c r="AD1288" s="3" t="s">
        <v>633</v>
      </c>
      <c r="AE1288" s="27" t="n">
        <f>4000</f>
        <v>4000.0</v>
      </c>
    </row>
    <row r="1289">
      <c r="A1289" s="20" t="s">
        <v>2191</v>
      </c>
      <c r="B1289" s="21" t="s">
        <v>2192</v>
      </c>
      <c r="C1289" s="22" t="s">
        <v>1768</v>
      </c>
      <c r="D1289" s="23" t="s">
        <v>1769</v>
      </c>
      <c r="E1289" s="24" t="s">
        <v>401</v>
      </c>
      <c r="F1289" s="28" t="n">
        <f>125</f>
        <v>125.0</v>
      </c>
      <c r="G1289" s="25" t="n">
        <f>955699</f>
        <v>955699.0</v>
      </c>
      <c r="H1289" s="25"/>
      <c r="I1289" s="25" t="str">
        <f>"－"</f>
        <v>－</v>
      </c>
      <c r="J1289" s="25" t="n">
        <f>7646</f>
        <v>7646.0</v>
      </c>
      <c r="K1289" s="25" t="str">
        <f>"－"</f>
        <v>－</v>
      </c>
      <c r="L1289" s="2" t="s">
        <v>529</v>
      </c>
      <c r="M1289" s="26" t="n">
        <f>16926</f>
        <v>16926.0</v>
      </c>
      <c r="N1289" s="3" t="s">
        <v>77</v>
      </c>
      <c r="O1289" s="27" t="n">
        <f>2271</f>
        <v>2271.0</v>
      </c>
      <c r="P1289" s="29" t="s">
        <v>2296</v>
      </c>
      <c r="Q1289" s="25"/>
      <c r="R1289" s="29" t="s">
        <v>262</v>
      </c>
      <c r="S1289" s="25" t="n">
        <f>1736604880</f>
        <v>1.73660488E9</v>
      </c>
      <c r="T1289" s="25" t="str">
        <f>"－"</f>
        <v>－</v>
      </c>
      <c r="U1289" s="3" t="s">
        <v>529</v>
      </c>
      <c r="V1289" s="27" t="n">
        <f>12448050000</f>
        <v>1.244805E10</v>
      </c>
      <c r="W1289" s="3" t="s">
        <v>532</v>
      </c>
      <c r="X1289" s="27" t="n">
        <f>475870000</f>
        <v>4.7587E8</v>
      </c>
      <c r="Y1289" s="27" t="n">
        <f>45924</f>
        <v>45924.0</v>
      </c>
      <c r="Z1289" s="25" t="str">
        <f>"－"</f>
        <v>－</v>
      </c>
      <c r="AA1289" s="25" t="n">
        <f>16987</f>
        <v>16987.0</v>
      </c>
      <c r="AB1289" s="2" t="s">
        <v>80</v>
      </c>
      <c r="AC1289" s="26" t="n">
        <f>76068</f>
        <v>76068.0</v>
      </c>
      <c r="AD1289" s="3" t="s">
        <v>269</v>
      </c>
      <c r="AE1289" s="27" t="n">
        <f>16987</f>
        <v>16987.0</v>
      </c>
    </row>
    <row r="1290">
      <c r="A1290" s="20" t="s">
        <v>2191</v>
      </c>
      <c r="B1290" s="21" t="s">
        <v>2192</v>
      </c>
      <c r="C1290" s="22" t="s">
        <v>1760</v>
      </c>
      <c r="D1290" s="23" t="s">
        <v>1761</v>
      </c>
      <c r="E1290" s="24" t="s">
        <v>404</v>
      </c>
      <c r="F1290" s="28" t="n">
        <f>121</f>
        <v>121.0</v>
      </c>
      <c r="G1290" s="25" t="n">
        <f>687017</f>
        <v>687017.0</v>
      </c>
      <c r="H1290" s="25"/>
      <c r="I1290" s="25" t="n">
        <f>71562</f>
        <v>71562.0</v>
      </c>
      <c r="J1290" s="25" t="n">
        <f>5678</f>
        <v>5678.0</v>
      </c>
      <c r="K1290" s="25" t="n">
        <f>591</f>
        <v>591.0</v>
      </c>
      <c r="L1290" s="2" t="s">
        <v>739</v>
      </c>
      <c r="M1290" s="26" t="n">
        <f>17115</f>
        <v>17115.0</v>
      </c>
      <c r="N1290" s="3" t="s">
        <v>688</v>
      </c>
      <c r="O1290" s="27" t="n">
        <f>1289</f>
        <v>1289.0</v>
      </c>
      <c r="P1290" s="29" t="s">
        <v>2297</v>
      </c>
      <c r="Q1290" s="25"/>
      <c r="R1290" s="29" t="s">
        <v>2298</v>
      </c>
      <c r="S1290" s="25" t="n">
        <f>1202086777</f>
        <v>1.202086777E9</v>
      </c>
      <c r="T1290" s="25" t="n">
        <f>141227851</f>
        <v>1.41227851E8</v>
      </c>
      <c r="U1290" s="3" t="s">
        <v>739</v>
      </c>
      <c r="V1290" s="27" t="n">
        <f>6537560000</f>
        <v>6.53756E9</v>
      </c>
      <c r="W1290" s="3" t="s">
        <v>688</v>
      </c>
      <c r="X1290" s="27" t="n">
        <f>230390000</f>
        <v>2.3039E8</v>
      </c>
      <c r="Y1290" s="27" t="n">
        <f>36019</f>
        <v>36019.0</v>
      </c>
      <c r="Z1290" s="25" t="str">
        <f>"－"</f>
        <v>－</v>
      </c>
      <c r="AA1290" s="25" t="n">
        <f>69876</f>
        <v>69876.0</v>
      </c>
      <c r="AB1290" s="2" t="s">
        <v>131</v>
      </c>
      <c r="AC1290" s="26" t="n">
        <f>78248</f>
        <v>78248.0</v>
      </c>
      <c r="AD1290" s="3" t="s">
        <v>314</v>
      </c>
      <c r="AE1290" s="27" t="n">
        <f>6930</f>
        <v>6930.0</v>
      </c>
    </row>
    <row r="1291">
      <c r="A1291" s="20" t="s">
        <v>2191</v>
      </c>
      <c r="B1291" s="21" t="s">
        <v>2192</v>
      </c>
      <c r="C1291" s="22" t="s">
        <v>1764</v>
      </c>
      <c r="D1291" s="23" t="s">
        <v>1765</v>
      </c>
      <c r="E1291" s="24" t="s">
        <v>404</v>
      </c>
      <c r="F1291" s="28" t="n">
        <f>121</f>
        <v>121.0</v>
      </c>
      <c r="G1291" s="25" t="n">
        <f>631024</f>
        <v>631024.0</v>
      </c>
      <c r="H1291" s="25"/>
      <c r="I1291" s="25" t="n">
        <f>25882</f>
        <v>25882.0</v>
      </c>
      <c r="J1291" s="25" t="n">
        <f>5215</f>
        <v>5215.0</v>
      </c>
      <c r="K1291" s="25" t="n">
        <f>214</f>
        <v>214.0</v>
      </c>
      <c r="L1291" s="2" t="s">
        <v>98</v>
      </c>
      <c r="M1291" s="26" t="n">
        <f>14172</f>
        <v>14172.0</v>
      </c>
      <c r="N1291" s="3" t="s">
        <v>97</v>
      </c>
      <c r="O1291" s="27" t="n">
        <f>1487</f>
        <v>1487.0</v>
      </c>
      <c r="P1291" s="29" t="s">
        <v>2299</v>
      </c>
      <c r="Q1291" s="25"/>
      <c r="R1291" s="29" t="s">
        <v>2300</v>
      </c>
      <c r="S1291" s="25" t="n">
        <f>887751901</f>
        <v>8.87751901E8</v>
      </c>
      <c r="T1291" s="25" t="n">
        <f>40190826</f>
        <v>4.0190826E7</v>
      </c>
      <c r="U1291" s="3" t="s">
        <v>739</v>
      </c>
      <c r="V1291" s="27" t="n">
        <f>2490480000</f>
        <v>2.49048E9</v>
      </c>
      <c r="W1291" s="3" t="s">
        <v>552</v>
      </c>
      <c r="X1291" s="27" t="n">
        <f>254120000</f>
        <v>2.5412E8</v>
      </c>
      <c r="Y1291" s="27" t="n">
        <f>32558</f>
        <v>32558.0</v>
      </c>
      <c r="Z1291" s="25" t="str">
        <f>"－"</f>
        <v>－</v>
      </c>
      <c r="AA1291" s="25" t="n">
        <f>46582</f>
        <v>46582.0</v>
      </c>
      <c r="AB1291" s="2" t="s">
        <v>131</v>
      </c>
      <c r="AC1291" s="26" t="n">
        <f>61749</f>
        <v>61749.0</v>
      </c>
      <c r="AD1291" s="3" t="s">
        <v>314</v>
      </c>
      <c r="AE1291" s="27" t="n">
        <f>4433</f>
        <v>4433.0</v>
      </c>
    </row>
    <row r="1292">
      <c r="A1292" s="20" t="s">
        <v>2191</v>
      </c>
      <c r="B1292" s="21" t="s">
        <v>2192</v>
      </c>
      <c r="C1292" s="22" t="s">
        <v>1768</v>
      </c>
      <c r="D1292" s="23" t="s">
        <v>1769</v>
      </c>
      <c r="E1292" s="24" t="s">
        <v>404</v>
      </c>
      <c r="F1292" s="28" t="n">
        <f>121</f>
        <v>121.0</v>
      </c>
      <c r="G1292" s="25" t="n">
        <f>1318041</f>
        <v>1318041.0</v>
      </c>
      <c r="H1292" s="25"/>
      <c r="I1292" s="25" t="n">
        <f>97444</f>
        <v>97444.0</v>
      </c>
      <c r="J1292" s="25" t="n">
        <f>10893</f>
        <v>10893.0</v>
      </c>
      <c r="K1292" s="25" t="n">
        <f>805</f>
        <v>805.0</v>
      </c>
      <c r="L1292" s="2" t="s">
        <v>739</v>
      </c>
      <c r="M1292" s="26" t="n">
        <f>30597</f>
        <v>30597.0</v>
      </c>
      <c r="N1292" s="3" t="s">
        <v>688</v>
      </c>
      <c r="O1292" s="27" t="n">
        <f>3619</f>
        <v>3619.0</v>
      </c>
      <c r="P1292" s="29" t="s">
        <v>2301</v>
      </c>
      <c r="Q1292" s="25"/>
      <c r="R1292" s="29" t="s">
        <v>2302</v>
      </c>
      <c r="S1292" s="25" t="n">
        <f>2089838678</f>
        <v>2.089838678E9</v>
      </c>
      <c r="T1292" s="25" t="n">
        <f>181418678</f>
        <v>1.81418678E8</v>
      </c>
      <c r="U1292" s="3" t="s">
        <v>739</v>
      </c>
      <c r="V1292" s="27" t="n">
        <f>9028040000</f>
        <v>9.02804E9</v>
      </c>
      <c r="W1292" s="3" t="s">
        <v>493</v>
      </c>
      <c r="X1292" s="27" t="n">
        <f>717130000</f>
        <v>7.1713E8</v>
      </c>
      <c r="Y1292" s="27" t="n">
        <f>68577</f>
        <v>68577.0</v>
      </c>
      <c r="Z1292" s="25" t="str">
        <f>"－"</f>
        <v>－</v>
      </c>
      <c r="AA1292" s="25" t="n">
        <f>116458</f>
        <v>116458.0</v>
      </c>
      <c r="AB1292" s="2" t="s">
        <v>131</v>
      </c>
      <c r="AC1292" s="26" t="n">
        <f>139997</f>
        <v>139997.0</v>
      </c>
      <c r="AD1292" s="3" t="s">
        <v>314</v>
      </c>
      <c r="AE1292" s="27" t="n">
        <f>11363</f>
        <v>11363.0</v>
      </c>
    </row>
    <row r="1293">
      <c r="A1293" s="20" t="s">
        <v>2191</v>
      </c>
      <c r="B1293" s="21" t="s">
        <v>2192</v>
      </c>
      <c r="C1293" s="22" t="s">
        <v>1760</v>
      </c>
      <c r="D1293" s="23" t="s">
        <v>1761</v>
      </c>
      <c r="E1293" s="24" t="s">
        <v>407</v>
      </c>
      <c r="F1293" s="28" t="n">
        <f>124</f>
        <v>124.0</v>
      </c>
      <c r="G1293" s="25" t="n">
        <f>772330</f>
        <v>772330.0</v>
      </c>
      <c r="H1293" s="25"/>
      <c r="I1293" s="25" t="n">
        <f>87563</f>
        <v>87563.0</v>
      </c>
      <c r="J1293" s="25" t="n">
        <f>6228</f>
        <v>6228.0</v>
      </c>
      <c r="K1293" s="25" t="n">
        <f>706</f>
        <v>706.0</v>
      </c>
      <c r="L1293" s="2" t="s">
        <v>198</v>
      </c>
      <c r="M1293" s="26" t="n">
        <f>20704</f>
        <v>20704.0</v>
      </c>
      <c r="N1293" s="3" t="s">
        <v>1526</v>
      </c>
      <c r="O1293" s="27" t="n">
        <f>1609</f>
        <v>1609.0</v>
      </c>
      <c r="P1293" s="29" t="s">
        <v>2303</v>
      </c>
      <c r="Q1293" s="25"/>
      <c r="R1293" s="29" t="s">
        <v>2304</v>
      </c>
      <c r="S1293" s="25" t="n">
        <f>1359363710</f>
        <v>1.35936371E9</v>
      </c>
      <c r="T1293" s="25" t="n">
        <f>190638226</f>
        <v>1.90638226E8</v>
      </c>
      <c r="U1293" s="3" t="s">
        <v>302</v>
      </c>
      <c r="V1293" s="27" t="n">
        <f>3945530000</f>
        <v>3.94553E9</v>
      </c>
      <c r="W1293" s="3" t="s">
        <v>1526</v>
      </c>
      <c r="X1293" s="27" t="n">
        <f>181270000</f>
        <v>1.8127E8</v>
      </c>
      <c r="Y1293" s="27" t="n">
        <f>17197</f>
        <v>17197.0</v>
      </c>
      <c r="Z1293" s="25" t="str">
        <f>"－"</f>
        <v>－</v>
      </c>
      <c r="AA1293" s="25" t="n">
        <f>9098</f>
        <v>9098.0</v>
      </c>
      <c r="AB1293" s="2" t="s">
        <v>838</v>
      </c>
      <c r="AC1293" s="26" t="n">
        <f>109124</f>
        <v>109124.0</v>
      </c>
      <c r="AD1293" s="3" t="s">
        <v>259</v>
      </c>
      <c r="AE1293" s="27" t="n">
        <f>7896</f>
        <v>7896.0</v>
      </c>
    </row>
    <row r="1294">
      <c r="A1294" s="20" t="s">
        <v>2191</v>
      </c>
      <c r="B1294" s="21" t="s">
        <v>2192</v>
      </c>
      <c r="C1294" s="22" t="s">
        <v>1764</v>
      </c>
      <c r="D1294" s="23" t="s">
        <v>1765</v>
      </c>
      <c r="E1294" s="24" t="s">
        <v>407</v>
      </c>
      <c r="F1294" s="28" t="n">
        <f>124</f>
        <v>124.0</v>
      </c>
      <c r="G1294" s="25" t="n">
        <f>714440</f>
        <v>714440.0</v>
      </c>
      <c r="H1294" s="25"/>
      <c r="I1294" s="25" t="n">
        <f>54159</f>
        <v>54159.0</v>
      </c>
      <c r="J1294" s="25" t="n">
        <f>5762</f>
        <v>5762.0</v>
      </c>
      <c r="K1294" s="25" t="n">
        <f>437</f>
        <v>437.0</v>
      </c>
      <c r="L1294" s="2" t="s">
        <v>894</v>
      </c>
      <c r="M1294" s="26" t="n">
        <f>17385</f>
        <v>17385.0</v>
      </c>
      <c r="N1294" s="3" t="s">
        <v>95</v>
      </c>
      <c r="O1294" s="27" t="n">
        <f>1757</f>
        <v>1757.0</v>
      </c>
      <c r="P1294" s="29" t="s">
        <v>2305</v>
      </c>
      <c r="Q1294" s="25"/>
      <c r="R1294" s="29" t="s">
        <v>2306</v>
      </c>
      <c r="S1294" s="25" t="n">
        <f>1717273871</f>
        <v>1.717273871E9</v>
      </c>
      <c r="T1294" s="25" t="n">
        <f>219422742</f>
        <v>2.19422742E8</v>
      </c>
      <c r="U1294" s="3" t="s">
        <v>529</v>
      </c>
      <c r="V1294" s="27" t="n">
        <f>20023710000</f>
        <v>2.002371E10</v>
      </c>
      <c r="W1294" s="3" t="s">
        <v>882</v>
      </c>
      <c r="X1294" s="27" t="n">
        <f>161280000</f>
        <v>1.6128E8</v>
      </c>
      <c r="Y1294" s="27" t="n">
        <f>79431</f>
        <v>79431.0</v>
      </c>
      <c r="Z1294" s="25" t="str">
        <f>"－"</f>
        <v>－</v>
      </c>
      <c r="AA1294" s="25" t="n">
        <f>6936</f>
        <v>6936.0</v>
      </c>
      <c r="AB1294" s="2" t="s">
        <v>1469</v>
      </c>
      <c r="AC1294" s="26" t="n">
        <f>50727</f>
        <v>50727.0</v>
      </c>
      <c r="AD1294" s="3" t="s">
        <v>259</v>
      </c>
      <c r="AE1294" s="27" t="n">
        <f>6106</f>
        <v>6106.0</v>
      </c>
    </row>
    <row r="1295">
      <c r="A1295" s="20" t="s">
        <v>2191</v>
      </c>
      <c r="B1295" s="21" t="s">
        <v>2192</v>
      </c>
      <c r="C1295" s="22" t="s">
        <v>1768</v>
      </c>
      <c r="D1295" s="23" t="s">
        <v>1769</v>
      </c>
      <c r="E1295" s="24" t="s">
        <v>407</v>
      </c>
      <c r="F1295" s="28" t="n">
        <f>124</f>
        <v>124.0</v>
      </c>
      <c r="G1295" s="25" t="n">
        <f>1486770</f>
        <v>1486770.0</v>
      </c>
      <c r="H1295" s="25"/>
      <c r="I1295" s="25" t="n">
        <f>141722</f>
        <v>141722.0</v>
      </c>
      <c r="J1295" s="25" t="n">
        <f>11990</f>
        <v>11990.0</v>
      </c>
      <c r="K1295" s="25" t="n">
        <f>1143</f>
        <v>1143.0</v>
      </c>
      <c r="L1295" s="2" t="s">
        <v>198</v>
      </c>
      <c r="M1295" s="26" t="n">
        <f>33535</f>
        <v>33535.0</v>
      </c>
      <c r="N1295" s="3" t="s">
        <v>1526</v>
      </c>
      <c r="O1295" s="27" t="n">
        <f>3493</f>
        <v>3493.0</v>
      </c>
      <c r="P1295" s="29" t="s">
        <v>2307</v>
      </c>
      <c r="Q1295" s="25"/>
      <c r="R1295" s="29" t="s">
        <v>2308</v>
      </c>
      <c r="S1295" s="25" t="n">
        <f>3076637581</f>
        <v>3.076637581E9</v>
      </c>
      <c r="T1295" s="25" t="n">
        <f>410060968</f>
        <v>4.10060968E8</v>
      </c>
      <c r="U1295" s="3" t="s">
        <v>529</v>
      </c>
      <c r="V1295" s="27" t="n">
        <f>21224770000</f>
        <v>2.122477E10</v>
      </c>
      <c r="W1295" s="3" t="s">
        <v>1526</v>
      </c>
      <c r="X1295" s="27" t="n">
        <f>521550000</f>
        <v>5.2155E8</v>
      </c>
      <c r="Y1295" s="27" t="n">
        <f>96628</f>
        <v>96628.0</v>
      </c>
      <c r="Z1295" s="25" t="str">
        <f>"－"</f>
        <v>－</v>
      </c>
      <c r="AA1295" s="25" t="n">
        <f>16034</f>
        <v>16034.0</v>
      </c>
      <c r="AB1295" s="2" t="s">
        <v>1469</v>
      </c>
      <c r="AC1295" s="26" t="n">
        <f>154544</f>
        <v>154544.0</v>
      </c>
      <c r="AD1295" s="3" t="s">
        <v>259</v>
      </c>
      <c r="AE1295" s="27" t="n">
        <f>14002</f>
        <v>14002.0</v>
      </c>
    </row>
    <row r="1296">
      <c r="A1296" s="20" t="s">
        <v>2191</v>
      </c>
      <c r="B1296" s="21" t="s">
        <v>2192</v>
      </c>
      <c r="C1296" s="22" t="s">
        <v>1760</v>
      </c>
      <c r="D1296" s="23" t="s">
        <v>1761</v>
      </c>
      <c r="E1296" s="24" t="s">
        <v>410</v>
      </c>
      <c r="F1296" s="28" t="n">
        <f>121</f>
        <v>121.0</v>
      </c>
      <c r="G1296" s="25" t="n">
        <f>697061</f>
        <v>697061.0</v>
      </c>
      <c r="H1296" s="25"/>
      <c r="I1296" s="25" t="n">
        <f>82205</f>
        <v>82205.0</v>
      </c>
      <c r="J1296" s="25" t="n">
        <f>5761</f>
        <v>5761.0</v>
      </c>
      <c r="K1296" s="25" t="n">
        <f>679</f>
        <v>679.0</v>
      </c>
      <c r="L1296" s="2" t="s">
        <v>773</v>
      </c>
      <c r="M1296" s="26" t="n">
        <f>14808</f>
        <v>14808.0</v>
      </c>
      <c r="N1296" s="3" t="s">
        <v>312</v>
      </c>
      <c r="O1296" s="27" t="n">
        <f>794</f>
        <v>794.0</v>
      </c>
      <c r="P1296" s="29" t="s">
        <v>2309</v>
      </c>
      <c r="Q1296" s="25"/>
      <c r="R1296" s="29" t="s">
        <v>2310</v>
      </c>
      <c r="S1296" s="25" t="n">
        <f>1861596446</f>
        <v>1.861596446E9</v>
      </c>
      <c r="T1296" s="25" t="n">
        <f>352098760</f>
        <v>3.5209876E8</v>
      </c>
      <c r="U1296" s="3" t="s">
        <v>733</v>
      </c>
      <c r="V1296" s="27" t="n">
        <f>12501900000</f>
        <v>1.25019E10</v>
      </c>
      <c r="W1296" s="3" t="s">
        <v>1079</v>
      </c>
      <c r="X1296" s="27" t="n">
        <f>367310000</f>
        <v>3.6731E8</v>
      </c>
      <c r="Y1296" s="27" t="n">
        <f>47514</f>
        <v>47514.0</v>
      </c>
      <c r="Z1296" s="25" t="n">
        <f>47212</f>
        <v>47212.0</v>
      </c>
      <c r="AA1296" s="25" t="n">
        <f>29953</f>
        <v>29953.0</v>
      </c>
      <c r="AB1296" s="2" t="s">
        <v>177</v>
      </c>
      <c r="AC1296" s="26" t="n">
        <f>45359</f>
        <v>45359.0</v>
      </c>
      <c r="AD1296" s="3" t="s">
        <v>312</v>
      </c>
      <c r="AE1296" s="27" t="n">
        <f>4079</f>
        <v>4079.0</v>
      </c>
    </row>
    <row r="1297">
      <c r="A1297" s="20" t="s">
        <v>2191</v>
      </c>
      <c r="B1297" s="21" t="s">
        <v>2192</v>
      </c>
      <c r="C1297" s="22" t="s">
        <v>1764</v>
      </c>
      <c r="D1297" s="23" t="s">
        <v>1765</v>
      </c>
      <c r="E1297" s="24" t="s">
        <v>410</v>
      </c>
      <c r="F1297" s="28" t="n">
        <f>121</f>
        <v>121.0</v>
      </c>
      <c r="G1297" s="25" t="n">
        <f>764118</f>
        <v>764118.0</v>
      </c>
      <c r="H1297" s="25"/>
      <c r="I1297" s="25" t="n">
        <f>73671</f>
        <v>73671.0</v>
      </c>
      <c r="J1297" s="25" t="n">
        <f>6315</f>
        <v>6315.0</v>
      </c>
      <c r="K1297" s="25" t="n">
        <f>609</f>
        <v>609.0</v>
      </c>
      <c r="L1297" s="2" t="s">
        <v>400</v>
      </c>
      <c r="M1297" s="26" t="n">
        <f>17937</f>
        <v>17937.0</v>
      </c>
      <c r="N1297" s="3" t="s">
        <v>312</v>
      </c>
      <c r="O1297" s="27" t="n">
        <f>1967</f>
        <v>1967.0</v>
      </c>
      <c r="P1297" s="29" t="s">
        <v>2311</v>
      </c>
      <c r="Q1297" s="25"/>
      <c r="R1297" s="29" t="s">
        <v>2312</v>
      </c>
      <c r="S1297" s="25" t="n">
        <f>1677965207</f>
        <v>1.677965207E9</v>
      </c>
      <c r="T1297" s="25" t="n">
        <f>219042231</f>
        <v>2.19042231E8</v>
      </c>
      <c r="U1297" s="3" t="s">
        <v>400</v>
      </c>
      <c r="V1297" s="27" t="n">
        <f>6791410000</f>
        <v>6.79141E9</v>
      </c>
      <c r="W1297" s="3" t="s">
        <v>312</v>
      </c>
      <c r="X1297" s="27" t="n">
        <f>439760000</f>
        <v>4.3976E8</v>
      </c>
      <c r="Y1297" s="27" t="n">
        <f>43813</f>
        <v>43813.0</v>
      </c>
      <c r="Z1297" s="25" t="n">
        <f>44121</f>
        <v>44121.0</v>
      </c>
      <c r="AA1297" s="25" t="n">
        <f>18823</f>
        <v>18823.0</v>
      </c>
      <c r="AB1297" s="2" t="s">
        <v>733</v>
      </c>
      <c r="AC1297" s="26" t="n">
        <f>52459</f>
        <v>52459.0</v>
      </c>
      <c r="AD1297" s="3" t="s">
        <v>312</v>
      </c>
      <c r="AE1297" s="27" t="n">
        <f>4194</f>
        <v>4194.0</v>
      </c>
    </row>
    <row r="1298">
      <c r="A1298" s="20" t="s">
        <v>2191</v>
      </c>
      <c r="B1298" s="21" t="s">
        <v>2192</v>
      </c>
      <c r="C1298" s="22" t="s">
        <v>1768</v>
      </c>
      <c r="D1298" s="23" t="s">
        <v>1769</v>
      </c>
      <c r="E1298" s="24" t="s">
        <v>410</v>
      </c>
      <c r="F1298" s="28" t="n">
        <f>121</f>
        <v>121.0</v>
      </c>
      <c r="G1298" s="25" t="n">
        <f>1461179</f>
        <v>1461179.0</v>
      </c>
      <c r="H1298" s="25"/>
      <c r="I1298" s="25" t="n">
        <f>155876</f>
        <v>155876.0</v>
      </c>
      <c r="J1298" s="25" t="n">
        <f>12076</f>
        <v>12076.0</v>
      </c>
      <c r="K1298" s="25" t="n">
        <f>1288</f>
        <v>1288.0</v>
      </c>
      <c r="L1298" s="2" t="s">
        <v>305</v>
      </c>
      <c r="M1298" s="26" t="n">
        <f>25142</f>
        <v>25142.0</v>
      </c>
      <c r="N1298" s="3" t="s">
        <v>312</v>
      </c>
      <c r="O1298" s="27" t="n">
        <f>2761</f>
        <v>2761.0</v>
      </c>
      <c r="P1298" s="29" t="s">
        <v>2313</v>
      </c>
      <c r="Q1298" s="25"/>
      <c r="R1298" s="29" t="s">
        <v>2314</v>
      </c>
      <c r="S1298" s="25" t="n">
        <f>3539561653</f>
        <v>3.539561653E9</v>
      </c>
      <c r="T1298" s="25" t="n">
        <f>571140992</f>
        <v>5.71140992E8</v>
      </c>
      <c r="U1298" s="3" t="s">
        <v>733</v>
      </c>
      <c r="V1298" s="27" t="n">
        <f>14008590000</f>
        <v>1.400859E10</v>
      </c>
      <c r="W1298" s="3" t="s">
        <v>1121</v>
      </c>
      <c r="X1298" s="27" t="n">
        <f>979680000</f>
        <v>9.7968E8</v>
      </c>
      <c r="Y1298" s="27" t="n">
        <f>91327</f>
        <v>91327.0</v>
      </c>
      <c r="Z1298" s="25" t="n">
        <f>91333</f>
        <v>91333.0</v>
      </c>
      <c r="AA1298" s="25" t="n">
        <f>48776</f>
        <v>48776.0</v>
      </c>
      <c r="AB1298" s="2" t="s">
        <v>1201</v>
      </c>
      <c r="AC1298" s="26" t="n">
        <f>83813</f>
        <v>83813.0</v>
      </c>
      <c r="AD1298" s="3" t="s">
        <v>312</v>
      </c>
      <c r="AE1298" s="27" t="n">
        <f>8273</f>
        <v>8273.0</v>
      </c>
    </row>
    <row r="1299">
      <c r="A1299" s="20" t="s">
        <v>2191</v>
      </c>
      <c r="B1299" s="21" t="s">
        <v>2192</v>
      </c>
      <c r="C1299" s="22" t="s">
        <v>1760</v>
      </c>
      <c r="D1299" s="23" t="s">
        <v>1761</v>
      </c>
      <c r="E1299" s="24" t="s">
        <v>415</v>
      </c>
      <c r="F1299" s="28" t="n">
        <f>124</f>
        <v>124.0</v>
      </c>
      <c r="G1299" s="25" t="n">
        <f>465059</f>
        <v>465059.0</v>
      </c>
      <c r="H1299" s="25"/>
      <c r="I1299" s="25" t="n">
        <f>46799</f>
        <v>46799.0</v>
      </c>
      <c r="J1299" s="25" t="n">
        <f>3750</f>
        <v>3750.0</v>
      </c>
      <c r="K1299" s="25" t="n">
        <f>377</f>
        <v>377.0</v>
      </c>
      <c r="L1299" s="2" t="s">
        <v>545</v>
      </c>
      <c r="M1299" s="26" t="n">
        <f>9555</f>
        <v>9555.0</v>
      </c>
      <c r="N1299" s="3" t="s">
        <v>237</v>
      </c>
      <c r="O1299" s="27" t="n">
        <f>629</f>
        <v>629.0</v>
      </c>
      <c r="P1299" s="29" t="s">
        <v>2315</v>
      </c>
      <c r="Q1299" s="25"/>
      <c r="R1299" s="29" t="s">
        <v>2316</v>
      </c>
      <c r="S1299" s="25" t="n">
        <f>1106518306</f>
        <v>1.106518306E9</v>
      </c>
      <c r="T1299" s="25" t="n">
        <f>127951935</f>
        <v>1.27951935E8</v>
      </c>
      <c r="U1299" s="3" t="s">
        <v>68</v>
      </c>
      <c r="V1299" s="27" t="n">
        <f>3772480000</f>
        <v>3.77248E9</v>
      </c>
      <c r="W1299" s="3" t="s">
        <v>114</v>
      </c>
      <c r="X1299" s="27" t="n">
        <f>46930000</f>
        <v>4.693E7</v>
      </c>
      <c r="Y1299" s="27" t="n">
        <f>7414</f>
        <v>7414.0</v>
      </c>
      <c r="Z1299" s="25" t="n">
        <f>51709</f>
        <v>51709.0</v>
      </c>
      <c r="AA1299" s="25" t="n">
        <f>2044</f>
        <v>2044.0</v>
      </c>
      <c r="AB1299" s="2" t="s">
        <v>838</v>
      </c>
      <c r="AC1299" s="26" t="n">
        <f>39313</f>
        <v>39313.0</v>
      </c>
      <c r="AD1299" s="3" t="s">
        <v>593</v>
      </c>
      <c r="AE1299" s="27" t="n">
        <f>863</f>
        <v>863.0</v>
      </c>
    </row>
    <row r="1300">
      <c r="A1300" s="20" t="s">
        <v>2191</v>
      </c>
      <c r="B1300" s="21" t="s">
        <v>2192</v>
      </c>
      <c r="C1300" s="22" t="s">
        <v>1764</v>
      </c>
      <c r="D1300" s="23" t="s">
        <v>1765</v>
      </c>
      <c r="E1300" s="24" t="s">
        <v>415</v>
      </c>
      <c r="F1300" s="28" t="n">
        <f>124</f>
        <v>124.0</v>
      </c>
      <c r="G1300" s="25" t="n">
        <f>516360</f>
        <v>516360.0</v>
      </c>
      <c r="H1300" s="25"/>
      <c r="I1300" s="25" t="n">
        <f>68862</f>
        <v>68862.0</v>
      </c>
      <c r="J1300" s="25" t="n">
        <f>4164</f>
        <v>4164.0</v>
      </c>
      <c r="K1300" s="25" t="n">
        <f>555</f>
        <v>555.0</v>
      </c>
      <c r="L1300" s="2" t="s">
        <v>388</v>
      </c>
      <c r="M1300" s="26" t="n">
        <f>11576</f>
        <v>11576.0</v>
      </c>
      <c r="N1300" s="3" t="s">
        <v>237</v>
      </c>
      <c r="O1300" s="27" t="n">
        <f>293</f>
        <v>293.0</v>
      </c>
      <c r="P1300" s="29" t="s">
        <v>2317</v>
      </c>
      <c r="Q1300" s="25"/>
      <c r="R1300" s="29" t="s">
        <v>2318</v>
      </c>
      <c r="S1300" s="25" t="n">
        <f>1370840484</f>
        <v>1.370840484E9</v>
      </c>
      <c r="T1300" s="25" t="n">
        <f>245028952</f>
        <v>2.45028952E8</v>
      </c>
      <c r="U1300" s="3" t="s">
        <v>335</v>
      </c>
      <c r="V1300" s="27" t="n">
        <f>6321260000</f>
        <v>6.32126E9</v>
      </c>
      <c r="W1300" s="3" t="s">
        <v>50</v>
      </c>
      <c r="X1300" s="27" t="n">
        <f>71580000</f>
        <v>7.158E7</v>
      </c>
      <c r="Y1300" s="27" t="n">
        <f>32410</f>
        <v>32410.0</v>
      </c>
      <c r="Z1300" s="25" t="n">
        <f>54749</f>
        <v>54749.0</v>
      </c>
      <c r="AA1300" s="25" t="n">
        <f>2081</f>
        <v>2081.0</v>
      </c>
      <c r="AB1300" s="2" t="s">
        <v>240</v>
      </c>
      <c r="AC1300" s="26" t="n">
        <f>29462</f>
        <v>29462.0</v>
      </c>
      <c r="AD1300" s="3" t="s">
        <v>593</v>
      </c>
      <c r="AE1300" s="27" t="n">
        <f>844</f>
        <v>844.0</v>
      </c>
    </row>
    <row r="1301">
      <c r="A1301" s="20" t="s">
        <v>2191</v>
      </c>
      <c r="B1301" s="21" t="s">
        <v>2192</v>
      </c>
      <c r="C1301" s="22" t="s">
        <v>1768</v>
      </c>
      <c r="D1301" s="23" t="s">
        <v>1769</v>
      </c>
      <c r="E1301" s="24" t="s">
        <v>415</v>
      </c>
      <c r="F1301" s="28" t="n">
        <f>124</f>
        <v>124.0</v>
      </c>
      <c r="G1301" s="25" t="n">
        <f>981419</f>
        <v>981419.0</v>
      </c>
      <c r="H1301" s="25"/>
      <c r="I1301" s="25" t="n">
        <f>115661</f>
        <v>115661.0</v>
      </c>
      <c r="J1301" s="25" t="n">
        <f>7915</f>
        <v>7915.0</v>
      </c>
      <c r="K1301" s="25" t="n">
        <f>933</f>
        <v>933.0</v>
      </c>
      <c r="L1301" s="2" t="s">
        <v>388</v>
      </c>
      <c r="M1301" s="26" t="n">
        <f>18957</f>
        <v>18957.0</v>
      </c>
      <c r="N1301" s="3" t="s">
        <v>237</v>
      </c>
      <c r="O1301" s="27" t="n">
        <f>922</f>
        <v>922.0</v>
      </c>
      <c r="P1301" s="29" t="s">
        <v>2319</v>
      </c>
      <c r="Q1301" s="25"/>
      <c r="R1301" s="29" t="s">
        <v>2320</v>
      </c>
      <c r="S1301" s="25" t="n">
        <f>2477358790</f>
        <v>2.47735879E9</v>
      </c>
      <c r="T1301" s="25" t="n">
        <f>372980887</f>
        <v>3.72980887E8</v>
      </c>
      <c r="U1301" s="3" t="s">
        <v>335</v>
      </c>
      <c r="V1301" s="27" t="n">
        <f>7662810000</f>
        <v>7.66281E9</v>
      </c>
      <c r="W1301" s="3" t="s">
        <v>50</v>
      </c>
      <c r="X1301" s="27" t="n">
        <f>122710000</f>
        <v>1.2271E8</v>
      </c>
      <c r="Y1301" s="27" t="n">
        <f>39824</f>
        <v>39824.0</v>
      </c>
      <c r="Z1301" s="25" t="n">
        <f>106458</f>
        <v>106458.0</v>
      </c>
      <c r="AA1301" s="25" t="n">
        <f>4125</f>
        <v>4125.0</v>
      </c>
      <c r="AB1301" s="2" t="s">
        <v>240</v>
      </c>
      <c r="AC1301" s="26" t="n">
        <f>65221</f>
        <v>65221.0</v>
      </c>
      <c r="AD1301" s="3" t="s">
        <v>593</v>
      </c>
      <c r="AE1301" s="27" t="n">
        <f>1707</f>
        <v>1707.0</v>
      </c>
    </row>
    <row r="1302">
      <c r="A1302" s="20" t="s">
        <v>2191</v>
      </c>
      <c r="B1302" s="21" t="s">
        <v>2192</v>
      </c>
      <c r="C1302" s="22" t="s">
        <v>1760</v>
      </c>
      <c r="D1302" s="23" t="s">
        <v>1761</v>
      </c>
      <c r="E1302" s="24" t="s">
        <v>418</v>
      </c>
      <c r="F1302" s="28" t="n">
        <f>120</f>
        <v>120.0</v>
      </c>
      <c r="G1302" s="25" t="n">
        <f>523656</f>
        <v>523656.0</v>
      </c>
      <c r="H1302" s="25"/>
      <c r="I1302" s="25" t="n">
        <f>37530</f>
        <v>37530.0</v>
      </c>
      <c r="J1302" s="25" t="n">
        <f>4364</f>
        <v>4364.0</v>
      </c>
      <c r="K1302" s="25" t="n">
        <f>313</f>
        <v>313.0</v>
      </c>
      <c r="L1302" s="2" t="s">
        <v>733</v>
      </c>
      <c r="M1302" s="26" t="n">
        <f>13873</f>
        <v>13873.0</v>
      </c>
      <c r="N1302" s="3" t="s">
        <v>147</v>
      </c>
      <c r="O1302" s="27" t="n">
        <f>930</f>
        <v>930.0</v>
      </c>
      <c r="P1302" s="29" t="s">
        <v>2321</v>
      </c>
      <c r="Q1302" s="25"/>
      <c r="R1302" s="29" t="s">
        <v>2322</v>
      </c>
      <c r="S1302" s="25" t="n">
        <f>1012290500</f>
        <v>1.0122905E9</v>
      </c>
      <c r="T1302" s="25" t="n">
        <f>82960833</f>
        <v>8.2960833E7</v>
      </c>
      <c r="U1302" s="3" t="s">
        <v>293</v>
      </c>
      <c r="V1302" s="27" t="n">
        <f>4120910000</f>
        <v>4.12091E9</v>
      </c>
      <c r="W1302" s="3" t="s">
        <v>971</v>
      </c>
      <c r="X1302" s="27" t="n">
        <f>182730000</f>
        <v>1.8273E8</v>
      </c>
      <c r="Y1302" s="27" t="n">
        <f>48065</f>
        <v>48065.0</v>
      </c>
      <c r="Z1302" s="25" t="n">
        <f>230254</f>
        <v>230254.0</v>
      </c>
      <c r="AA1302" s="25" t="n">
        <f>54526</f>
        <v>54526.0</v>
      </c>
      <c r="AB1302" s="2" t="s">
        <v>251</v>
      </c>
      <c r="AC1302" s="26" t="n">
        <f>54526</f>
        <v>54526.0</v>
      </c>
      <c r="AD1302" s="3" t="s">
        <v>147</v>
      </c>
      <c r="AE1302" s="27" t="n">
        <f>2500</f>
        <v>2500.0</v>
      </c>
    </row>
    <row r="1303">
      <c r="A1303" s="20" t="s">
        <v>2191</v>
      </c>
      <c r="B1303" s="21" t="s">
        <v>2192</v>
      </c>
      <c r="C1303" s="22" t="s">
        <v>1764</v>
      </c>
      <c r="D1303" s="23" t="s">
        <v>1765</v>
      </c>
      <c r="E1303" s="24" t="s">
        <v>418</v>
      </c>
      <c r="F1303" s="28" t="n">
        <f>120</f>
        <v>120.0</v>
      </c>
      <c r="G1303" s="25" t="n">
        <f>634957</f>
        <v>634957.0</v>
      </c>
      <c r="H1303" s="25"/>
      <c r="I1303" s="25" t="n">
        <f>36573</f>
        <v>36573.0</v>
      </c>
      <c r="J1303" s="25" t="n">
        <f>5291</f>
        <v>5291.0</v>
      </c>
      <c r="K1303" s="25" t="n">
        <f>305</f>
        <v>305.0</v>
      </c>
      <c r="L1303" s="2" t="s">
        <v>71</v>
      </c>
      <c r="M1303" s="26" t="n">
        <f>19922</f>
        <v>19922.0</v>
      </c>
      <c r="N1303" s="3" t="s">
        <v>147</v>
      </c>
      <c r="O1303" s="27" t="n">
        <f>223</f>
        <v>223.0</v>
      </c>
      <c r="P1303" s="29" t="s">
        <v>2323</v>
      </c>
      <c r="Q1303" s="25"/>
      <c r="R1303" s="29" t="s">
        <v>2324</v>
      </c>
      <c r="S1303" s="25" t="n">
        <f>1345781000</f>
        <v>1.345781E9</v>
      </c>
      <c r="T1303" s="25" t="n">
        <f>111265333</f>
        <v>1.11265333E8</v>
      </c>
      <c r="U1303" s="3" t="s">
        <v>251</v>
      </c>
      <c r="V1303" s="27" t="n">
        <f>9803730000</f>
        <v>9.80373E9</v>
      </c>
      <c r="W1303" s="3" t="s">
        <v>147</v>
      </c>
      <c r="X1303" s="27" t="n">
        <f>110540000</f>
        <v>1.1054E8</v>
      </c>
      <c r="Y1303" s="27" t="n">
        <f>49205</f>
        <v>49205.0</v>
      </c>
      <c r="Z1303" s="25" t="n">
        <f>275736</f>
        <v>275736.0</v>
      </c>
      <c r="AA1303" s="25" t="n">
        <f>7010</f>
        <v>7010.0</v>
      </c>
      <c r="AB1303" s="2" t="s">
        <v>634</v>
      </c>
      <c r="AC1303" s="26" t="n">
        <f>54579</f>
        <v>54579.0</v>
      </c>
      <c r="AD1303" s="3" t="s">
        <v>147</v>
      </c>
      <c r="AE1303" s="27" t="n">
        <f>2231</f>
        <v>2231.0</v>
      </c>
    </row>
    <row r="1304">
      <c r="A1304" s="20" t="s">
        <v>2191</v>
      </c>
      <c r="B1304" s="21" t="s">
        <v>2192</v>
      </c>
      <c r="C1304" s="22" t="s">
        <v>1768</v>
      </c>
      <c r="D1304" s="23" t="s">
        <v>1769</v>
      </c>
      <c r="E1304" s="24" t="s">
        <v>418</v>
      </c>
      <c r="F1304" s="28" t="n">
        <f>120</f>
        <v>120.0</v>
      </c>
      <c r="G1304" s="25" t="n">
        <f>1158613</f>
        <v>1158613.0</v>
      </c>
      <c r="H1304" s="25"/>
      <c r="I1304" s="25" t="n">
        <f>74103</f>
        <v>74103.0</v>
      </c>
      <c r="J1304" s="25" t="n">
        <f>9655</f>
        <v>9655.0</v>
      </c>
      <c r="K1304" s="25" t="n">
        <f>618</f>
        <v>618.0</v>
      </c>
      <c r="L1304" s="2" t="s">
        <v>71</v>
      </c>
      <c r="M1304" s="26" t="n">
        <f>29788</f>
        <v>29788.0</v>
      </c>
      <c r="N1304" s="3" t="s">
        <v>147</v>
      </c>
      <c r="O1304" s="27" t="n">
        <f>1153</f>
        <v>1153.0</v>
      </c>
      <c r="P1304" s="29" t="s">
        <v>2325</v>
      </c>
      <c r="Q1304" s="25"/>
      <c r="R1304" s="29" t="s">
        <v>2326</v>
      </c>
      <c r="S1304" s="25" t="n">
        <f>2358071500</f>
        <v>2.3580715E9</v>
      </c>
      <c r="T1304" s="25" t="n">
        <f>194226167</f>
        <v>1.94226167E8</v>
      </c>
      <c r="U1304" s="3" t="s">
        <v>251</v>
      </c>
      <c r="V1304" s="27" t="n">
        <f>10790550000</f>
        <v>1.079055E10</v>
      </c>
      <c r="W1304" s="3" t="s">
        <v>147</v>
      </c>
      <c r="X1304" s="27" t="n">
        <f>502120000</f>
        <v>5.0212E8</v>
      </c>
      <c r="Y1304" s="27" t="n">
        <f>97270</f>
        <v>97270.0</v>
      </c>
      <c r="Z1304" s="25" t="n">
        <f>505990</f>
        <v>505990.0</v>
      </c>
      <c r="AA1304" s="25" t="n">
        <f>61536</f>
        <v>61536.0</v>
      </c>
      <c r="AB1304" s="2" t="s">
        <v>634</v>
      </c>
      <c r="AC1304" s="26" t="n">
        <f>97972</f>
        <v>97972.0</v>
      </c>
      <c r="AD1304" s="3" t="s">
        <v>147</v>
      </c>
      <c r="AE1304" s="27" t="n">
        <f>4731</f>
        <v>4731.0</v>
      </c>
    </row>
    <row r="1305">
      <c r="A1305" s="20" t="s">
        <v>2191</v>
      </c>
      <c r="B1305" s="21" t="s">
        <v>2192</v>
      </c>
      <c r="C1305" s="22" t="s">
        <v>1760</v>
      </c>
      <c r="D1305" s="23" t="s">
        <v>1761</v>
      </c>
      <c r="E1305" s="24" t="s">
        <v>423</v>
      </c>
      <c r="F1305" s="28" t="n">
        <f>123</f>
        <v>123.0</v>
      </c>
      <c r="G1305" s="25" t="n">
        <f>691669</f>
        <v>691669.0</v>
      </c>
      <c r="H1305" s="25"/>
      <c r="I1305" s="25" t="n">
        <f>53970</f>
        <v>53970.0</v>
      </c>
      <c r="J1305" s="25" t="n">
        <f>5623</f>
        <v>5623.0</v>
      </c>
      <c r="K1305" s="25" t="n">
        <f>439</f>
        <v>439.0</v>
      </c>
      <c r="L1305" s="2" t="s">
        <v>838</v>
      </c>
      <c r="M1305" s="26" t="n">
        <f>13225</f>
        <v>13225.0</v>
      </c>
      <c r="N1305" s="3" t="s">
        <v>269</v>
      </c>
      <c r="O1305" s="27" t="n">
        <f>2012</f>
        <v>2012.0</v>
      </c>
      <c r="P1305" s="29" t="s">
        <v>2327</v>
      </c>
      <c r="Q1305" s="25"/>
      <c r="R1305" s="29" t="s">
        <v>2328</v>
      </c>
      <c r="S1305" s="25" t="n">
        <f>1127827805</f>
        <v>1.127827805E9</v>
      </c>
      <c r="T1305" s="25" t="n">
        <f>101508780</f>
        <v>1.0150878E8</v>
      </c>
      <c r="U1305" s="3" t="s">
        <v>68</v>
      </c>
      <c r="V1305" s="27" t="n">
        <f>3258950000</f>
        <v>3.25895E9</v>
      </c>
      <c r="W1305" s="3" t="s">
        <v>1469</v>
      </c>
      <c r="X1305" s="27" t="n">
        <f>210880000</f>
        <v>2.1088E8</v>
      </c>
      <c r="Y1305" s="27" t="n">
        <f>51534</f>
        <v>51534.0</v>
      </c>
      <c r="Z1305" s="25" t="n">
        <f>382603</f>
        <v>382603.0</v>
      </c>
      <c r="AA1305" s="25" t="n">
        <f>26601</f>
        <v>26601.0</v>
      </c>
      <c r="AB1305" s="2" t="s">
        <v>263</v>
      </c>
      <c r="AC1305" s="26" t="n">
        <f>50624</f>
        <v>50624.0</v>
      </c>
      <c r="AD1305" s="3" t="s">
        <v>806</v>
      </c>
      <c r="AE1305" s="27" t="n">
        <f>4815</f>
        <v>4815.0</v>
      </c>
    </row>
    <row r="1306">
      <c r="A1306" s="20" t="s">
        <v>2191</v>
      </c>
      <c r="B1306" s="21" t="s">
        <v>2192</v>
      </c>
      <c r="C1306" s="22" t="s">
        <v>1764</v>
      </c>
      <c r="D1306" s="23" t="s">
        <v>1765</v>
      </c>
      <c r="E1306" s="24" t="s">
        <v>423</v>
      </c>
      <c r="F1306" s="28" t="n">
        <f>123</f>
        <v>123.0</v>
      </c>
      <c r="G1306" s="25" t="n">
        <f>582935</f>
        <v>582935.0</v>
      </c>
      <c r="H1306" s="25"/>
      <c r="I1306" s="25" t="n">
        <f>37081</f>
        <v>37081.0</v>
      </c>
      <c r="J1306" s="25" t="n">
        <f>4739</f>
        <v>4739.0</v>
      </c>
      <c r="K1306" s="25" t="n">
        <f>301</f>
        <v>301.0</v>
      </c>
      <c r="L1306" s="2" t="s">
        <v>260</v>
      </c>
      <c r="M1306" s="26" t="n">
        <f>14513</f>
        <v>14513.0</v>
      </c>
      <c r="N1306" s="3" t="s">
        <v>280</v>
      </c>
      <c r="O1306" s="27" t="n">
        <f>1017</f>
        <v>1017.0</v>
      </c>
      <c r="P1306" s="29" t="s">
        <v>2329</v>
      </c>
      <c r="Q1306" s="25"/>
      <c r="R1306" s="29" t="s">
        <v>2330</v>
      </c>
      <c r="S1306" s="25" t="n">
        <f>1230487236</f>
        <v>1.230487236E9</v>
      </c>
      <c r="T1306" s="25" t="n">
        <f>158790813</f>
        <v>1.58790813E8</v>
      </c>
      <c r="U1306" s="3" t="s">
        <v>529</v>
      </c>
      <c r="V1306" s="27" t="n">
        <f>6606590000</f>
        <v>6.60659E9</v>
      </c>
      <c r="W1306" s="3" t="s">
        <v>129</v>
      </c>
      <c r="X1306" s="27" t="n">
        <f>143920000</f>
        <v>1.4392E8</v>
      </c>
      <c r="Y1306" s="27" t="n">
        <f>73351</f>
        <v>73351.0</v>
      </c>
      <c r="Z1306" s="25" t="n">
        <f>295614</f>
        <v>295614.0</v>
      </c>
      <c r="AA1306" s="25" t="n">
        <f>14570</f>
        <v>14570.0</v>
      </c>
      <c r="AB1306" s="2" t="s">
        <v>263</v>
      </c>
      <c r="AC1306" s="26" t="n">
        <f>48316</f>
        <v>48316.0</v>
      </c>
      <c r="AD1306" s="3" t="s">
        <v>923</v>
      </c>
      <c r="AE1306" s="27" t="n">
        <f>3243</f>
        <v>3243.0</v>
      </c>
    </row>
    <row r="1307">
      <c r="A1307" s="20" t="s">
        <v>2191</v>
      </c>
      <c r="B1307" s="21" t="s">
        <v>2192</v>
      </c>
      <c r="C1307" s="22" t="s">
        <v>1768</v>
      </c>
      <c r="D1307" s="23" t="s">
        <v>1769</v>
      </c>
      <c r="E1307" s="24" t="s">
        <v>423</v>
      </c>
      <c r="F1307" s="28" t="n">
        <f>123</f>
        <v>123.0</v>
      </c>
      <c r="G1307" s="25" t="n">
        <f>1274604</f>
        <v>1274604.0</v>
      </c>
      <c r="H1307" s="25"/>
      <c r="I1307" s="25" t="n">
        <f>91051</f>
        <v>91051.0</v>
      </c>
      <c r="J1307" s="25" t="n">
        <f>10363</f>
        <v>10363.0</v>
      </c>
      <c r="K1307" s="25" t="n">
        <f>740</f>
        <v>740.0</v>
      </c>
      <c r="L1307" s="2" t="s">
        <v>1142</v>
      </c>
      <c r="M1307" s="26" t="n">
        <f>24739</f>
        <v>24739.0</v>
      </c>
      <c r="N1307" s="3" t="s">
        <v>582</v>
      </c>
      <c r="O1307" s="27" t="n">
        <f>3881</f>
        <v>3881.0</v>
      </c>
      <c r="P1307" s="29" t="s">
        <v>2331</v>
      </c>
      <c r="Q1307" s="25"/>
      <c r="R1307" s="29" t="s">
        <v>2332</v>
      </c>
      <c r="S1307" s="25" t="n">
        <f>2358315041</f>
        <v>2.358315041E9</v>
      </c>
      <c r="T1307" s="25" t="n">
        <f>260299593</f>
        <v>2.60299593E8</v>
      </c>
      <c r="U1307" s="3" t="s">
        <v>529</v>
      </c>
      <c r="V1307" s="27" t="n">
        <f>7364130000</f>
        <v>7.36413E9</v>
      </c>
      <c r="W1307" s="3" t="s">
        <v>1469</v>
      </c>
      <c r="X1307" s="27" t="n">
        <f>469130000</f>
        <v>4.6913E8</v>
      </c>
      <c r="Y1307" s="27" t="n">
        <f>124885</f>
        <v>124885.0</v>
      </c>
      <c r="Z1307" s="25" t="n">
        <f>678217</f>
        <v>678217.0</v>
      </c>
      <c r="AA1307" s="25" t="n">
        <f>41171</f>
        <v>41171.0</v>
      </c>
      <c r="AB1307" s="2" t="s">
        <v>263</v>
      </c>
      <c r="AC1307" s="26" t="n">
        <f>98940</f>
        <v>98940.0</v>
      </c>
      <c r="AD1307" s="3" t="s">
        <v>806</v>
      </c>
      <c r="AE1307" s="27" t="n">
        <f>9590</f>
        <v>9590.0</v>
      </c>
    </row>
    <row r="1308">
      <c r="A1308" s="20" t="s">
        <v>2191</v>
      </c>
      <c r="B1308" s="21" t="s">
        <v>2192</v>
      </c>
      <c r="C1308" s="22" t="s">
        <v>1760</v>
      </c>
      <c r="D1308" s="23" t="s">
        <v>1761</v>
      </c>
      <c r="E1308" s="24" t="s">
        <v>426</v>
      </c>
      <c r="F1308" s="28" t="n">
        <f>121</f>
        <v>121.0</v>
      </c>
      <c r="G1308" s="25" t="n">
        <f>487492</f>
        <v>487492.0</v>
      </c>
      <c r="H1308" s="25"/>
      <c r="I1308" s="25" t="n">
        <f>65036</f>
        <v>65036.0</v>
      </c>
      <c r="J1308" s="25" t="n">
        <f>4029</f>
        <v>4029.0</v>
      </c>
      <c r="K1308" s="25" t="n">
        <f>537</f>
        <v>537.0</v>
      </c>
      <c r="L1308" s="2" t="s">
        <v>558</v>
      </c>
      <c r="M1308" s="26" t="n">
        <f>9045</f>
        <v>9045.0</v>
      </c>
      <c r="N1308" s="3" t="s">
        <v>120</v>
      </c>
      <c r="O1308" s="27" t="n">
        <f>1295</f>
        <v>1295.0</v>
      </c>
      <c r="P1308" s="29" t="s">
        <v>2333</v>
      </c>
      <c r="Q1308" s="25"/>
      <c r="R1308" s="29" t="s">
        <v>2334</v>
      </c>
      <c r="S1308" s="25" t="n">
        <f>629001901</f>
        <v>6.29001901E8</v>
      </c>
      <c r="T1308" s="25" t="n">
        <f>84682645</f>
        <v>8.4682645E7</v>
      </c>
      <c r="U1308" s="3" t="s">
        <v>558</v>
      </c>
      <c r="V1308" s="27" t="n">
        <f>1942360000</f>
        <v>1.94236E9</v>
      </c>
      <c r="W1308" s="3" t="s">
        <v>546</v>
      </c>
      <c r="X1308" s="27" t="n">
        <f>188240000</f>
        <v>1.8824E8</v>
      </c>
      <c r="Y1308" s="27" t="n">
        <f>11251</f>
        <v>11251.0</v>
      </c>
      <c r="Z1308" s="25" t="n">
        <f>254858</f>
        <v>254858.0</v>
      </c>
      <c r="AA1308" s="25" t="n">
        <f>45086</f>
        <v>45086.0</v>
      </c>
      <c r="AB1308" s="2" t="s">
        <v>251</v>
      </c>
      <c r="AC1308" s="26" t="n">
        <f>45086</f>
        <v>45086.0</v>
      </c>
      <c r="AD1308" s="3" t="s">
        <v>156</v>
      </c>
      <c r="AE1308" s="27" t="n">
        <f>4895</f>
        <v>4895.0</v>
      </c>
    </row>
    <row r="1309">
      <c r="A1309" s="20" t="s">
        <v>2191</v>
      </c>
      <c r="B1309" s="21" t="s">
        <v>2192</v>
      </c>
      <c r="C1309" s="22" t="s">
        <v>1764</v>
      </c>
      <c r="D1309" s="23" t="s">
        <v>1765</v>
      </c>
      <c r="E1309" s="24" t="s">
        <v>426</v>
      </c>
      <c r="F1309" s="28" t="n">
        <f>121</f>
        <v>121.0</v>
      </c>
      <c r="G1309" s="25" t="n">
        <f>428897</f>
        <v>428897.0</v>
      </c>
      <c r="H1309" s="25"/>
      <c r="I1309" s="25" t="n">
        <f>45434</f>
        <v>45434.0</v>
      </c>
      <c r="J1309" s="25" t="n">
        <f>3545</f>
        <v>3545.0</v>
      </c>
      <c r="K1309" s="25" t="n">
        <f>375</f>
        <v>375.0</v>
      </c>
      <c r="L1309" s="2" t="s">
        <v>458</v>
      </c>
      <c r="M1309" s="26" t="n">
        <f>9257</f>
        <v>9257.0</v>
      </c>
      <c r="N1309" s="3" t="s">
        <v>932</v>
      </c>
      <c r="O1309" s="27" t="n">
        <f>766</f>
        <v>766.0</v>
      </c>
      <c r="P1309" s="29" t="s">
        <v>2335</v>
      </c>
      <c r="Q1309" s="25"/>
      <c r="R1309" s="29" t="s">
        <v>2336</v>
      </c>
      <c r="S1309" s="25" t="n">
        <f>712376942</f>
        <v>7.12376942E8</v>
      </c>
      <c r="T1309" s="25" t="n">
        <f>135063471</f>
        <v>1.35063471E8</v>
      </c>
      <c r="U1309" s="3" t="s">
        <v>251</v>
      </c>
      <c r="V1309" s="27" t="n">
        <f>3573310000</f>
        <v>3.57331E9</v>
      </c>
      <c r="W1309" s="3" t="s">
        <v>243</v>
      </c>
      <c r="X1309" s="27" t="n">
        <f>150670000</f>
        <v>1.5067E8</v>
      </c>
      <c r="Y1309" s="27" t="n">
        <f>44192</f>
        <v>44192.0</v>
      </c>
      <c r="Z1309" s="25" t="n">
        <f>204257</f>
        <v>204257.0</v>
      </c>
      <c r="AA1309" s="25" t="n">
        <f>6898</f>
        <v>6898.0</v>
      </c>
      <c r="AB1309" s="2" t="s">
        <v>422</v>
      </c>
      <c r="AC1309" s="26" t="n">
        <f>22741</f>
        <v>22741.0</v>
      </c>
      <c r="AD1309" s="3" t="s">
        <v>963</v>
      </c>
      <c r="AE1309" s="27" t="n">
        <f>2855</f>
        <v>2855.0</v>
      </c>
    </row>
    <row r="1310">
      <c r="A1310" s="20" t="s">
        <v>2191</v>
      </c>
      <c r="B1310" s="21" t="s">
        <v>2192</v>
      </c>
      <c r="C1310" s="22" t="s">
        <v>1768</v>
      </c>
      <c r="D1310" s="23" t="s">
        <v>1769</v>
      </c>
      <c r="E1310" s="24" t="s">
        <v>426</v>
      </c>
      <c r="F1310" s="28" t="n">
        <f>121</f>
        <v>121.0</v>
      </c>
      <c r="G1310" s="25" t="n">
        <f>916389</f>
        <v>916389.0</v>
      </c>
      <c r="H1310" s="25"/>
      <c r="I1310" s="25" t="n">
        <f>110470</f>
        <v>110470.0</v>
      </c>
      <c r="J1310" s="25" t="n">
        <f>7573</f>
        <v>7573.0</v>
      </c>
      <c r="K1310" s="25" t="n">
        <f>913</f>
        <v>913.0</v>
      </c>
      <c r="L1310" s="2" t="s">
        <v>458</v>
      </c>
      <c r="M1310" s="26" t="n">
        <f>17050</f>
        <v>17050.0</v>
      </c>
      <c r="N1310" s="3" t="s">
        <v>316</v>
      </c>
      <c r="O1310" s="27" t="n">
        <f>3335</f>
        <v>3335.0</v>
      </c>
      <c r="P1310" s="29" t="s">
        <v>2337</v>
      </c>
      <c r="Q1310" s="25"/>
      <c r="R1310" s="29" t="s">
        <v>2338</v>
      </c>
      <c r="S1310" s="25" t="n">
        <f>1341378843</f>
        <v>1.341378843E9</v>
      </c>
      <c r="T1310" s="25" t="n">
        <f>219746116</f>
        <v>2.19746116E8</v>
      </c>
      <c r="U1310" s="3" t="s">
        <v>251</v>
      </c>
      <c r="V1310" s="27" t="n">
        <f>4867490000</f>
        <v>4.86749E9</v>
      </c>
      <c r="W1310" s="3" t="s">
        <v>1144</v>
      </c>
      <c r="X1310" s="27" t="n">
        <f>409000000</f>
        <v>4.09E8</v>
      </c>
      <c r="Y1310" s="27" t="n">
        <f>55443</f>
        <v>55443.0</v>
      </c>
      <c r="Z1310" s="25" t="n">
        <f>459115</f>
        <v>459115.0</v>
      </c>
      <c r="AA1310" s="25" t="n">
        <f>51984</f>
        <v>51984.0</v>
      </c>
      <c r="AB1310" s="2" t="s">
        <v>739</v>
      </c>
      <c r="AC1310" s="26" t="n">
        <f>58070</f>
        <v>58070.0</v>
      </c>
      <c r="AD1310" s="3" t="s">
        <v>156</v>
      </c>
      <c r="AE1310" s="27" t="n">
        <f>7991</f>
        <v>7991.0</v>
      </c>
    </row>
    <row r="1311">
      <c r="A1311" s="20" t="s">
        <v>2191</v>
      </c>
      <c r="B1311" s="21" t="s">
        <v>2192</v>
      </c>
      <c r="C1311" s="22" t="s">
        <v>1760</v>
      </c>
      <c r="D1311" s="23" t="s">
        <v>1761</v>
      </c>
      <c r="E1311" s="24" t="s">
        <v>430</v>
      </c>
      <c r="F1311" s="28" t="n">
        <f>124</f>
        <v>124.0</v>
      </c>
      <c r="G1311" s="25" t="n">
        <f>605851</f>
        <v>605851.0</v>
      </c>
      <c r="H1311" s="25"/>
      <c r="I1311" s="25" t="n">
        <f>57444</f>
        <v>57444.0</v>
      </c>
      <c r="J1311" s="25" t="n">
        <f>4886</f>
        <v>4886.0</v>
      </c>
      <c r="K1311" s="25" t="n">
        <f>463</f>
        <v>463.0</v>
      </c>
      <c r="L1311" s="2" t="s">
        <v>952</v>
      </c>
      <c r="M1311" s="26" t="n">
        <f>11360</f>
        <v>11360.0</v>
      </c>
      <c r="N1311" s="3" t="s">
        <v>987</v>
      </c>
      <c r="O1311" s="27" t="n">
        <f>939</f>
        <v>939.0</v>
      </c>
      <c r="P1311" s="29" t="s">
        <v>2339</v>
      </c>
      <c r="Q1311" s="25"/>
      <c r="R1311" s="29" t="s">
        <v>2340</v>
      </c>
      <c r="S1311" s="25" t="n">
        <f>982554758</f>
        <v>9.82554758E8</v>
      </c>
      <c r="T1311" s="25" t="n">
        <f>123840323</f>
        <v>1.23840323E8</v>
      </c>
      <c r="U1311" s="3" t="s">
        <v>318</v>
      </c>
      <c r="V1311" s="27" t="n">
        <f>5400650000</f>
        <v>5.40065E9</v>
      </c>
      <c r="W1311" s="3" t="s">
        <v>987</v>
      </c>
      <c r="X1311" s="27" t="n">
        <f>151800000</f>
        <v>1.518E8</v>
      </c>
      <c r="Y1311" s="27" t="n">
        <f>21823</f>
        <v>21823.0</v>
      </c>
      <c r="Z1311" s="25" t="n">
        <f>275279</f>
        <v>275279.0</v>
      </c>
      <c r="AA1311" s="25" t="n">
        <f>18313</f>
        <v>18313.0</v>
      </c>
      <c r="AB1311" s="2" t="s">
        <v>1067</v>
      </c>
      <c r="AC1311" s="26" t="n">
        <f>33120</f>
        <v>33120.0</v>
      </c>
      <c r="AD1311" s="3" t="s">
        <v>593</v>
      </c>
      <c r="AE1311" s="27" t="n">
        <f>5181</f>
        <v>5181.0</v>
      </c>
    </row>
    <row r="1312">
      <c r="A1312" s="20" t="s">
        <v>2191</v>
      </c>
      <c r="B1312" s="21" t="s">
        <v>2192</v>
      </c>
      <c r="C1312" s="22" t="s">
        <v>1764</v>
      </c>
      <c r="D1312" s="23" t="s">
        <v>1765</v>
      </c>
      <c r="E1312" s="24" t="s">
        <v>430</v>
      </c>
      <c r="F1312" s="28" t="n">
        <f>124</f>
        <v>124.0</v>
      </c>
      <c r="G1312" s="25" t="n">
        <f>477042</f>
        <v>477042.0</v>
      </c>
      <c r="H1312" s="25"/>
      <c r="I1312" s="25" t="n">
        <f>48506</f>
        <v>48506.0</v>
      </c>
      <c r="J1312" s="25" t="n">
        <f>3847</f>
        <v>3847.0</v>
      </c>
      <c r="K1312" s="25" t="n">
        <f>391</f>
        <v>391.0</v>
      </c>
      <c r="L1312" s="2" t="s">
        <v>991</v>
      </c>
      <c r="M1312" s="26" t="n">
        <f>9400</f>
        <v>9400.0</v>
      </c>
      <c r="N1312" s="3" t="s">
        <v>987</v>
      </c>
      <c r="O1312" s="27" t="n">
        <f>1008</f>
        <v>1008.0</v>
      </c>
      <c r="P1312" s="29" t="s">
        <v>2341</v>
      </c>
      <c r="Q1312" s="25"/>
      <c r="R1312" s="29" t="s">
        <v>2342</v>
      </c>
      <c r="S1312" s="25" t="n">
        <f>869402581</f>
        <v>8.69402581E8</v>
      </c>
      <c r="T1312" s="25" t="n">
        <f>122207016</f>
        <v>1.22207016E8</v>
      </c>
      <c r="U1312" s="3" t="s">
        <v>952</v>
      </c>
      <c r="V1312" s="27" t="n">
        <f>2600110000</f>
        <v>2.60011E9</v>
      </c>
      <c r="W1312" s="3" t="s">
        <v>240</v>
      </c>
      <c r="X1312" s="27" t="n">
        <f>200810000</f>
        <v>2.0081E8</v>
      </c>
      <c r="Y1312" s="27" t="n">
        <f>29744</f>
        <v>29744.0</v>
      </c>
      <c r="Z1312" s="25" t="n">
        <f>176777</f>
        <v>176777.0</v>
      </c>
      <c r="AA1312" s="25" t="n">
        <f>8718</f>
        <v>8718.0</v>
      </c>
      <c r="AB1312" s="2" t="s">
        <v>318</v>
      </c>
      <c r="AC1312" s="26" t="n">
        <f>29175</f>
        <v>29175.0</v>
      </c>
      <c r="AD1312" s="3" t="s">
        <v>806</v>
      </c>
      <c r="AE1312" s="27" t="n">
        <f>4663</f>
        <v>4663.0</v>
      </c>
    </row>
    <row r="1313">
      <c r="A1313" s="20" t="s">
        <v>2191</v>
      </c>
      <c r="B1313" s="21" t="s">
        <v>2192</v>
      </c>
      <c r="C1313" s="22" t="s">
        <v>1768</v>
      </c>
      <c r="D1313" s="23" t="s">
        <v>1769</v>
      </c>
      <c r="E1313" s="24" t="s">
        <v>430</v>
      </c>
      <c r="F1313" s="28" t="n">
        <f>124</f>
        <v>124.0</v>
      </c>
      <c r="G1313" s="25" t="n">
        <f>1082893</f>
        <v>1082893.0</v>
      </c>
      <c r="H1313" s="25"/>
      <c r="I1313" s="25" t="n">
        <f>105950</f>
        <v>105950.0</v>
      </c>
      <c r="J1313" s="25" t="n">
        <f>8733</f>
        <v>8733.0</v>
      </c>
      <c r="K1313" s="25" t="n">
        <f>854</f>
        <v>854.0</v>
      </c>
      <c r="L1313" s="2" t="s">
        <v>952</v>
      </c>
      <c r="M1313" s="26" t="n">
        <f>20479</f>
        <v>20479.0</v>
      </c>
      <c r="N1313" s="3" t="s">
        <v>987</v>
      </c>
      <c r="O1313" s="27" t="n">
        <f>1947</f>
        <v>1947.0</v>
      </c>
      <c r="P1313" s="29" t="s">
        <v>2343</v>
      </c>
      <c r="Q1313" s="25"/>
      <c r="R1313" s="29" t="s">
        <v>2344</v>
      </c>
      <c r="S1313" s="25" t="n">
        <f>1851957339</f>
        <v>1.851957339E9</v>
      </c>
      <c r="T1313" s="25" t="n">
        <f>246047339</f>
        <v>2.46047339E8</v>
      </c>
      <c r="U1313" s="3" t="s">
        <v>318</v>
      </c>
      <c r="V1313" s="27" t="n">
        <f>6030470000</f>
        <v>6.03047E9</v>
      </c>
      <c r="W1313" s="3" t="s">
        <v>987</v>
      </c>
      <c r="X1313" s="27" t="n">
        <f>391250000</f>
        <v>3.9125E8</v>
      </c>
      <c r="Y1313" s="27" t="n">
        <f>51567</f>
        <v>51567.0</v>
      </c>
      <c r="Z1313" s="25" t="n">
        <f>452056</f>
        <v>452056.0</v>
      </c>
      <c r="AA1313" s="25" t="n">
        <f>27031</f>
        <v>27031.0</v>
      </c>
      <c r="AB1313" s="2" t="s">
        <v>2258</v>
      </c>
      <c r="AC1313" s="26" t="n">
        <f>55228</f>
        <v>55228.0</v>
      </c>
      <c r="AD1313" s="3" t="s">
        <v>593</v>
      </c>
      <c r="AE1313" s="27" t="n">
        <f>10241</f>
        <v>10241.0</v>
      </c>
    </row>
    <row r="1314">
      <c r="A1314" s="20" t="s">
        <v>2191</v>
      </c>
      <c r="B1314" s="21" t="s">
        <v>2192</v>
      </c>
      <c r="C1314" s="22" t="s">
        <v>1760</v>
      </c>
      <c r="D1314" s="23" t="s">
        <v>1761</v>
      </c>
      <c r="E1314" s="24" t="s">
        <v>433</v>
      </c>
      <c r="F1314" s="28" t="n">
        <f>121</f>
        <v>121.0</v>
      </c>
      <c r="G1314" s="25" t="n">
        <f>458888</f>
        <v>458888.0</v>
      </c>
      <c r="H1314" s="25"/>
      <c r="I1314" s="25" t="n">
        <f>52952</f>
        <v>52952.0</v>
      </c>
      <c r="J1314" s="25" t="n">
        <f>3792</f>
        <v>3792.0</v>
      </c>
      <c r="K1314" s="25" t="n">
        <f>438</f>
        <v>438.0</v>
      </c>
      <c r="L1314" s="2" t="s">
        <v>1096</v>
      </c>
      <c r="M1314" s="26" t="n">
        <f>11574</f>
        <v>11574.0</v>
      </c>
      <c r="N1314" s="3" t="s">
        <v>434</v>
      </c>
      <c r="O1314" s="27" t="n">
        <f>913</f>
        <v>913.0</v>
      </c>
      <c r="P1314" s="29" t="s">
        <v>2345</v>
      </c>
      <c r="Q1314" s="25"/>
      <c r="R1314" s="29" t="s">
        <v>2346</v>
      </c>
      <c r="S1314" s="25" t="n">
        <f>687716033</f>
        <v>6.87716033E8</v>
      </c>
      <c r="T1314" s="25" t="n">
        <f>84449174</f>
        <v>8.4449174E7</v>
      </c>
      <c r="U1314" s="3" t="s">
        <v>1096</v>
      </c>
      <c r="V1314" s="27" t="n">
        <f>3265690000</f>
        <v>3.26569E9</v>
      </c>
      <c r="W1314" s="3" t="s">
        <v>434</v>
      </c>
      <c r="X1314" s="27" t="n">
        <f>112540000</f>
        <v>1.1254E8</v>
      </c>
      <c r="Y1314" s="27" t="n">
        <f>3906</f>
        <v>3906.0</v>
      </c>
      <c r="Z1314" s="25" t="n">
        <f>196975</f>
        <v>196975.0</v>
      </c>
      <c r="AA1314" s="25" t="n">
        <f>30112</f>
        <v>30112.0</v>
      </c>
      <c r="AB1314" s="2" t="s">
        <v>739</v>
      </c>
      <c r="AC1314" s="26" t="n">
        <f>30684</f>
        <v>30684.0</v>
      </c>
      <c r="AD1314" s="3" t="s">
        <v>156</v>
      </c>
      <c r="AE1314" s="27" t="n">
        <f>3250</f>
        <v>3250.0</v>
      </c>
    </row>
    <row r="1315">
      <c r="A1315" s="20" t="s">
        <v>2191</v>
      </c>
      <c r="B1315" s="21" t="s">
        <v>2192</v>
      </c>
      <c r="C1315" s="22" t="s">
        <v>1764</v>
      </c>
      <c r="D1315" s="23" t="s">
        <v>1765</v>
      </c>
      <c r="E1315" s="24" t="s">
        <v>433</v>
      </c>
      <c r="F1315" s="28" t="n">
        <f>121</f>
        <v>121.0</v>
      </c>
      <c r="G1315" s="25" t="n">
        <f>360076</f>
        <v>360076.0</v>
      </c>
      <c r="H1315" s="25"/>
      <c r="I1315" s="25" t="n">
        <f>26572</f>
        <v>26572.0</v>
      </c>
      <c r="J1315" s="25" t="n">
        <f>2976</f>
        <v>2976.0</v>
      </c>
      <c r="K1315" s="25" t="n">
        <f>220</f>
        <v>220.0</v>
      </c>
      <c r="L1315" s="2" t="s">
        <v>1171</v>
      </c>
      <c r="M1315" s="26" t="n">
        <f>9049</f>
        <v>9049.0</v>
      </c>
      <c r="N1315" s="3" t="s">
        <v>458</v>
      </c>
      <c r="O1315" s="27" t="n">
        <f>970</f>
        <v>970.0</v>
      </c>
      <c r="P1315" s="29" t="s">
        <v>2347</v>
      </c>
      <c r="Q1315" s="25"/>
      <c r="R1315" s="29" t="s">
        <v>2348</v>
      </c>
      <c r="S1315" s="25" t="n">
        <f>626326529</f>
        <v>6.26326529E8</v>
      </c>
      <c r="T1315" s="25" t="n">
        <f>61368512</f>
        <v>6.1368512E7</v>
      </c>
      <c r="U1315" s="3" t="s">
        <v>282</v>
      </c>
      <c r="V1315" s="27" t="n">
        <f>2361910000</f>
        <v>2.36191E9</v>
      </c>
      <c r="W1315" s="3" t="s">
        <v>212</v>
      </c>
      <c r="X1315" s="27" t="n">
        <f>133880000</f>
        <v>1.3388E8</v>
      </c>
      <c r="Y1315" s="27" t="n">
        <f>27759</f>
        <v>27759.0</v>
      </c>
      <c r="Z1315" s="25" t="n">
        <f>86311</f>
        <v>86311.0</v>
      </c>
      <c r="AA1315" s="25" t="n">
        <f>9961</f>
        <v>9961.0</v>
      </c>
      <c r="AB1315" s="2" t="s">
        <v>1171</v>
      </c>
      <c r="AC1315" s="26" t="n">
        <f>18419</f>
        <v>18419.0</v>
      </c>
      <c r="AD1315" s="3" t="s">
        <v>156</v>
      </c>
      <c r="AE1315" s="27" t="n">
        <f>2921</f>
        <v>2921.0</v>
      </c>
    </row>
    <row r="1316">
      <c r="A1316" s="20" t="s">
        <v>2191</v>
      </c>
      <c r="B1316" s="21" t="s">
        <v>2192</v>
      </c>
      <c r="C1316" s="22" t="s">
        <v>1768</v>
      </c>
      <c r="D1316" s="23" t="s">
        <v>1769</v>
      </c>
      <c r="E1316" s="24" t="s">
        <v>433</v>
      </c>
      <c r="F1316" s="28" t="n">
        <f>121</f>
        <v>121.0</v>
      </c>
      <c r="G1316" s="25" t="n">
        <f>818964</f>
        <v>818964.0</v>
      </c>
      <c r="H1316" s="25"/>
      <c r="I1316" s="25" t="n">
        <f>79524</f>
        <v>79524.0</v>
      </c>
      <c r="J1316" s="25" t="n">
        <f>6768</f>
        <v>6768.0</v>
      </c>
      <c r="K1316" s="25" t="n">
        <f>657</f>
        <v>657.0</v>
      </c>
      <c r="L1316" s="2" t="s">
        <v>1096</v>
      </c>
      <c r="M1316" s="26" t="n">
        <f>18347</f>
        <v>18347.0</v>
      </c>
      <c r="N1316" s="3" t="s">
        <v>434</v>
      </c>
      <c r="O1316" s="27" t="n">
        <f>2016</f>
        <v>2016.0</v>
      </c>
      <c r="P1316" s="29" t="s">
        <v>2349</v>
      </c>
      <c r="Q1316" s="25"/>
      <c r="R1316" s="29" t="s">
        <v>2350</v>
      </c>
      <c r="S1316" s="25" t="n">
        <f>1314042562</f>
        <v>1.314042562E9</v>
      </c>
      <c r="T1316" s="25" t="n">
        <f>145817686</f>
        <v>1.45817686E8</v>
      </c>
      <c r="U1316" s="3" t="s">
        <v>1096</v>
      </c>
      <c r="V1316" s="27" t="n">
        <f>4422660000</f>
        <v>4.42266E9</v>
      </c>
      <c r="W1316" s="3" t="s">
        <v>434</v>
      </c>
      <c r="X1316" s="27" t="n">
        <f>282260000</f>
        <v>2.8226E8</v>
      </c>
      <c r="Y1316" s="27" t="n">
        <f>31665</f>
        <v>31665.0</v>
      </c>
      <c r="Z1316" s="25" t="n">
        <f>283286</f>
        <v>283286.0</v>
      </c>
      <c r="AA1316" s="25" t="n">
        <f>40073</f>
        <v>40073.0</v>
      </c>
      <c r="AB1316" s="2" t="s">
        <v>739</v>
      </c>
      <c r="AC1316" s="26" t="n">
        <f>44188</f>
        <v>44188.0</v>
      </c>
      <c r="AD1316" s="3" t="s">
        <v>156</v>
      </c>
      <c r="AE1316" s="27" t="n">
        <f>6171</f>
        <v>6171.0</v>
      </c>
    </row>
    <row r="1317">
      <c r="A1317" s="20" t="s">
        <v>2191</v>
      </c>
      <c r="B1317" s="21" t="s">
        <v>2192</v>
      </c>
      <c r="C1317" s="22" t="s">
        <v>1760</v>
      </c>
      <c r="D1317" s="23" t="s">
        <v>1761</v>
      </c>
      <c r="E1317" s="24" t="s">
        <v>437</v>
      </c>
      <c r="F1317" s="28" t="n">
        <f>124</f>
        <v>124.0</v>
      </c>
      <c r="G1317" s="25" t="n">
        <f>603047</f>
        <v>603047.0</v>
      </c>
      <c r="H1317" s="25"/>
      <c r="I1317" s="25" t="n">
        <f>55988</f>
        <v>55988.0</v>
      </c>
      <c r="J1317" s="25" t="n">
        <f>4863</f>
        <v>4863.0</v>
      </c>
      <c r="K1317" s="25" t="n">
        <f>452</f>
        <v>452.0</v>
      </c>
      <c r="L1317" s="2" t="s">
        <v>614</v>
      </c>
      <c r="M1317" s="26" t="n">
        <f>17527</f>
        <v>17527.0</v>
      </c>
      <c r="N1317" s="3" t="s">
        <v>254</v>
      </c>
      <c r="O1317" s="27" t="n">
        <f>1582</f>
        <v>1582.0</v>
      </c>
      <c r="P1317" s="29" t="s">
        <v>2351</v>
      </c>
      <c r="Q1317" s="25"/>
      <c r="R1317" s="29" t="s">
        <v>2352</v>
      </c>
      <c r="S1317" s="25" t="n">
        <f>760801613</f>
        <v>7.60801613E8</v>
      </c>
      <c r="T1317" s="25" t="n">
        <f>113067661</f>
        <v>1.13067661E8</v>
      </c>
      <c r="U1317" s="3" t="s">
        <v>614</v>
      </c>
      <c r="V1317" s="27" t="n">
        <f>3109610000</f>
        <v>3.10961E9</v>
      </c>
      <c r="W1317" s="3" t="s">
        <v>50</v>
      </c>
      <c r="X1317" s="27" t="n">
        <f>113000000</f>
        <v>1.13E8</v>
      </c>
      <c r="Y1317" s="27" t="n">
        <f>27955</f>
        <v>27955.0</v>
      </c>
      <c r="Z1317" s="25" t="n">
        <f>303612</f>
        <v>303612.0</v>
      </c>
      <c r="AA1317" s="25" t="n">
        <f>36975</f>
        <v>36975.0</v>
      </c>
      <c r="AB1317" s="2" t="s">
        <v>532</v>
      </c>
      <c r="AC1317" s="26" t="n">
        <f>40152</f>
        <v>40152.0</v>
      </c>
      <c r="AD1317" s="3" t="s">
        <v>806</v>
      </c>
      <c r="AE1317" s="27" t="n">
        <f>5354</f>
        <v>5354.0</v>
      </c>
    </row>
    <row r="1318">
      <c r="A1318" s="20" t="s">
        <v>2191</v>
      </c>
      <c r="B1318" s="21" t="s">
        <v>2192</v>
      </c>
      <c r="C1318" s="22" t="s">
        <v>1764</v>
      </c>
      <c r="D1318" s="23" t="s">
        <v>1765</v>
      </c>
      <c r="E1318" s="24" t="s">
        <v>437</v>
      </c>
      <c r="F1318" s="28" t="n">
        <f>124</f>
        <v>124.0</v>
      </c>
      <c r="G1318" s="25" t="n">
        <f>431661</f>
        <v>431661.0</v>
      </c>
      <c r="H1318" s="25"/>
      <c r="I1318" s="25" t="n">
        <f>48026</f>
        <v>48026.0</v>
      </c>
      <c r="J1318" s="25" t="n">
        <f>3481</f>
        <v>3481.0</v>
      </c>
      <c r="K1318" s="25" t="n">
        <f>387</f>
        <v>387.0</v>
      </c>
      <c r="L1318" s="2" t="s">
        <v>1662</v>
      </c>
      <c r="M1318" s="26" t="n">
        <f>11116</f>
        <v>11116.0</v>
      </c>
      <c r="N1318" s="3" t="s">
        <v>897</v>
      </c>
      <c r="O1318" s="27" t="n">
        <f>745</f>
        <v>745.0</v>
      </c>
      <c r="P1318" s="29" t="s">
        <v>2353</v>
      </c>
      <c r="Q1318" s="25"/>
      <c r="R1318" s="29" t="s">
        <v>2354</v>
      </c>
      <c r="S1318" s="25" t="n">
        <f>721443468</f>
        <v>7.21443468E8</v>
      </c>
      <c r="T1318" s="25" t="n">
        <f>135475726</f>
        <v>1.35475726E8</v>
      </c>
      <c r="U1318" s="3" t="s">
        <v>1662</v>
      </c>
      <c r="V1318" s="27" t="n">
        <f>2452920000</f>
        <v>2.45292E9</v>
      </c>
      <c r="W1318" s="3" t="s">
        <v>570</v>
      </c>
      <c r="X1318" s="27" t="n">
        <f>153290000</f>
        <v>1.5329E8</v>
      </c>
      <c r="Y1318" s="27" t="n">
        <f>21558</f>
        <v>21558.0</v>
      </c>
      <c r="Z1318" s="25" t="n">
        <f>186627</f>
        <v>186627.0</v>
      </c>
      <c r="AA1318" s="25" t="n">
        <f>12973</f>
        <v>12973.0</v>
      </c>
      <c r="AB1318" s="2" t="s">
        <v>318</v>
      </c>
      <c r="AC1318" s="26" t="n">
        <f>32083</f>
        <v>32083.0</v>
      </c>
      <c r="AD1318" s="3" t="s">
        <v>806</v>
      </c>
      <c r="AE1318" s="27" t="n">
        <f>3492</f>
        <v>3492.0</v>
      </c>
    </row>
    <row r="1319">
      <c r="A1319" s="20" t="s">
        <v>2191</v>
      </c>
      <c r="B1319" s="21" t="s">
        <v>2192</v>
      </c>
      <c r="C1319" s="22" t="s">
        <v>1768</v>
      </c>
      <c r="D1319" s="23" t="s">
        <v>1769</v>
      </c>
      <c r="E1319" s="24" t="s">
        <v>437</v>
      </c>
      <c r="F1319" s="28" t="n">
        <f>124</f>
        <v>124.0</v>
      </c>
      <c r="G1319" s="25" t="n">
        <f>1034708</f>
        <v>1034708.0</v>
      </c>
      <c r="H1319" s="25"/>
      <c r="I1319" s="25" t="n">
        <f>104014</f>
        <v>104014.0</v>
      </c>
      <c r="J1319" s="25" t="n">
        <f>8344</f>
        <v>8344.0</v>
      </c>
      <c r="K1319" s="25" t="n">
        <f>839</f>
        <v>839.0</v>
      </c>
      <c r="L1319" s="2" t="s">
        <v>614</v>
      </c>
      <c r="M1319" s="26" t="n">
        <f>24136</f>
        <v>24136.0</v>
      </c>
      <c r="N1319" s="3" t="s">
        <v>254</v>
      </c>
      <c r="O1319" s="27" t="n">
        <f>2828</f>
        <v>2828.0</v>
      </c>
      <c r="P1319" s="29" t="s">
        <v>2355</v>
      </c>
      <c r="Q1319" s="25"/>
      <c r="R1319" s="29" t="s">
        <v>2356</v>
      </c>
      <c r="S1319" s="25" t="n">
        <f>1482245081</f>
        <v>1.482245081E9</v>
      </c>
      <c r="T1319" s="25" t="n">
        <f>248543387</f>
        <v>2.48543387E8</v>
      </c>
      <c r="U1319" s="3" t="s">
        <v>614</v>
      </c>
      <c r="V1319" s="27" t="n">
        <f>4191350000</f>
        <v>4.19135E9</v>
      </c>
      <c r="W1319" s="3" t="s">
        <v>507</v>
      </c>
      <c r="X1319" s="27" t="n">
        <f>339410000</f>
        <v>3.3941E8</v>
      </c>
      <c r="Y1319" s="27" t="n">
        <f>49513</f>
        <v>49513.0</v>
      </c>
      <c r="Z1319" s="25" t="n">
        <f>490239</f>
        <v>490239.0</v>
      </c>
      <c r="AA1319" s="25" t="n">
        <f>49948</f>
        <v>49948.0</v>
      </c>
      <c r="AB1319" s="2" t="s">
        <v>221</v>
      </c>
      <c r="AC1319" s="26" t="n">
        <f>68439</f>
        <v>68439.0</v>
      </c>
      <c r="AD1319" s="3" t="s">
        <v>806</v>
      </c>
      <c r="AE1319" s="27" t="n">
        <f>8846</f>
        <v>8846.0</v>
      </c>
    </row>
    <row r="1320">
      <c r="A1320" s="20" t="s">
        <v>2191</v>
      </c>
      <c r="B1320" s="21" t="s">
        <v>2192</v>
      </c>
      <c r="C1320" s="22" t="s">
        <v>1760</v>
      </c>
      <c r="D1320" s="23" t="s">
        <v>1761</v>
      </c>
      <c r="E1320" s="24" t="s">
        <v>440</v>
      </c>
      <c r="F1320" s="28" t="n">
        <f>123</f>
        <v>123.0</v>
      </c>
      <c r="G1320" s="25" t="n">
        <f>854551</f>
        <v>854551.0</v>
      </c>
      <c r="H1320" s="25"/>
      <c r="I1320" s="25" t="n">
        <f>112950</f>
        <v>112950.0</v>
      </c>
      <c r="J1320" s="25" t="n">
        <f>6948</f>
        <v>6948.0</v>
      </c>
      <c r="K1320" s="25" t="n">
        <f>918</f>
        <v>918.0</v>
      </c>
      <c r="L1320" s="2" t="s">
        <v>282</v>
      </c>
      <c r="M1320" s="26" t="n">
        <f>19384</f>
        <v>19384.0</v>
      </c>
      <c r="N1320" s="3" t="s">
        <v>513</v>
      </c>
      <c r="O1320" s="27" t="n">
        <f>2568</f>
        <v>2568.0</v>
      </c>
      <c r="P1320" s="29" t="s">
        <v>2357</v>
      </c>
      <c r="Q1320" s="25"/>
      <c r="R1320" s="29" t="s">
        <v>2358</v>
      </c>
      <c r="S1320" s="25" t="n">
        <f>872224878</f>
        <v>8.72224878E8</v>
      </c>
      <c r="T1320" s="25" t="n">
        <f>144834715</f>
        <v>1.44834715E8</v>
      </c>
      <c r="U1320" s="3" t="s">
        <v>282</v>
      </c>
      <c r="V1320" s="27" t="n">
        <f>5004410000</f>
        <v>5.00441E9</v>
      </c>
      <c r="W1320" s="3" t="s">
        <v>513</v>
      </c>
      <c r="X1320" s="27" t="n">
        <f>203320000</f>
        <v>2.0332E8</v>
      </c>
      <c r="Y1320" s="27" t="n">
        <f>5202</f>
        <v>5202.0</v>
      </c>
      <c r="Z1320" s="25" t="n">
        <f>270543</f>
        <v>270543.0</v>
      </c>
      <c r="AA1320" s="25" t="n">
        <f>48297</f>
        <v>48297.0</v>
      </c>
      <c r="AB1320" s="2" t="s">
        <v>539</v>
      </c>
      <c r="AC1320" s="26" t="n">
        <f>71392</f>
        <v>71392.0</v>
      </c>
      <c r="AD1320" s="3" t="s">
        <v>156</v>
      </c>
      <c r="AE1320" s="27" t="n">
        <f>12687</f>
        <v>12687.0</v>
      </c>
    </row>
    <row r="1321">
      <c r="A1321" s="20" t="s">
        <v>2191</v>
      </c>
      <c r="B1321" s="21" t="s">
        <v>2192</v>
      </c>
      <c r="C1321" s="22" t="s">
        <v>1764</v>
      </c>
      <c r="D1321" s="23" t="s">
        <v>1765</v>
      </c>
      <c r="E1321" s="24" t="s">
        <v>440</v>
      </c>
      <c r="F1321" s="28" t="n">
        <f>123</f>
        <v>123.0</v>
      </c>
      <c r="G1321" s="25" t="n">
        <f>486831</f>
        <v>486831.0</v>
      </c>
      <c r="H1321" s="25"/>
      <c r="I1321" s="25" t="n">
        <f>61965</f>
        <v>61965.0</v>
      </c>
      <c r="J1321" s="25" t="n">
        <f>3958</f>
        <v>3958.0</v>
      </c>
      <c r="K1321" s="25" t="n">
        <f>504</f>
        <v>504.0</v>
      </c>
      <c r="L1321" s="2" t="s">
        <v>1168</v>
      </c>
      <c r="M1321" s="26" t="n">
        <f>11641</f>
        <v>11641.0</v>
      </c>
      <c r="N1321" s="3" t="s">
        <v>85</v>
      </c>
      <c r="O1321" s="27" t="n">
        <f>1087</f>
        <v>1087.0</v>
      </c>
      <c r="P1321" s="29" t="s">
        <v>2359</v>
      </c>
      <c r="Q1321" s="25"/>
      <c r="R1321" s="29" t="s">
        <v>2360</v>
      </c>
      <c r="S1321" s="25" t="n">
        <f>741001951</f>
        <v>7.41001951E8</v>
      </c>
      <c r="T1321" s="25" t="n">
        <f>171923659</f>
        <v>1.71923659E8</v>
      </c>
      <c r="U1321" s="3" t="s">
        <v>1094</v>
      </c>
      <c r="V1321" s="27" t="n">
        <f>3979130000</f>
        <v>3.97913E9</v>
      </c>
      <c r="W1321" s="3" t="s">
        <v>737</v>
      </c>
      <c r="X1321" s="27" t="n">
        <f>167600000</f>
        <v>1.676E8</v>
      </c>
      <c r="Y1321" s="27" t="n">
        <f>53862</f>
        <v>53862.0</v>
      </c>
      <c r="Z1321" s="25" t="n">
        <f>123723</f>
        <v>123723.0</v>
      </c>
      <c r="AA1321" s="25" t="n">
        <f>10612</f>
        <v>10612.0</v>
      </c>
      <c r="AB1321" s="2" t="s">
        <v>1094</v>
      </c>
      <c r="AC1321" s="26" t="n">
        <f>27417</f>
        <v>27417.0</v>
      </c>
      <c r="AD1321" s="3" t="s">
        <v>156</v>
      </c>
      <c r="AE1321" s="27" t="n">
        <f>5159</f>
        <v>5159.0</v>
      </c>
    </row>
    <row r="1322">
      <c r="A1322" s="20" t="s">
        <v>2191</v>
      </c>
      <c r="B1322" s="21" t="s">
        <v>2192</v>
      </c>
      <c r="C1322" s="22" t="s">
        <v>1768</v>
      </c>
      <c r="D1322" s="23" t="s">
        <v>1769</v>
      </c>
      <c r="E1322" s="24" t="s">
        <v>440</v>
      </c>
      <c r="F1322" s="28" t="n">
        <f>123</f>
        <v>123.0</v>
      </c>
      <c r="G1322" s="25" t="n">
        <f>1341382</f>
        <v>1341382.0</v>
      </c>
      <c r="H1322" s="25"/>
      <c r="I1322" s="25" t="n">
        <f>174915</f>
        <v>174915.0</v>
      </c>
      <c r="J1322" s="25" t="n">
        <f>10906</f>
        <v>10906.0</v>
      </c>
      <c r="K1322" s="25" t="n">
        <f>1422</f>
        <v>1422.0</v>
      </c>
      <c r="L1322" s="2" t="s">
        <v>282</v>
      </c>
      <c r="M1322" s="26" t="n">
        <f>28139</f>
        <v>28139.0</v>
      </c>
      <c r="N1322" s="3" t="s">
        <v>513</v>
      </c>
      <c r="O1322" s="27" t="n">
        <f>3967</f>
        <v>3967.0</v>
      </c>
      <c r="P1322" s="29" t="s">
        <v>2361</v>
      </c>
      <c r="Q1322" s="25"/>
      <c r="R1322" s="29" t="s">
        <v>2362</v>
      </c>
      <c r="S1322" s="25" t="n">
        <f>1613226829</f>
        <v>1.613226829E9</v>
      </c>
      <c r="T1322" s="25" t="n">
        <f>316758374</f>
        <v>3.16758374E8</v>
      </c>
      <c r="U1322" s="3" t="s">
        <v>282</v>
      </c>
      <c r="V1322" s="27" t="n">
        <f>6559680000</f>
        <v>6.55968E9</v>
      </c>
      <c r="W1322" s="3" t="s">
        <v>85</v>
      </c>
      <c r="X1322" s="27" t="n">
        <f>392990000</f>
        <v>3.9299E8</v>
      </c>
      <c r="Y1322" s="27" t="n">
        <f>59064</f>
        <v>59064.0</v>
      </c>
      <c r="Z1322" s="25" t="n">
        <f>394266</f>
        <v>394266.0</v>
      </c>
      <c r="AA1322" s="25" t="n">
        <f>58909</f>
        <v>58909.0</v>
      </c>
      <c r="AB1322" s="2" t="s">
        <v>1094</v>
      </c>
      <c r="AC1322" s="26" t="n">
        <f>97847</f>
        <v>97847.0</v>
      </c>
      <c r="AD1322" s="3" t="s">
        <v>156</v>
      </c>
      <c r="AE1322" s="27" t="n">
        <f>17846</f>
        <v>17846.0</v>
      </c>
    </row>
    <row r="1323">
      <c r="A1323" s="20" t="s">
        <v>2191</v>
      </c>
      <c r="B1323" s="21" t="s">
        <v>2192</v>
      </c>
      <c r="C1323" s="22" t="s">
        <v>1760</v>
      </c>
      <c r="D1323" s="23" t="s">
        <v>1761</v>
      </c>
      <c r="E1323" s="24" t="s">
        <v>443</v>
      </c>
      <c r="F1323" s="28" t="n">
        <f>125</f>
        <v>125.0</v>
      </c>
      <c r="G1323" s="25" t="n">
        <f>645853</f>
        <v>645853.0</v>
      </c>
      <c r="H1323" s="25"/>
      <c r="I1323" s="25" t="n">
        <f>61776</f>
        <v>61776.0</v>
      </c>
      <c r="J1323" s="25" t="n">
        <f>5167</f>
        <v>5167.0</v>
      </c>
      <c r="K1323" s="25" t="n">
        <f>494</f>
        <v>494.0</v>
      </c>
      <c r="L1323" s="2" t="s">
        <v>1116</v>
      </c>
      <c r="M1323" s="26" t="n">
        <f>15111</f>
        <v>15111.0</v>
      </c>
      <c r="N1323" s="3" t="s">
        <v>1185</v>
      </c>
      <c r="O1323" s="27" t="n">
        <f>875</f>
        <v>875.0</v>
      </c>
      <c r="P1323" s="29" t="s">
        <v>2363</v>
      </c>
      <c r="Q1323" s="25"/>
      <c r="R1323" s="29" t="s">
        <v>2364</v>
      </c>
      <c r="S1323" s="25" t="n">
        <f>540402320</f>
        <v>5.4040232E8</v>
      </c>
      <c r="T1323" s="25" t="n">
        <f>61113600</f>
        <v>6.11136E7</v>
      </c>
      <c r="U1323" s="3" t="s">
        <v>1082</v>
      </c>
      <c r="V1323" s="27" t="n">
        <f>1863010000</f>
        <v>1.86301E9</v>
      </c>
      <c r="W1323" s="3" t="s">
        <v>1185</v>
      </c>
      <c r="X1323" s="27" t="n">
        <f>65630000</f>
        <v>6.563E7</v>
      </c>
      <c r="Y1323" s="27" t="n">
        <f>13912</f>
        <v>13912.0</v>
      </c>
      <c r="Z1323" s="25" t="n">
        <f>164874</f>
        <v>164874.0</v>
      </c>
      <c r="AA1323" s="25" t="n">
        <f>21686</f>
        <v>21686.0</v>
      </c>
      <c r="AB1323" s="2" t="s">
        <v>318</v>
      </c>
      <c r="AC1323" s="26" t="n">
        <f>45593</f>
        <v>45593.0</v>
      </c>
      <c r="AD1323" s="3" t="s">
        <v>259</v>
      </c>
      <c r="AE1323" s="27" t="n">
        <f>9174</f>
        <v>9174.0</v>
      </c>
    </row>
    <row r="1324">
      <c r="A1324" s="20" t="s">
        <v>2191</v>
      </c>
      <c r="B1324" s="21" t="s">
        <v>2192</v>
      </c>
      <c r="C1324" s="22" t="s">
        <v>1764</v>
      </c>
      <c r="D1324" s="23" t="s">
        <v>1765</v>
      </c>
      <c r="E1324" s="24" t="s">
        <v>443</v>
      </c>
      <c r="F1324" s="28" t="n">
        <f>125</f>
        <v>125.0</v>
      </c>
      <c r="G1324" s="25" t="n">
        <f>296604</f>
        <v>296604.0</v>
      </c>
      <c r="H1324" s="25"/>
      <c r="I1324" s="25" t="n">
        <f>23044</f>
        <v>23044.0</v>
      </c>
      <c r="J1324" s="25" t="n">
        <f>2373</f>
        <v>2373.0</v>
      </c>
      <c r="K1324" s="25" t="n">
        <f>184</f>
        <v>184.0</v>
      </c>
      <c r="L1324" s="2" t="s">
        <v>872</v>
      </c>
      <c r="M1324" s="26" t="n">
        <f>5396</f>
        <v>5396.0</v>
      </c>
      <c r="N1324" s="3" t="s">
        <v>693</v>
      </c>
      <c r="O1324" s="27" t="n">
        <f>232</f>
        <v>232.0</v>
      </c>
      <c r="P1324" s="29" t="s">
        <v>2365</v>
      </c>
      <c r="Q1324" s="25"/>
      <c r="R1324" s="29" t="s">
        <v>2366</v>
      </c>
      <c r="S1324" s="25" t="n">
        <f>323068240</f>
        <v>3.2306824E8</v>
      </c>
      <c r="T1324" s="25" t="n">
        <f>35005040</f>
        <v>3.500504E7</v>
      </c>
      <c r="U1324" s="3" t="s">
        <v>872</v>
      </c>
      <c r="V1324" s="27" t="n">
        <f>930900000</f>
        <v>9.309E8</v>
      </c>
      <c r="W1324" s="3" t="s">
        <v>693</v>
      </c>
      <c r="X1324" s="27" t="n">
        <f>35910000</f>
        <v>3.591E7</v>
      </c>
      <c r="Y1324" s="27" t="n">
        <f>22591</f>
        <v>22591.0</v>
      </c>
      <c r="Z1324" s="25" t="n">
        <f>56973</f>
        <v>56973.0</v>
      </c>
      <c r="AA1324" s="25" t="n">
        <f>13947</f>
        <v>13947.0</v>
      </c>
      <c r="AB1324" s="2" t="s">
        <v>521</v>
      </c>
      <c r="AC1324" s="26" t="n">
        <f>18304</f>
        <v>18304.0</v>
      </c>
      <c r="AD1324" s="3" t="s">
        <v>302</v>
      </c>
      <c r="AE1324" s="27" t="n">
        <f>3286</f>
        <v>3286.0</v>
      </c>
    </row>
    <row r="1325">
      <c r="A1325" s="20" t="s">
        <v>2191</v>
      </c>
      <c r="B1325" s="21" t="s">
        <v>2192</v>
      </c>
      <c r="C1325" s="22" t="s">
        <v>1768</v>
      </c>
      <c r="D1325" s="23" t="s">
        <v>1769</v>
      </c>
      <c r="E1325" s="24" t="s">
        <v>443</v>
      </c>
      <c r="F1325" s="28" t="n">
        <f>125</f>
        <v>125.0</v>
      </c>
      <c r="G1325" s="25" t="n">
        <f>942457</f>
        <v>942457.0</v>
      </c>
      <c r="H1325" s="25"/>
      <c r="I1325" s="25" t="n">
        <f>84820</f>
        <v>84820.0</v>
      </c>
      <c r="J1325" s="25" t="n">
        <f>7540</f>
        <v>7540.0</v>
      </c>
      <c r="K1325" s="25" t="n">
        <f>679</f>
        <v>679.0</v>
      </c>
      <c r="L1325" s="2" t="s">
        <v>1116</v>
      </c>
      <c r="M1325" s="26" t="n">
        <f>20386</f>
        <v>20386.0</v>
      </c>
      <c r="N1325" s="3" t="s">
        <v>1185</v>
      </c>
      <c r="O1325" s="27" t="n">
        <f>1862</f>
        <v>1862.0</v>
      </c>
      <c r="P1325" s="29" t="s">
        <v>2367</v>
      </c>
      <c r="Q1325" s="25"/>
      <c r="R1325" s="29" t="s">
        <v>2368</v>
      </c>
      <c r="S1325" s="25" t="n">
        <f>863470560</f>
        <v>8.6347056E8</v>
      </c>
      <c r="T1325" s="25" t="n">
        <f>96118640</f>
        <v>9.611864E7</v>
      </c>
      <c r="U1325" s="3" t="s">
        <v>872</v>
      </c>
      <c r="V1325" s="27" t="n">
        <f>2537480000</f>
        <v>2.53748E9</v>
      </c>
      <c r="W1325" s="3" t="s">
        <v>1185</v>
      </c>
      <c r="X1325" s="27" t="n">
        <f>146160000</f>
        <v>1.4616E8</v>
      </c>
      <c r="Y1325" s="27" t="n">
        <f>36503</f>
        <v>36503.0</v>
      </c>
      <c r="Z1325" s="25" t="n">
        <f>221847</f>
        <v>221847.0</v>
      </c>
      <c r="AA1325" s="25" t="n">
        <f>35633</f>
        <v>35633.0</v>
      </c>
      <c r="AB1325" s="2" t="s">
        <v>80</v>
      </c>
      <c r="AC1325" s="26" t="n">
        <f>58958</f>
        <v>58958.0</v>
      </c>
      <c r="AD1325" s="3" t="s">
        <v>259</v>
      </c>
      <c r="AE1325" s="27" t="n">
        <f>12491</f>
        <v>12491.0</v>
      </c>
    </row>
    <row r="1326">
      <c r="A1326" s="20" t="s">
        <v>2191</v>
      </c>
      <c r="B1326" s="21" t="s">
        <v>2192</v>
      </c>
      <c r="C1326" s="22" t="s">
        <v>1760</v>
      </c>
      <c r="D1326" s="23" t="s">
        <v>1761</v>
      </c>
      <c r="E1326" s="24" t="s">
        <v>447</v>
      </c>
      <c r="F1326" s="28" t="n">
        <f>120</f>
        <v>120.0</v>
      </c>
      <c r="G1326" s="25" t="n">
        <f>690993</f>
        <v>690993.0</v>
      </c>
      <c r="H1326" s="25"/>
      <c r="I1326" s="25" t="n">
        <f>122162</f>
        <v>122162.0</v>
      </c>
      <c r="J1326" s="25" t="n">
        <f>5758</f>
        <v>5758.0</v>
      </c>
      <c r="K1326" s="25" t="n">
        <f>1018</f>
        <v>1018.0</v>
      </c>
      <c r="L1326" s="2" t="s">
        <v>493</v>
      </c>
      <c r="M1326" s="26" t="n">
        <f>17364</f>
        <v>17364.0</v>
      </c>
      <c r="N1326" s="3" t="s">
        <v>546</v>
      </c>
      <c r="O1326" s="27" t="n">
        <f>1579</f>
        <v>1579.0</v>
      </c>
      <c r="P1326" s="29" t="s">
        <v>2369</v>
      </c>
      <c r="Q1326" s="25"/>
      <c r="R1326" s="29" t="s">
        <v>2370</v>
      </c>
      <c r="S1326" s="25" t="n">
        <f>1083695500</f>
        <v>1.0836955E9</v>
      </c>
      <c r="T1326" s="25" t="n">
        <f>300846167</f>
        <v>3.00846167E8</v>
      </c>
      <c r="U1326" s="3" t="s">
        <v>754</v>
      </c>
      <c r="V1326" s="27" t="n">
        <f>4164730000</f>
        <v>4.16473E9</v>
      </c>
      <c r="W1326" s="3" t="s">
        <v>981</v>
      </c>
      <c r="X1326" s="27" t="n">
        <f>129890000</f>
        <v>1.2989E8</v>
      </c>
      <c r="Y1326" s="27" t="n">
        <f>28349</f>
        <v>28349.0</v>
      </c>
      <c r="Z1326" s="25" t="n">
        <f>215261</f>
        <v>215261.0</v>
      </c>
      <c r="AA1326" s="25" t="n">
        <f>22751</f>
        <v>22751.0</v>
      </c>
      <c r="AB1326" s="2" t="s">
        <v>243</v>
      </c>
      <c r="AC1326" s="26" t="n">
        <f>40985</f>
        <v>40985.0</v>
      </c>
      <c r="AD1326" s="3" t="s">
        <v>849</v>
      </c>
      <c r="AE1326" s="27" t="n">
        <f>8820</f>
        <v>8820.0</v>
      </c>
    </row>
    <row r="1327">
      <c r="A1327" s="20" t="s">
        <v>2191</v>
      </c>
      <c r="B1327" s="21" t="s">
        <v>2192</v>
      </c>
      <c r="C1327" s="22" t="s">
        <v>1764</v>
      </c>
      <c r="D1327" s="23" t="s">
        <v>1765</v>
      </c>
      <c r="E1327" s="24" t="s">
        <v>447</v>
      </c>
      <c r="F1327" s="28" t="n">
        <f>120</f>
        <v>120.0</v>
      </c>
      <c r="G1327" s="25" t="n">
        <f>406320</f>
        <v>406320.0</v>
      </c>
      <c r="H1327" s="25"/>
      <c r="I1327" s="25" t="n">
        <f>43550</f>
        <v>43550.0</v>
      </c>
      <c r="J1327" s="25" t="n">
        <f>3386</f>
        <v>3386.0</v>
      </c>
      <c r="K1327" s="25" t="n">
        <f>363</f>
        <v>363.0</v>
      </c>
      <c r="L1327" s="2" t="s">
        <v>493</v>
      </c>
      <c r="M1327" s="26" t="n">
        <f>11628</f>
        <v>11628.0</v>
      </c>
      <c r="N1327" s="3" t="s">
        <v>135</v>
      </c>
      <c r="O1327" s="27" t="n">
        <f>714</f>
        <v>714.0</v>
      </c>
      <c r="P1327" s="29" t="s">
        <v>2371</v>
      </c>
      <c r="Q1327" s="25"/>
      <c r="R1327" s="29" t="s">
        <v>2372</v>
      </c>
      <c r="S1327" s="25" t="n">
        <f>697065167</f>
        <v>6.97065167E8</v>
      </c>
      <c r="T1327" s="25" t="n">
        <f>100877417</f>
        <v>1.00877417E8</v>
      </c>
      <c r="U1327" s="3" t="s">
        <v>493</v>
      </c>
      <c r="V1327" s="27" t="n">
        <f>2462190000</f>
        <v>2.46219E9</v>
      </c>
      <c r="W1327" s="3" t="s">
        <v>369</v>
      </c>
      <c r="X1327" s="27" t="n">
        <f>162030000</f>
        <v>1.6203E8</v>
      </c>
      <c r="Y1327" s="27" t="n">
        <f>26546</f>
        <v>26546.0</v>
      </c>
      <c r="Z1327" s="25" t="n">
        <f>81621</f>
        <v>81621.0</v>
      </c>
      <c r="AA1327" s="25" t="n">
        <f>6773</f>
        <v>6773.0</v>
      </c>
      <c r="AB1327" s="2" t="s">
        <v>1094</v>
      </c>
      <c r="AC1327" s="26" t="n">
        <f>19387</f>
        <v>19387.0</v>
      </c>
      <c r="AD1327" s="3" t="s">
        <v>849</v>
      </c>
      <c r="AE1327" s="27" t="n">
        <f>3014</f>
        <v>3014.0</v>
      </c>
    </row>
    <row r="1328">
      <c r="A1328" s="20" t="s">
        <v>2191</v>
      </c>
      <c r="B1328" s="21" t="s">
        <v>2192</v>
      </c>
      <c r="C1328" s="22" t="s">
        <v>1768</v>
      </c>
      <c r="D1328" s="23" t="s">
        <v>1769</v>
      </c>
      <c r="E1328" s="24" t="s">
        <v>447</v>
      </c>
      <c r="F1328" s="28" t="n">
        <f>120</f>
        <v>120.0</v>
      </c>
      <c r="G1328" s="25" t="n">
        <f>1097313</f>
        <v>1097313.0</v>
      </c>
      <c r="H1328" s="25"/>
      <c r="I1328" s="25" t="n">
        <f>165712</f>
        <v>165712.0</v>
      </c>
      <c r="J1328" s="25" t="n">
        <f>9144</f>
        <v>9144.0</v>
      </c>
      <c r="K1328" s="25" t="n">
        <f>1381</f>
        <v>1381.0</v>
      </c>
      <c r="L1328" s="2" t="s">
        <v>493</v>
      </c>
      <c r="M1328" s="26" t="n">
        <f>28992</f>
        <v>28992.0</v>
      </c>
      <c r="N1328" s="3" t="s">
        <v>135</v>
      </c>
      <c r="O1328" s="27" t="n">
        <f>2607</f>
        <v>2607.0</v>
      </c>
      <c r="P1328" s="29" t="s">
        <v>2373</v>
      </c>
      <c r="Q1328" s="25"/>
      <c r="R1328" s="29" t="s">
        <v>2374</v>
      </c>
      <c r="S1328" s="25" t="n">
        <f>1780760667</f>
        <v>1.780760667E9</v>
      </c>
      <c r="T1328" s="25" t="n">
        <f>401723583</f>
        <v>4.01723583E8</v>
      </c>
      <c r="U1328" s="3" t="s">
        <v>493</v>
      </c>
      <c r="V1328" s="27" t="n">
        <f>6120520000</f>
        <v>6.12052E9</v>
      </c>
      <c r="W1328" s="3" t="s">
        <v>2003</v>
      </c>
      <c r="X1328" s="27" t="n">
        <f>492240000</f>
        <v>4.9224E8</v>
      </c>
      <c r="Y1328" s="27" t="n">
        <f>54895</f>
        <v>54895.0</v>
      </c>
      <c r="Z1328" s="25" t="n">
        <f>296882</f>
        <v>296882.0</v>
      </c>
      <c r="AA1328" s="25" t="n">
        <f>29524</f>
        <v>29524.0</v>
      </c>
      <c r="AB1328" s="2" t="s">
        <v>1094</v>
      </c>
      <c r="AC1328" s="26" t="n">
        <f>59339</f>
        <v>59339.0</v>
      </c>
      <c r="AD1328" s="3" t="s">
        <v>849</v>
      </c>
      <c r="AE1328" s="27" t="n">
        <f>11834</f>
        <v>11834.0</v>
      </c>
    </row>
    <row r="1329">
      <c r="A1329" s="20" t="s">
        <v>2191</v>
      </c>
      <c r="B1329" s="21" t="s">
        <v>2192</v>
      </c>
      <c r="C1329" s="22" t="s">
        <v>1760</v>
      </c>
      <c r="D1329" s="23" t="s">
        <v>1761</v>
      </c>
      <c r="E1329" s="24" t="s">
        <v>451</v>
      </c>
      <c r="F1329" s="28" t="n">
        <f>125</f>
        <v>125.0</v>
      </c>
      <c r="G1329" s="25" t="n">
        <f>403812</f>
        <v>403812.0</v>
      </c>
      <c r="H1329" s="25"/>
      <c r="I1329" s="25" t="n">
        <f>73488</f>
        <v>73488.0</v>
      </c>
      <c r="J1329" s="25" t="n">
        <f>3230</f>
        <v>3230.0</v>
      </c>
      <c r="K1329" s="25" t="n">
        <f>588</f>
        <v>588.0</v>
      </c>
      <c r="L1329" s="2" t="s">
        <v>1331</v>
      </c>
      <c r="M1329" s="26" t="n">
        <f>10347</f>
        <v>10347.0</v>
      </c>
      <c r="N1329" s="3" t="s">
        <v>206</v>
      </c>
      <c r="O1329" s="27" t="n">
        <f>564</f>
        <v>564.0</v>
      </c>
      <c r="P1329" s="29" t="s">
        <v>2375</v>
      </c>
      <c r="Q1329" s="25"/>
      <c r="R1329" s="29" t="s">
        <v>2376</v>
      </c>
      <c r="S1329" s="25" t="n">
        <f>418059680</f>
        <v>4.1805968E8</v>
      </c>
      <c r="T1329" s="25" t="n">
        <f>84577200</f>
        <v>8.45772E7</v>
      </c>
      <c r="U1329" s="3" t="s">
        <v>77</v>
      </c>
      <c r="V1329" s="27" t="n">
        <f>1462660000</f>
        <v>1.46266E9</v>
      </c>
      <c r="W1329" s="3" t="s">
        <v>945</v>
      </c>
      <c r="X1329" s="27" t="n">
        <f>64670000</f>
        <v>6.467E7</v>
      </c>
      <c r="Y1329" s="27" t="n">
        <f>9293</f>
        <v>9293.0</v>
      </c>
      <c r="Z1329" s="25" t="n">
        <f>152926</f>
        <v>152926.0</v>
      </c>
      <c r="AA1329" s="25" t="n">
        <f>24731</f>
        <v>24731.0</v>
      </c>
      <c r="AB1329" s="2" t="s">
        <v>221</v>
      </c>
      <c r="AC1329" s="26" t="n">
        <f>44511</f>
        <v>44511.0</v>
      </c>
      <c r="AD1329" s="3" t="s">
        <v>68</v>
      </c>
      <c r="AE1329" s="27" t="n">
        <f>2727</f>
        <v>2727.0</v>
      </c>
    </row>
    <row r="1330">
      <c r="A1330" s="20" t="s">
        <v>2191</v>
      </c>
      <c r="B1330" s="21" t="s">
        <v>2192</v>
      </c>
      <c r="C1330" s="22" t="s">
        <v>1764</v>
      </c>
      <c r="D1330" s="23" t="s">
        <v>1765</v>
      </c>
      <c r="E1330" s="24" t="s">
        <v>451</v>
      </c>
      <c r="F1330" s="28" t="n">
        <f>125</f>
        <v>125.0</v>
      </c>
      <c r="G1330" s="25" t="n">
        <f>191627</f>
        <v>191627.0</v>
      </c>
      <c r="H1330" s="25"/>
      <c r="I1330" s="25" t="n">
        <f>19010</f>
        <v>19010.0</v>
      </c>
      <c r="J1330" s="25" t="n">
        <f>1533</f>
        <v>1533.0</v>
      </c>
      <c r="K1330" s="25" t="n">
        <f>152</f>
        <v>152.0</v>
      </c>
      <c r="L1330" s="2" t="s">
        <v>252</v>
      </c>
      <c r="M1330" s="26" t="n">
        <f>4033</f>
        <v>4033.0</v>
      </c>
      <c r="N1330" s="3" t="s">
        <v>206</v>
      </c>
      <c r="O1330" s="27" t="n">
        <f>191</f>
        <v>191.0</v>
      </c>
      <c r="P1330" s="29" t="s">
        <v>2377</v>
      </c>
      <c r="Q1330" s="25"/>
      <c r="R1330" s="29" t="s">
        <v>2378</v>
      </c>
      <c r="S1330" s="25" t="n">
        <f>278922400</f>
        <v>2.789224E8</v>
      </c>
      <c r="T1330" s="25" t="n">
        <f>40594000</f>
        <v>4.0594E7</v>
      </c>
      <c r="U1330" s="3" t="s">
        <v>838</v>
      </c>
      <c r="V1330" s="27" t="n">
        <f>1751860000</f>
        <v>1.75186E9</v>
      </c>
      <c r="W1330" s="3" t="s">
        <v>206</v>
      </c>
      <c r="X1330" s="27" t="n">
        <f>33920000</f>
        <v>3.392E7</v>
      </c>
      <c r="Y1330" s="27" t="n">
        <f>23209</f>
        <v>23209.0</v>
      </c>
      <c r="Z1330" s="25" t="n">
        <f>40826</f>
        <v>40826.0</v>
      </c>
      <c r="AA1330" s="25" t="n">
        <f>12054</f>
        <v>12054.0</v>
      </c>
      <c r="AB1330" s="2" t="s">
        <v>833</v>
      </c>
      <c r="AC1330" s="26" t="n">
        <f>12564</f>
        <v>12564.0</v>
      </c>
      <c r="AD1330" s="3" t="s">
        <v>68</v>
      </c>
      <c r="AE1330" s="27" t="n">
        <f>1252</f>
        <v>1252.0</v>
      </c>
    </row>
    <row r="1331">
      <c r="A1331" s="20" t="s">
        <v>2191</v>
      </c>
      <c r="B1331" s="21" t="s">
        <v>2192</v>
      </c>
      <c r="C1331" s="22" t="s">
        <v>1768</v>
      </c>
      <c r="D1331" s="23" t="s">
        <v>1769</v>
      </c>
      <c r="E1331" s="24" t="s">
        <v>451</v>
      </c>
      <c r="F1331" s="28" t="n">
        <f>125</f>
        <v>125.0</v>
      </c>
      <c r="G1331" s="25" t="n">
        <f>595439</f>
        <v>595439.0</v>
      </c>
      <c r="H1331" s="25"/>
      <c r="I1331" s="25" t="n">
        <f>92498</f>
        <v>92498.0</v>
      </c>
      <c r="J1331" s="25" t="n">
        <f>4764</f>
        <v>4764.0</v>
      </c>
      <c r="K1331" s="25" t="n">
        <f>740</f>
        <v>740.0</v>
      </c>
      <c r="L1331" s="2" t="s">
        <v>1331</v>
      </c>
      <c r="M1331" s="26" t="n">
        <f>11758</f>
        <v>11758.0</v>
      </c>
      <c r="N1331" s="3" t="s">
        <v>206</v>
      </c>
      <c r="O1331" s="27" t="n">
        <f>755</f>
        <v>755.0</v>
      </c>
      <c r="P1331" s="29" t="s">
        <v>2379</v>
      </c>
      <c r="Q1331" s="25"/>
      <c r="R1331" s="29" t="s">
        <v>2380</v>
      </c>
      <c r="S1331" s="25" t="n">
        <f>696982080</f>
        <v>6.9698208E8</v>
      </c>
      <c r="T1331" s="25" t="n">
        <f>125171200</f>
        <v>1.251712E8</v>
      </c>
      <c r="U1331" s="3" t="s">
        <v>838</v>
      </c>
      <c r="V1331" s="27" t="n">
        <f>2082850000</f>
        <v>2.08285E9</v>
      </c>
      <c r="W1331" s="3" t="s">
        <v>206</v>
      </c>
      <c r="X1331" s="27" t="n">
        <f>103600000</f>
        <v>1.036E8</v>
      </c>
      <c r="Y1331" s="27" t="n">
        <f>32502</f>
        <v>32502.0</v>
      </c>
      <c r="Z1331" s="25" t="n">
        <f>193752</f>
        <v>193752.0</v>
      </c>
      <c r="AA1331" s="25" t="n">
        <f>36785</f>
        <v>36785.0</v>
      </c>
      <c r="AB1331" s="2" t="s">
        <v>833</v>
      </c>
      <c r="AC1331" s="26" t="n">
        <f>56019</f>
        <v>56019.0</v>
      </c>
      <c r="AD1331" s="3" t="s">
        <v>68</v>
      </c>
      <c r="AE1331" s="27" t="n">
        <f>3979</f>
        <v>3979.0</v>
      </c>
    </row>
    <row r="1332">
      <c r="A1332" s="20" t="s">
        <v>2191</v>
      </c>
      <c r="B1332" s="21" t="s">
        <v>2192</v>
      </c>
      <c r="C1332" s="22" t="s">
        <v>1760</v>
      </c>
      <c r="D1332" s="23" t="s">
        <v>1761</v>
      </c>
      <c r="E1332" s="24" t="s">
        <v>454</v>
      </c>
      <c r="F1332" s="28" t="n">
        <f>120</f>
        <v>120.0</v>
      </c>
      <c r="G1332" s="25" t="n">
        <f>389920</f>
        <v>389920.0</v>
      </c>
      <c r="H1332" s="25"/>
      <c r="I1332" s="25" t="n">
        <f>102803</f>
        <v>102803.0</v>
      </c>
      <c r="J1332" s="25" t="n">
        <f>3249</f>
        <v>3249.0</v>
      </c>
      <c r="K1332" s="25" t="n">
        <f>857</f>
        <v>857.0</v>
      </c>
      <c r="L1332" s="2" t="s">
        <v>434</v>
      </c>
      <c r="M1332" s="26" t="n">
        <f>11337</f>
        <v>11337.0</v>
      </c>
      <c r="N1332" s="3" t="s">
        <v>307</v>
      </c>
      <c r="O1332" s="27" t="n">
        <f>761</f>
        <v>761.0</v>
      </c>
      <c r="P1332" s="29" t="s">
        <v>2381</v>
      </c>
      <c r="Q1332" s="25"/>
      <c r="R1332" s="29" t="s">
        <v>2382</v>
      </c>
      <c r="S1332" s="25" t="n">
        <f>327359750</f>
        <v>3.2735975E8</v>
      </c>
      <c r="T1332" s="25" t="n">
        <f>99332667</f>
        <v>9.9332667E7</v>
      </c>
      <c r="U1332" s="3" t="s">
        <v>177</v>
      </c>
      <c r="V1332" s="27" t="n">
        <f>1307020000</f>
        <v>1.30702E9</v>
      </c>
      <c r="W1332" s="3" t="s">
        <v>307</v>
      </c>
      <c r="X1332" s="27" t="n">
        <f>37250000</f>
        <v>3.725E7</v>
      </c>
      <c r="Y1332" s="27" t="n">
        <f>4882</f>
        <v>4882.0</v>
      </c>
      <c r="Z1332" s="25" t="n">
        <f>192101</f>
        <v>192101.0</v>
      </c>
      <c r="AA1332" s="25" t="n">
        <f>25995</f>
        <v>25995.0</v>
      </c>
      <c r="AB1332" s="2" t="s">
        <v>305</v>
      </c>
      <c r="AC1332" s="26" t="n">
        <f>36217</f>
        <v>36217.0</v>
      </c>
      <c r="AD1332" s="3" t="s">
        <v>316</v>
      </c>
      <c r="AE1332" s="27" t="n">
        <f>9688</f>
        <v>9688.0</v>
      </c>
    </row>
    <row r="1333">
      <c r="A1333" s="20" t="s">
        <v>2191</v>
      </c>
      <c r="B1333" s="21" t="s">
        <v>2192</v>
      </c>
      <c r="C1333" s="22" t="s">
        <v>1764</v>
      </c>
      <c r="D1333" s="23" t="s">
        <v>1765</v>
      </c>
      <c r="E1333" s="24" t="s">
        <v>454</v>
      </c>
      <c r="F1333" s="28" t="n">
        <f>120</f>
        <v>120.0</v>
      </c>
      <c r="G1333" s="25" t="n">
        <f>188719</f>
        <v>188719.0</v>
      </c>
      <c r="H1333" s="25"/>
      <c r="I1333" s="25" t="n">
        <f>24225</f>
        <v>24225.0</v>
      </c>
      <c r="J1333" s="25" t="n">
        <f>1573</f>
        <v>1573.0</v>
      </c>
      <c r="K1333" s="25" t="n">
        <f>202</f>
        <v>202.0</v>
      </c>
      <c r="L1333" s="2" t="s">
        <v>876</v>
      </c>
      <c r="M1333" s="26" t="n">
        <f>4952</f>
        <v>4952.0</v>
      </c>
      <c r="N1333" s="3" t="s">
        <v>482</v>
      </c>
      <c r="O1333" s="27" t="n">
        <f>239</f>
        <v>239.0</v>
      </c>
      <c r="P1333" s="29" t="s">
        <v>2383</v>
      </c>
      <c r="Q1333" s="25"/>
      <c r="R1333" s="29" t="s">
        <v>2384</v>
      </c>
      <c r="S1333" s="25" t="n">
        <f>224090500</f>
        <v>2.240905E8</v>
      </c>
      <c r="T1333" s="25" t="n">
        <f>42087000</f>
        <v>4.2087E7</v>
      </c>
      <c r="U1333" s="3" t="s">
        <v>698</v>
      </c>
      <c r="V1333" s="27" t="n">
        <f>780970000</f>
        <v>7.8097E8</v>
      </c>
      <c r="W1333" s="3" t="s">
        <v>61</v>
      </c>
      <c r="X1333" s="27" t="n">
        <f>39480000</f>
        <v>3.948E7</v>
      </c>
      <c r="Y1333" s="27" t="n">
        <f>22348</f>
        <v>22348.0</v>
      </c>
      <c r="Z1333" s="25" t="n">
        <f>56007</f>
        <v>56007.0</v>
      </c>
      <c r="AA1333" s="25" t="n">
        <f>5022</f>
        <v>5022.0</v>
      </c>
      <c r="AB1333" s="2" t="s">
        <v>249</v>
      </c>
      <c r="AC1333" s="26" t="n">
        <f>13330</f>
        <v>13330.0</v>
      </c>
      <c r="AD1333" s="3" t="s">
        <v>328</v>
      </c>
      <c r="AE1333" s="27" t="n">
        <f>2960</f>
        <v>2960.0</v>
      </c>
    </row>
    <row r="1334">
      <c r="A1334" s="20" t="s">
        <v>2191</v>
      </c>
      <c r="B1334" s="21" t="s">
        <v>2192</v>
      </c>
      <c r="C1334" s="22" t="s">
        <v>1768</v>
      </c>
      <c r="D1334" s="23" t="s">
        <v>1769</v>
      </c>
      <c r="E1334" s="24" t="s">
        <v>454</v>
      </c>
      <c r="F1334" s="28" t="n">
        <f>120</f>
        <v>120.0</v>
      </c>
      <c r="G1334" s="25" t="n">
        <f>578639</f>
        <v>578639.0</v>
      </c>
      <c r="H1334" s="25"/>
      <c r="I1334" s="25" t="n">
        <f>127028</f>
        <v>127028.0</v>
      </c>
      <c r="J1334" s="25" t="n">
        <f>4822</f>
        <v>4822.0</v>
      </c>
      <c r="K1334" s="25" t="n">
        <f>1059</f>
        <v>1059.0</v>
      </c>
      <c r="L1334" s="2" t="s">
        <v>434</v>
      </c>
      <c r="M1334" s="26" t="n">
        <f>14957</f>
        <v>14957.0</v>
      </c>
      <c r="N1334" s="3" t="s">
        <v>61</v>
      </c>
      <c r="O1334" s="27" t="n">
        <f>1416</f>
        <v>1416.0</v>
      </c>
      <c r="P1334" s="29" t="s">
        <v>2385</v>
      </c>
      <c r="Q1334" s="25"/>
      <c r="R1334" s="29" t="s">
        <v>2386</v>
      </c>
      <c r="S1334" s="25" t="n">
        <f>551450250</f>
        <v>5.5145025E8</v>
      </c>
      <c r="T1334" s="25" t="n">
        <f>141419667</f>
        <v>1.41419667E8</v>
      </c>
      <c r="U1334" s="3" t="s">
        <v>366</v>
      </c>
      <c r="V1334" s="27" t="n">
        <f>1685240000</f>
        <v>1.68524E9</v>
      </c>
      <c r="W1334" s="3" t="s">
        <v>307</v>
      </c>
      <c r="X1334" s="27" t="n">
        <f>88440000</f>
        <v>8.844E7</v>
      </c>
      <c r="Y1334" s="27" t="n">
        <f>27230</f>
        <v>27230.0</v>
      </c>
      <c r="Z1334" s="25" t="n">
        <f>248108</f>
        <v>248108.0</v>
      </c>
      <c r="AA1334" s="25" t="n">
        <f>31017</f>
        <v>31017.0</v>
      </c>
      <c r="AB1334" s="2" t="s">
        <v>177</v>
      </c>
      <c r="AC1334" s="26" t="n">
        <f>48012</f>
        <v>48012.0</v>
      </c>
      <c r="AD1334" s="3" t="s">
        <v>316</v>
      </c>
      <c r="AE1334" s="27" t="n">
        <f>13555</f>
        <v>13555.0</v>
      </c>
    </row>
    <row r="1335">
      <c r="A1335" s="20" t="s">
        <v>2191</v>
      </c>
      <c r="B1335" s="21" t="s">
        <v>2192</v>
      </c>
      <c r="C1335" s="22" t="s">
        <v>1760</v>
      </c>
      <c r="D1335" s="23" t="s">
        <v>1761</v>
      </c>
      <c r="E1335" s="24" t="s">
        <v>48</v>
      </c>
      <c r="F1335" s="28" t="n">
        <f>124</f>
        <v>124.0</v>
      </c>
      <c r="G1335" s="25" t="n">
        <f>401039</f>
        <v>401039.0</v>
      </c>
      <c r="H1335" s="25"/>
      <c r="I1335" s="25" t="n">
        <f>51127</f>
        <v>51127.0</v>
      </c>
      <c r="J1335" s="25" t="n">
        <f>3234</f>
        <v>3234.0</v>
      </c>
      <c r="K1335" s="25" t="n">
        <f>412</f>
        <v>412.0</v>
      </c>
      <c r="L1335" s="2" t="s">
        <v>1092</v>
      </c>
      <c r="M1335" s="26" t="n">
        <f>10878</f>
        <v>10878.0</v>
      </c>
      <c r="N1335" s="3" t="s">
        <v>507</v>
      </c>
      <c r="O1335" s="27" t="n">
        <f>638</f>
        <v>638.0</v>
      </c>
      <c r="P1335" s="29" t="s">
        <v>2387</v>
      </c>
      <c r="Q1335" s="25"/>
      <c r="R1335" s="29" t="s">
        <v>2388</v>
      </c>
      <c r="S1335" s="25" t="n">
        <f>266714516</f>
        <v>2.66714516E8</v>
      </c>
      <c r="T1335" s="25" t="n">
        <f>46866774</f>
        <v>4.6866774E7</v>
      </c>
      <c r="U1335" s="3" t="s">
        <v>1011</v>
      </c>
      <c r="V1335" s="27" t="n">
        <f>1228260000</f>
        <v>1.22826E9</v>
      </c>
      <c r="W1335" s="3" t="s">
        <v>507</v>
      </c>
      <c r="X1335" s="27" t="n">
        <f>33130000</f>
        <v>3.313E7</v>
      </c>
      <c r="Y1335" s="27" t="n">
        <f>1771</f>
        <v>1771.0</v>
      </c>
      <c r="Z1335" s="25" t="n">
        <f>114868</f>
        <v>114868.0</v>
      </c>
      <c r="AA1335" s="25" t="n">
        <f>41021</f>
        <v>41021.0</v>
      </c>
      <c r="AB1335" s="2" t="s">
        <v>833</v>
      </c>
      <c r="AC1335" s="26" t="n">
        <f>54250</f>
        <v>54250.0</v>
      </c>
      <c r="AD1335" s="3" t="s">
        <v>68</v>
      </c>
      <c r="AE1335" s="27" t="n">
        <f>9438</f>
        <v>9438.0</v>
      </c>
    </row>
    <row r="1336">
      <c r="A1336" s="20" t="s">
        <v>2191</v>
      </c>
      <c r="B1336" s="21" t="s">
        <v>2192</v>
      </c>
      <c r="C1336" s="22" t="s">
        <v>1764</v>
      </c>
      <c r="D1336" s="23" t="s">
        <v>1765</v>
      </c>
      <c r="E1336" s="24" t="s">
        <v>48</v>
      </c>
      <c r="F1336" s="28" t="n">
        <f>124</f>
        <v>124.0</v>
      </c>
      <c r="G1336" s="25" t="n">
        <f>154045</f>
        <v>154045.0</v>
      </c>
      <c r="H1336" s="25"/>
      <c r="I1336" s="25" t="n">
        <f>11370</f>
        <v>11370.0</v>
      </c>
      <c r="J1336" s="25" t="n">
        <f>1242</f>
        <v>1242.0</v>
      </c>
      <c r="K1336" s="25" t="n">
        <f>92</f>
        <v>92.0</v>
      </c>
      <c r="L1336" s="2" t="s">
        <v>555</v>
      </c>
      <c r="M1336" s="26" t="n">
        <f>5816</f>
        <v>5816.0</v>
      </c>
      <c r="N1336" s="3" t="s">
        <v>444</v>
      </c>
      <c r="O1336" s="27" t="n">
        <f>140</f>
        <v>140.0</v>
      </c>
      <c r="P1336" s="29" t="s">
        <v>2389</v>
      </c>
      <c r="Q1336" s="25"/>
      <c r="R1336" s="29" t="s">
        <v>2390</v>
      </c>
      <c r="S1336" s="25" t="n">
        <f>159723065</f>
        <v>1.59723065E8</v>
      </c>
      <c r="T1336" s="25" t="n">
        <f>17640081</f>
        <v>1.7640081E7</v>
      </c>
      <c r="U1336" s="3" t="s">
        <v>1142</v>
      </c>
      <c r="V1336" s="27" t="n">
        <f>771650000</f>
        <v>7.7165E8</v>
      </c>
      <c r="W1336" s="3" t="s">
        <v>332</v>
      </c>
      <c r="X1336" s="27" t="n">
        <f>13460000</f>
        <v>1.346E7</v>
      </c>
      <c r="Y1336" s="27" t="n">
        <f>25098</f>
        <v>25098.0</v>
      </c>
      <c r="Z1336" s="25" t="n">
        <f>21557</f>
        <v>21557.0</v>
      </c>
      <c r="AA1336" s="25" t="n">
        <f>4358</f>
        <v>4358.0</v>
      </c>
      <c r="AB1336" s="2" t="s">
        <v>719</v>
      </c>
      <c r="AC1336" s="26" t="n">
        <f>12732</f>
        <v>12732.0</v>
      </c>
      <c r="AD1336" s="3" t="s">
        <v>593</v>
      </c>
      <c r="AE1336" s="27" t="n">
        <f>1637</f>
        <v>1637.0</v>
      </c>
    </row>
    <row r="1337">
      <c r="A1337" s="20" t="s">
        <v>2191</v>
      </c>
      <c r="B1337" s="21" t="s">
        <v>2192</v>
      </c>
      <c r="C1337" s="22" t="s">
        <v>1768</v>
      </c>
      <c r="D1337" s="23" t="s">
        <v>1769</v>
      </c>
      <c r="E1337" s="24" t="s">
        <v>48</v>
      </c>
      <c r="F1337" s="28" t="n">
        <f>124</f>
        <v>124.0</v>
      </c>
      <c r="G1337" s="25" t="n">
        <f>555084</f>
        <v>555084.0</v>
      </c>
      <c r="H1337" s="25"/>
      <c r="I1337" s="25" t="n">
        <f>62497</f>
        <v>62497.0</v>
      </c>
      <c r="J1337" s="25" t="n">
        <f>4476</f>
        <v>4476.0</v>
      </c>
      <c r="K1337" s="25" t="n">
        <f>504</f>
        <v>504.0</v>
      </c>
      <c r="L1337" s="2" t="s">
        <v>555</v>
      </c>
      <c r="M1337" s="26" t="n">
        <f>13263</f>
        <v>13263.0</v>
      </c>
      <c r="N1337" s="3" t="s">
        <v>507</v>
      </c>
      <c r="O1337" s="27" t="n">
        <f>959</f>
        <v>959.0</v>
      </c>
      <c r="P1337" s="29" t="s">
        <v>2391</v>
      </c>
      <c r="Q1337" s="25"/>
      <c r="R1337" s="29" t="s">
        <v>2392</v>
      </c>
      <c r="S1337" s="25" t="n">
        <f>426437581</f>
        <v>4.26437581E8</v>
      </c>
      <c r="T1337" s="25" t="n">
        <f>64506855</f>
        <v>6.4506855E7</v>
      </c>
      <c r="U1337" s="3" t="s">
        <v>1011</v>
      </c>
      <c r="V1337" s="27" t="n">
        <f>1631380000</f>
        <v>1.63138E9</v>
      </c>
      <c r="W1337" s="3" t="s">
        <v>507</v>
      </c>
      <c r="X1337" s="27" t="n">
        <f>58850000</f>
        <v>5.885E7</v>
      </c>
      <c r="Y1337" s="27" t="n">
        <f>26869</f>
        <v>26869.0</v>
      </c>
      <c r="Z1337" s="25" t="n">
        <f>136425</f>
        <v>136425.0</v>
      </c>
      <c r="AA1337" s="25" t="n">
        <f>45379</f>
        <v>45379.0</v>
      </c>
      <c r="AB1337" s="2" t="s">
        <v>524</v>
      </c>
      <c r="AC1337" s="26" t="n">
        <f>60090</f>
        <v>60090.0</v>
      </c>
      <c r="AD1337" s="3" t="s">
        <v>68</v>
      </c>
      <c r="AE1337" s="27" t="n">
        <f>13252</f>
        <v>13252.0</v>
      </c>
    </row>
    <row r="1338">
      <c r="A1338" s="20" t="s">
        <v>2191</v>
      </c>
      <c r="B1338" s="21" t="s">
        <v>2192</v>
      </c>
      <c r="C1338" s="22" t="s">
        <v>1760</v>
      </c>
      <c r="D1338" s="23" t="s">
        <v>1761</v>
      </c>
      <c r="E1338" s="24" t="s">
        <v>55</v>
      </c>
      <c r="F1338" s="28" t="n">
        <f>121</f>
        <v>121.0</v>
      </c>
      <c r="G1338" s="25" t="n">
        <f>533880</f>
        <v>533880.0</v>
      </c>
      <c r="H1338" s="25"/>
      <c r="I1338" s="25" t="n">
        <f>50869</f>
        <v>50869.0</v>
      </c>
      <c r="J1338" s="25" t="n">
        <f>4412</f>
        <v>4412.0</v>
      </c>
      <c r="K1338" s="25" t="n">
        <f>420</f>
        <v>420.0</v>
      </c>
      <c r="L1338" s="2" t="s">
        <v>57</v>
      </c>
      <c r="M1338" s="26" t="n">
        <f>12777</f>
        <v>12777.0</v>
      </c>
      <c r="N1338" s="3" t="s">
        <v>397</v>
      </c>
      <c r="O1338" s="27" t="n">
        <f>641</f>
        <v>641.0</v>
      </c>
      <c r="P1338" s="29" t="s">
        <v>2393</v>
      </c>
      <c r="Q1338" s="25"/>
      <c r="R1338" s="29" t="s">
        <v>2394</v>
      </c>
      <c r="S1338" s="25" t="n">
        <f>544538017</f>
        <v>5.44538017E8</v>
      </c>
      <c r="T1338" s="25" t="n">
        <f>72980496</f>
        <v>7.2980496E7</v>
      </c>
      <c r="U1338" s="3" t="s">
        <v>204</v>
      </c>
      <c r="V1338" s="27" t="n">
        <f>2155190000</f>
        <v>2.15519E9</v>
      </c>
      <c r="W1338" s="3" t="s">
        <v>397</v>
      </c>
      <c r="X1338" s="27" t="n">
        <f>55770000</f>
        <v>5.577E7</v>
      </c>
      <c r="Y1338" s="27" t="n">
        <f>7536</f>
        <v>7536.0</v>
      </c>
      <c r="Z1338" s="25" t="n">
        <f>89521</f>
        <v>89521.0</v>
      </c>
      <c r="AA1338" s="25" t="n">
        <f>9303</f>
        <v>9303.0</v>
      </c>
      <c r="AB1338" s="2" t="s">
        <v>733</v>
      </c>
      <c r="AC1338" s="26" t="n">
        <f>48245</f>
        <v>48245.0</v>
      </c>
      <c r="AD1338" s="3" t="s">
        <v>249</v>
      </c>
      <c r="AE1338" s="27" t="n">
        <f>7376</f>
        <v>7376.0</v>
      </c>
    </row>
    <row r="1339">
      <c r="A1339" s="20" t="s">
        <v>2191</v>
      </c>
      <c r="B1339" s="21" t="s">
        <v>2192</v>
      </c>
      <c r="C1339" s="22" t="s">
        <v>1764</v>
      </c>
      <c r="D1339" s="23" t="s">
        <v>1765</v>
      </c>
      <c r="E1339" s="24" t="s">
        <v>55</v>
      </c>
      <c r="F1339" s="28" t="n">
        <f>121</f>
        <v>121.0</v>
      </c>
      <c r="G1339" s="25" t="n">
        <f>171753</f>
        <v>171753.0</v>
      </c>
      <c r="H1339" s="25"/>
      <c r="I1339" s="25" t="n">
        <f>10977</f>
        <v>10977.0</v>
      </c>
      <c r="J1339" s="25" t="n">
        <f>1419</f>
        <v>1419.0</v>
      </c>
      <c r="K1339" s="25" t="n">
        <f>91</f>
        <v>91.0</v>
      </c>
      <c r="L1339" s="2" t="s">
        <v>101</v>
      </c>
      <c r="M1339" s="26" t="n">
        <f>3929</f>
        <v>3929.0</v>
      </c>
      <c r="N1339" s="3" t="s">
        <v>773</v>
      </c>
      <c r="O1339" s="27" t="n">
        <f>209</f>
        <v>209.0</v>
      </c>
      <c r="P1339" s="29" t="s">
        <v>2395</v>
      </c>
      <c r="Q1339" s="25"/>
      <c r="R1339" s="29" t="s">
        <v>2396</v>
      </c>
      <c r="S1339" s="25" t="n">
        <f>220786694</f>
        <v>2.20786694E8</v>
      </c>
      <c r="T1339" s="25" t="n">
        <f>16092314</f>
        <v>1.6092314E7</v>
      </c>
      <c r="U1339" s="3" t="s">
        <v>251</v>
      </c>
      <c r="V1339" s="27" t="n">
        <f>699930000</f>
        <v>6.9993E8</v>
      </c>
      <c r="W1339" s="3" t="s">
        <v>773</v>
      </c>
      <c r="X1339" s="27" t="n">
        <f>15100000</f>
        <v>1.51E7</v>
      </c>
      <c r="Y1339" s="27" t="n">
        <f>8864</f>
        <v>8864.0</v>
      </c>
      <c r="Z1339" s="25" t="n">
        <f>21924</f>
        <v>21924.0</v>
      </c>
      <c r="AA1339" s="25" t="n">
        <f>3147</f>
        <v>3147.0</v>
      </c>
      <c r="AB1339" s="2" t="s">
        <v>85</v>
      </c>
      <c r="AC1339" s="26" t="n">
        <f>12606</f>
        <v>12606.0</v>
      </c>
      <c r="AD1339" s="3" t="s">
        <v>209</v>
      </c>
      <c r="AE1339" s="27" t="n">
        <f>2039</f>
        <v>2039.0</v>
      </c>
    </row>
    <row r="1340">
      <c r="A1340" s="20" t="s">
        <v>2191</v>
      </c>
      <c r="B1340" s="21" t="s">
        <v>2192</v>
      </c>
      <c r="C1340" s="22" t="s">
        <v>1768</v>
      </c>
      <c r="D1340" s="23" t="s">
        <v>1769</v>
      </c>
      <c r="E1340" s="24" t="s">
        <v>55</v>
      </c>
      <c r="F1340" s="28" t="n">
        <f>121</f>
        <v>121.0</v>
      </c>
      <c r="G1340" s="25" t="n">
        <f>705633</f>
        <v>705633.0</v>
      </c>
      <c r="H1340" s="25"/>
      <c r="I1340" s="25" t="n">
        <f>61846</f>
        <v>61846.0</v>
      </c>
      <c r="J1340" s="25" t="n">
        <f>5832</f>
        <v>5832.0</v>
      </c>
      <c r="K1340" s="25" t="n">
        <f>511</f>
        <v>511.0</v>
      </c>
      <c r="L1340" s="2" t="s">
        <v>57</v>
      </c>
      <c r="M1340" s="26" t="n">
        <f>15849</f>
        <v>15849.0</v>
      </c>
      <c r="N1340" s="3" t="s">
        <v>773</v>
      </c>
      <c r="O1340" s="27" t="n">
        <f>1356</f>
        <v>1356.0</v>
      </c>
      <c r="P1340" s="29" t="s">
        <v>2397</v>
      </c>
      <c r="Q1340" s="25"/>
      <c r="R1340" s="29" t="s">
        <v>2398</v>
      </c>
      <c r="S1340" s="25" t="n">
        <f>765324711</f>
        <v>7.65324711E8</v>
      </c>
      <c r="T1340" s="25" t="n">
        <f>89072810</f>
        <v>8.907281E7</v>
      </c>
      <c r="U1340" s="3" t="s">
        <v>204</v>
      </c>
      <c r="V1340" s="27" t="n">
        <f>2461530000</f>
        <v>2.46153E9</v>
      </c>
      <c r="W1340" s="3" t="s">
        <v>108</v>
      </c>
      <c r="X1340" s="27" t="n">
        <f>114260000</f>
        <v>1.1426E8</v>
      </c>
      <c r="Y1340" s="27" t="n">
        <f>16400</f>
        <v>16400.0</v>
      </c>
      <c r="Z1340" s="25" t="n">
        <f>111445</f>
        <v>111445.0</v>
      </c>
      <c r="AA1340" s="25" t="n">
        <f>12450</f>
        <v>12450.0</v>
      </c>
      <c r="AB1340" s="2" t="s">
        <v>733</v>
      </c>
      <c r="AC1340" s="26" t="n">
        <f>56036</f>
        <v>56036.0</v>
      </c>
      <c r="AD1340" s="3" t="s">
        <v>249</v>
      </c>
      <c r="AE1340" s="27" t="n">
        <f>9699</f>
        <v>9699.0</v>
      </c>
    </row>
    <row r="1341">
      <c r="A1341" s="20" t="s">
        <v>2191</v>
      </c>
      <c r="B1341" s="21" t="s">
        <v>2192</v>
      </c>
      <c r="C1341" s="22" t="s">
        <v>1760</v>
      </c>
      <c r="D1341" s="23" t="s">
        <v>1761</v>
      </c>
      <c r="E1341" s="24" t="s">
        <v>62</v>
      </c>
      <c r="F1341" s="28" t="n">
        <f>123</f>
        <v>123.0</v>
      </c>
      <c r="G1341" s="25" t="n">
        <f>290365</f>
        <v>290365.0</v>
      </c>
      <c r="H1341" s="25"/>
      <c r="I1341" s="25" t="n">
        <f>46883</f>
        <v>46883.0</v>
      </c>
      <c r="J1341" s="25" t="n">
        <f>2361</f>
        <v>2361.0</v>
      </c>
      <c r="K1341" s="25" t="n">
        <f>381</f>
        <v>381.0</v>
      </c>
      <c r="L1341" s="2" t="s">
        <v>215</v>
      </c>
      <c r="M1341" s="26" t="n">
        <f>8862</f>
        <v>8862.0</v>
      </c>
      <c r="N1341" s="3" t="s">
        <v>216</v>
      </c>
      <c r="O1341" s="27" t="n">
        <f>322</f>
        <v>322.0</v>
      </c>
      <c r="P1341" s="29" t="s">
        <v>2399</v>
      </c>
      <c r="Q1341" s="25"/>
      <c r="R1341" s="29" t="s">
        <v>2400</v>
      </c>
      <c r="S1341" s="25" t="n">
        <f>242744797</f>
        <v>2.42744797E8</v>
      </c>
      <c r="T1341" s="25" t="n">
        <f>42307236</f>
        <v>4.2307236E7</v>
      </c>
      <c r="U1341" s="3" t="s">
        <v>215</v>
      </c>
      <c r="V1341" s="27" t="n">
        <f>1945230000</f>
        <v>1.94523E9</v>
      </c>
      <c r="W1341" s="3" t="s">
        <v>216</v>
      </c>
      <c r="X1341" s="27" t="n">
        <f>25480000</f>
        <v>2.548E7</v>
      </c>
      <c r="Y1341" s="27" t="n">
        <f>1145</f>
        <v>1145.0</v>
      </c>
      <c r="Z1341" s="25" t="n">
        <f>76209</f>
        <v>76209.0</v>
      </c>
      <c r="AA1341" s="25" t="n">
        <f>8705</f>
        <v>8705.0</v>
      </c>
      <c r="AB1341" s="2" t="s">
        <v>1469</v>
      </c>
      <c r="AC1341" s="26" t="n">
        <f>33594</f>
        <v>33594.0</v>
      </c>
      <c r="AD1341" s="3" t="s">
        <v>318</v>
      </c>
      <c r="AE1341" s="27" t="n">
        <f>6419</f>
        <v>6419.0</v>
      </c>
    </row>
    <row r="1342">
      <c r="A1342" s="20" t="s">
        <v>2191</v>
      </c>
      <c r="B1342" s="21" t="s">
        <v>2192</v>
      </c>
      <c r="C1342" s="22" t="s">
        <v>1764</v>
      </c>
      <c r="D1342" s="23" t="s">
        <v>1765</v>
      </c>
      <c r="E1342" s="24" t="s">
        <v>62</v>
      </c>
      <c r="F1342" s="28" t="n">
        <f>123</f>
        <v>123.0</v>
      </c>
      <c r="G1342" s="25" t="n">
        <f>146740</f>
        <v>146740.0</v>
      </c>
      <c r="H1342" s="25"/>
      <c r="I1342" s="25" t="n">
        <f>19517</f>
        <v>19517.0</v>
      </c>
      <c r="J1342" s="25" t="n">
        <f>1193</f>
        <v>1193.0</v>
      </c>
      <c r="K1342" s="25" t="n">
        <f>159</f>
        <v>159.0</v>
      </c>
      <c r="L1342" s="2" t="s">
        <v>945</v>
      </c>
      <c r="M1342" s="26" t="n">
        <f>4883</f>
        <v>4883.0</v>
      </c>
      <c r="N1342" s="3" t="s">
        <v>67</v>
      </c>
      <c r="O1342" s="27" t="n">
        <f>151</f>
        <v>151.0</v>
      </c>
      <c r="P1342" s="29" t="s">
        <v>2401</v>
      </c>
      <c r="Q1342" s="25"/>
      <c r="R1342" s="29" t="s">
        <v>2402</v>
      </c>
      <c r="S1342" s="25" t="n">
        <f>175036504</f>
        <v>1.75036504E8</v>
      </c>
      <c r="T1342" s="25" t="n">
        <f>27906179</f>
        <v>2.7906179E7</v>
      </c>
      <c r="U1342" s="3" t="s">
        <v>215</v>
      </c>
      <c r="V1342" s="27" t="n">
        <f>818510000</f>
        <v>8.1851E8</v>
      </c>
      <c r="W1342" s="3" t="s">
        <v>67</v>
      </c>
      <c r="X1342" s="27" t="n">
        <f>11430000</f>
        <v>1.143E7</v>
      </c>
      <c r="Y1342" s="27" t="n">
        <f>17203</f>
        <v>17203.0</v>
      </c>
      <c r="Z1342" s="25" t="n">
        <f>28525</f>
        <v>28525.0</v>
      </c>
      <c r="AA1342" s="25" t="n">
        <f>1959</f>
        <v>1959.0</v>
      </c>
      <c r="AB1342" s="2" t="s">
        <v>350</v>
      </c>
      <c r="AC1342" s="26" t="n">
        <f>11289</f>
        <v>11289.0</v>
      </c>
      <c r="AD1342" s="3" t="s">
        <v>318</v>
      </c>
      <c r="AE1342" s="27" t="n">
        <f>1545</f>
        <v>1545.0</v>
      </c>
    </row>
    <row r="1343">
      <c r="A1343" s="20" t="s">
        <v>2191</v>
      </c>
      <c r="B1343" s="21" t="s">
        <v>2192</v>
      </c>
      <c r="C1343" s="22" t="s">
        <v>1768</v>
      </c>
      <c r="D1343" s="23" t="s">
        <v>1769</v>
      </c>
      <c r="E1343" s="24" t="s">
        <v>62</v>
      </c>
      <c r="F1343" s="28" t="n">
        <f>123</f>
        <v>123.0</v>
      </c>
      <c r="G1343" s="25" t="n">
        <f>437105</f>
        <v>437105.0</v>
      </c>
      <c r="H1343" s="25"/>
      <c r="I1343" s="25" t="n">
        <f>66400</f>
        <v>66400.0</v>
      </c>
      <c r="J1343" s="25" t="n">
        <f>3554</f>
        <v>3554.0</v>
      </c>
      <c r="K1343" s="25" t="n">
        <f>540</f>
        <v>540.0</v>
      </c>
      <c r="L1343" s="2" t="s">
        <v>215</v>
      </c>
      <c r="M1343" s="26" t="n">
        <f>12098</f>
        <v>12098.0</v>
      </c>
      <c r="N1343" s="3" t="s">
        <v>991</v>
      </c>
      <c r="O1343" s="27" t="n">
        <f>710</f>
        <v>710.0</v>
      </c>
      <c r="P1343" s="29" t="s">
        <v>2403</v>
      </c>
      <c r="Q1343" s="25"/>
      <c r="R1343" s="29" t="s">
        <v>2404</v>
      </c>
      <c r="S1343" s="25" t="n">
        <f>417781301</f>
        <v>4.17781301E8</v>
      </c>
      <c r="T1343" s="25" t="n">
        <f>70213415</f>
        <v>7.0213415E7</v>
      </c>
      <c r="U1343" s="3" t="s">
        <v>215</v>
      </c>
      <c r="V1343" s="27" t="n">
        <f>2763740000</f>
        <v>2.76374E9</v>
      </c>
      <c r="W1343" s="3" t="s">
        <v>1415</v>
      </c>
      <c r="X1343" s="27" t="n">
        <f>57960000</f>
        <v>5.796E7</v>
      </c>
      <c r="Y1343" s="27" t="n">
        <f>18348</f>
        <v>18348.0</v>
      </c>
      <c r="Z1343" s="25" t="n">
        <f>104734</f>
        <v>104734.0</v>
      </c>
      <c r="AA1343" s="25" t="n">
        <f>10664</f>
        <v>10664.0</v>
      </c>
      <c r="AB1343" s="2" t="s">
        <v>1469</v>
      </c>
      <c r="AC1343" s="26" t="n">
        <f>43932</f>
        <v>43932.0</v>
      </c>
      <c r="AD1343" s="3" t="s">
        <v>318</v>
      </c>
      <c r="AE1343" s="27" t="n">
        <f>7964</f>
        <v>7964.0</v>
      </c>
    </row>
    <row r="1344">
      <c r="A1344" s="20" t="s">
        <v>2191</v>
      </c>
      <c r="B1344" s="21" t="s">
        <v>2192</v>
      </c>
      <c r="C1344" s="22" t="s">
        <v>1760</v>
      </c>
      <c r="D1344" s="23" t="s">
        <v>1761</v>
      </c>
      <c r="E1344" s="24" t="s">
        <v>69</v>
      </c>
      <c r="F1344" s="28" t="n">
        <f>122</f>
        <v>122.0</v>
      </c>
      <c r="G1344" s="25" t="n">
        <f>320667</f>
        <v>320667.0</v>
      </c>
      <c r="H1344" s="25"/>
      <c r="I1344" s="25" t="n">
        <f>43574</f>
        <v>43574.0</v>
      </c>
      <c r="J1344" s="25" t="n">
        <f>2628</f>
        <v>2628.0</v>
      </c>
      <c r="K1344" s="25" t="n">
        <f>357</f>
        <v>357.0</v>
      </c>
      <c r="L1344" s="2" t="s">
        <v>739</v>
      </c>
      <c r="M1344" s="26" t="n">
        <f>8725</f>
        <v>8725.0</v>
      </c>
      <c r="N1344" s="3" t="s">
        <v>1631</v>
      </c>
      <c r="O1344" s="27" t="n">
        <f>381</f>
        <v>381.0</v>
      </c>
      <c r="P1344" s="29" t="s">
        <v>2405</v>
      </c>
      <c r="Q1344" s="25"/>
      <c r="R1344" s="29" t="s">
        <v>2406</v>
      </c>
      <c r="S1344" s="25" t="n">
        <f>293900492</f>
        <v>2.93900492E8</v>
      </c>
      <c r="T1344" s="25" t="n">
        <f>47768197</f>
        <v>4.7768197E7</v>
      </c>
      <c r="U1344" s="3" t="s">
        <v>180</v>
      </c>
      <c r="V1344" s="27" t="n">
        <f>1388980000</f>
        <v>1.38898E9</v>
      </c>
      <c r="W1344" s="3" t="s">
        <v>1631</v>
      </c>
      <c r="X1344" s="27" t="n">
        <f>44290000</f>
        <v>4.429E7</v>
      </c>
      <c r="Y1344" s="27" t="n">
        <f>3225</f>
        <v>3225.0</v>
      </c>
      <c r="Z1344" s="25" t="n">
        <f>71147</f>
        <v>71147.0</v>
      </c>
      <c r="AA1344" s="25" t="n">
        <f>13741</f>
        <v>13741.0</v>
      </c>
      <c r="AB1344" s="2" t="s">
        <v>739</v>
      </c>
      <c r="AC1344" s="26" t="n">
        <f>36809</f>
        <v>36809.0</v>
      </c>
      <c r="AD1344" s="3" t="s">
        <v>2174</v>
      </c>
      <c r="AE1344" s="27" t="n">
        <f>853</f>
        <v>853.0</v>
      </c>
    </row>
    <row r="1345">
      <c r="A1345" s="20" t="s">
        <v>2191</v>
      </c>
      <c r="B1345" s="21" t="s">
        <v>2192</v>
      </c>
      <c r="C1345" s="22" t="s">
        <v>1764</v>
      </c>
      <c r="D1345" s="23" t="s">
        <v>1765</v>
      </c>
      <c r="E1345" s="24" t="s">
        <v>69</v>
      </c>
      <c r="F1345" s="28" t="n">
        <f>122</f>
        <v>122.0</v>
      </c>
      <c r="G1345" s="25" t="n">
        <f>162642</f>
        <v>162642.0</v>
      </c>
      <c r="H1345" s="25"/>
      <c r="I1345" s="25" t="n">
        <f>15726</f>
        <v>15726.0</v>
      </c>
      <c r="J1345" s="25" t="n">
        <f>1333</f>
        <v>1333.0</v>
      </c>
      <c r="K1345" s="25" t="n">
        <f>129</f>
        <v>129.0</v>
      </c>
      <c r="L1345" s="2" t="s">
        <v>508</v>
      </c>
      <c r="M1345" s="26" t="n">
        <f>4090</f>
        <v>4090.0</v>
      </c>
      <c r="N1345" s="3" t="s">
        <v>765</v>
      </c>
      <c r="O1345" s="27" t="n">
        <f>65</f>
        <v>65.0</v>
      </c>
      <c r="P1345" s="29" t="s">
        <v>2407</v>
      </c>
      <c r="Q1345" s="25"/>
      <c r="R1345" s="29" t="s">
        <v>2408</v>
      </c>
      <c r="S1345" s="25" t="n">
        <f>242296721</f>
        <v>2.42296721E8</v>
      </c>
      <c r="T1345" s="25" t="n">
        <f>27871803</f>
        <v>2.7871803E7</v>
      </c>
      <c r="U1345" s="3" t="s">
        <v>1096</v>
      </c>
      <c r="V1345" s="27" t="n">
        <f>1391770000</f>
        <v>1.39177E9</v>
      </c>
      <c r="W1345" s="3" t="s">
        <v>765</v>
      </c>
      <c r="X1345" s="27" t="n">
        <f>8900000</f>
        <v>8900000.0</v>
      </c>
      <c r="Y1345" s="27" t="n">
        <f>15477</f>
        <v>15477.0</v>
      </c>
      <c r="Z1345" s="25" t="n">
        <f>27123</f>
        <v>27123.0</v>
      </c>
      <c r="AA1345" s="25" t="n">
        <f>2111</f>
        <v>2111.0</v>
      </c>
      <c r="AB1345" s="2" t="s">
        <v>843</v>
      </c>
      <c r="AC1345" s="26" t="n">
        <f>9822</f>
        <v>9822.0</v>
      </c>
      <c r="AD1345" s="3" t="s">
        <v>2174</v>
      </c>
      <c r="AE1345" s="27" t="n">
        <f>207</f>
        <v>207.0</v>
      </c>
    </row>
    <row r="1346">
      <c r="A1346" s="20" t="s">
        <v>2191</v>
      </c>
      <c r="B1346" s="21" t="s">
        <v>2192</v>
      </c>
      <c r="C1346" s="22" t="s">
        <v>1768</v>
      </c>
      <c r="D1346" s="23" t="s">
        <v>1769</v>
      </c>
      <c r="E1346" s="24" t="s">
        <v>69</v>
      </c>
      <c r="F1346" s="28" t="n">
        <f>122</f>
        <v>122.0</v>
      </c>
      <c r="G1346" s="25" t="n">
        <f>483309</f>
        <v>483309.0</v>
      </c>
      <c r="H1346" s="25"/>
      <c r="I1346" s="25" t="n">
        <f>59300</f>
        <v>59300.0</v>
      </c>
      <c r="J1346" s="25" t="n">
        <f>3962</f>
        <v>3962.0</v>
      </c>
      <c r="K1346" s="25" t="n">
        <f>486</f>
        <v>486.0</v>
      </c>
      <c r="L1346" s="2" t="s">
        <v>739</v>
      </c>
      <c r="M1346" s="26" t="n">
        <f>11132</f>
        <v>11132.0</v>
      </c>
      <c r="N1346" s="3" t="s">
        <v>849</v>
      </c>
      <c r="O1346" s="27" t="n">
        <f>761</f>
        <v>761.0</v>
      </c>
      <c r="P1346" s="29" t="s">
        <v>2409</v>
      </c>
      <c r="Q1346" s="25"/>
      <c r="R1346" s="29" t="s">
        <v>2410</v>
      </c>
      <c r="S1346" s="25" t="n">
        <f>536197213</f>
        <v>5.36197213E8</v>
      </c>
      <c r="T1346" s="25" t="n">
        <f>75640000</f>
        <v>7.564E7</v>
      </c>
      <c r="U1346" s="3" t="s">
        <v>180</v>
      </c>
      <c r="V1346" s="27" t="n">
        <f>2476860000</f>
        <v>2.47686E9</v>
      </c>
      <c r="W1346" s="3" t="s">
        <v>849</v>
      </c>
      <c r="X1346" s="27" t="n">
        <f>55160000</f>
        <v>5.516E7</v>
      </c>
      <c r="Y1346" s="27" t="n">
        <f>18702</f>
        <v>18702.0</v>
      </c>
      <c r="Z1346" s="25" t="n">
        <f>98270</f>
        <v>98270.0</v>
      </c>
      <c r="AA1346" s="25" t="n">
        <f>15852</f>
        <v>15852.0</v>
      </c>
      <c r="AB1346" s="2" t="s">
        <v>739</v>
      </c>
      <c r="AC1346" s="26" t="n">
        <f>46483</f>
        <v>46483.0</v>
      </c>
      <c r="AD1346" s="3" t="s">
        <v>2174</v>
      </c>
      <c r="AE1346" s="27" t="n">
        <f>1060</f>
        <v>1060.0</v>
      </c>
    </row>
    <row r="1347">
      <c r="A1347" s="20" t="s">
        <v>2191</v>
      </c>
      <c r="B1347" s="21" t="s">
        <v>2192</v>
      </c>
      <c r="C1347" s="22" t="s">
        <v>1760</v>
      </c>
      <c r="D1347" s="23" t="s">
        <v>1761</v>
      </c>
      <c r="E1347" s="24" t="s">
        <v>76</v>
      </c>
      <c r="F1347" s="28" t="n">
        <f>123</f>
        <v>123.0</v>
      </c>
      <c r="G1347" s="25" t="n">
        <f>343150</f>
        <v>343150.0</v>
      </c>
      <c r="H1347" s="25"/>
      <c r="I1347" s="25" t="n">
        <f>39667</f>
        <v>39667.0</v>
      </c>
      <c r="J1347" s="25" t="n">
        <f>2790</f>
        <v>2790.0</v>
      </c>
      <c r="K1347" s="25" t="n">
        <f>322</f>
        <v>322.0</v>
      </c>
      <c r="L1347" s="2" t="s">
        <v>1002</v>
      </c>
      <c r="M1347" s="26" t="n">
        <f>11166</f>
        <v>11166.0</v>
      </c>
      <c r="N1347" s="3" t="s">
        <v>50</v>
      </c>
      <c r="O1347" s="27" t="n">
        <f>290</f>
        <v>290.0</v>
      </c>
      <c r="P1347" s="29" t="s">
        <v>2411</v>
      </c>
      <c r="Q1347" s="25"/>
      <c r="R1347" s="29" t="s">
        <v>2412</v>
      </c>
      <c r="S1347" s="25" t="n">
        <f>359074533</f>
        <v>3.59074533E8</v>
      </c>
      <c r="T1347" s="25" t="n">
        <f>65694370</f>
        <v>6.569437E7</v>
      </c>
      <c r="U1347" s="3" t="s">
        <v>1002</v>
      </c>
      <c r="V1347" s="27" t="n">
        <f>4239850000</f>
        <v>4.23985E9</v>
      </c>
      <c r="W1347" s="3" t="s">
        <v>894</v>
      </c>
      <c r="X1347" s="27" t="n">
        <f>15670000</f>
        <v>1.567E7</v>
      </c>
      <c r="Y1347" s="27" t="n">
        <f>14133</f>
        <v>14133.0</v>
      </c>
      <c r="Z1347" s="25" t="n">
        <f>71141</f>
        <v>71141.0</v>
      </c>
      <c r="AA1347" s="25" t="n">
        <f>8566</f>
        <v>8566.0</v>
      </c>
      <c r="AB1347" s="2" t="s">
        <v>240</v>
      </c>
      <c r="AC1347" s="26" t="n">
        <f>42242</f>
        <v>42242.0</v>
      </c>
      <c r="AD1347" s="3" t="s">
        <v>129</v>
      </c>
      <c r="AE1347" s="27" t="n">
        <f>8566</f>
        <v>8566.0</v>
      </c>
    </row>
    <row r="1348">
      <c r="A1348" s="20" t="s">
        <v>2191</v>
      </c>
      <c r="B1348" s="21" t="s">
        <v>2192</v>
      </c>
      <c r="C1348" s="22" t="s">
        <v>1764</v>
      </c>
      <c r="D1348" s="23" t="s">
        <v>1765</v>
      </c>
      <c r="E1348" s="24" t="s">
        <v>76</v>
      </c>
      <c r="F1348" s="28" t="n">
        <f>123</f>
        <v>123.0</v>
      </c>
      <c r="G1348" s="25" t="n">
        <f>132013</f>
        <v>132013.0</v>
      </c>
      <c r="H1348" s="25"/>
      <c r="I1348" s="25" t="n">
        <f>11256</f>
        <v>11256.0</v>
      </c>
      <c r="J1348" s="25" t="n">
        <f>1073</f>
        <v>1073.0</v>
      </c>
      <c r="K1348" s="25" t="n">
        <f>92</f>
        <v>92.0</v>
      </c>
      <c r="L1348" s="2" t="s">
        <v>1931</v>
      </c>
      <c r="M1348" s="26" t="n">
        <f>3676</f>
        <v>3676.0</v>
      </c>
      <c r="N1348" s="3" t="s">
        <v>50</v>
      </c>
      <c r="O1348" s="27" t="n">
        <f>101</f>
        <v>101.0</v>
      </c>
      <c r="P1348" s="29" t="s">
        <v>2413</v>
      </c>
      <c r="Q1348" s="25"/>
      <c r="R1348" s="29" t="s">
        <v>2414</v>
      </c>
      <c r="S1348" s="25" t="n">
        <f>161090061</f>
        <v>1.61090061E8</v>
      </c>
      <c r="T1348" s="25" t="n">
        <f>12720955</f>
        <v>1.2720955E7</v>
      </c>
      <c r="U1348" s="3" t="s">
        <v>321</v>
      </c>
      <c r="V1348" s="27" t="n">
        <f>607080000</f>
        <v>6.0708E8</v>
      </c>
      <c r="W1348" s="3" t="s">
        <v>50</v>
      </c>
      <c r="X1348" s="27" t="n">
        <f>7160000</f>
        <v>7160000.0</v>
      </c>
      <c r="Y1348" s="27" t="n">
        <f>5019</f>
        <v>5019.0</v>
      </c>
      <c r="Z1348" s="25" t="n">
        <f>17890</f>
        <v>17890.0</v>
      </c>
      <c r="AA1348" s="25" t="n">
        <f>1431</f>
        <v>1431.0</v>
      </c>
      <c r="AB1348" s="2" t="s">
        <v>80</v>
      </c>
      <c r="AC1348" s="26" t="n">
        <f>9189</f>
        <v>9189.0</v>
      </c>
      <c r="AD1348" s="3" t="s">
        <v>318</v>
      </c>
      <c r="AE1348" s="27" t="n">
        <f>703</f>
        <v>703.0</v>
      </c>
    </row>
    <row r="1349">
      <c r="A1349" s="20" t="s">
        <v>2191</v>
      </c>
      <c r="B1349" s="21" t="s">
        <v>2192</v>
      </c>
      <c r="C1349" s="22" t="s">
        <v>1768</v>
      </c>
      <c r="D1349" s="23" t="s">
        <v>1769</v>
      </c>
      <c r="E1349" s="24" t="s">
        <v>76</v>
      </c>
      <c r="F1349" s="28" t="n">
        <f>123</f>
        <v>123.0</v>
      </c>
      <c r="G1349" s="25" t="n">
        <f>475163</f>
        <v>475163.0</v>
      </c>
      <c r="H1349" s="25"/>
      <c r="I1349" s="25" t="n">
        <f>50923</f>
        <v>50923.0</v>
      </c>
      <c r="J1349" s="25" t="n">
        <f>3863</f>
        <v>3863.0</v>
      </c>
      <c r="K1349" s="25" t="n">
        <f>414</f>
        <v>414.0</v>
      </c>
      <c r="L1349" s="2" t="s">
        <v>1002</v>
      </c>
      <c r="M1349" s="26" t="n">
        <f>14200</f>
        <v>14200.0</v>
      </c>
      <c r="N1349" s="3" t="s">
        <v>50</v>
      </c>
      <c r="O1349" s="27" t="n">
        <f>391</f>
        <v>391.0</v>
      </c>
      <c r="P1349" s="29" t="s">
        <v>2415</v>
      </c>
      <c r="Q1349" s="25"/>
      <c r="R1349" s="29" t="s">
        <v>2416</v>
      </c>
      <c r="S1349" s="25" t="n">
        <f>520164593</f>
        <v>5.20164593E8</v>
      </c>
      <c r="T1349" s="25" t="n">
        <f>78415325</f>
        <v>7.8415325E7</v>
      </c>
      <c r="U1349" s="3" t="s">
        <v>1002</v>
      </c>
      <c r="V1349" s="27" t="n">
        <f>4757270000</f>
        <v>4.75727E9</v>
      </c>
      <c r="W1349" s="3" t="s">
        <v>894</v>
      </c>
      <c r="X1349" s="27" t="n">
        <f>26500000</f>
        <v>2.65E7</v>
      </c>
      <c r="Y1349" s="27" t="n">
        <f>19152</f>
        <v>19152.0</v>
      </c>
      <c r="Z1349" s="25" t="n">
        <f>89031</f>
        <v>89031.0</v>
      </c>
      <c r="AA1349" s="25" t="n">
        <f>9997</f>
        <v>9997.0</v>
      </c>
      <c r="AB1349" s="2" t="s">
        <v>240</v>
      </c>
      <c r="AC1349" s="26" t="n">
        <f>48482</f>
        <v>48482.0</v>
      </c>
      <c r="AD1349" s="3" t="s">
        <v>318</v>
      </c>
      <c r="AE1349" s="27" t="n">
        <f>9802</f>
        <v>9802.0</v>
      </c>
    </row>
    <row r="1350">
      <c r="A1350" s="20" t="s">
        <v>2191</v>
      </c>
      <c r="B1350" s="21" t="s">
        <v>2192</v>
      </c>
      <c r="C1350" s="22" t="s">
        <v>1760</v>
      </c>
      <c r="D1350" s="23" t="s">
        <v>1761</v>
      </c>
      <c r="E1350" s="24" t="s">
        <v>83</v>
      </c>
      <c r="F1350" s="28" t="n">
        <f>123</f>
        <v>123.0</v>
      </c>
      <c r="G1350" s="25" t="n">
        <f>258644</f>
        <v>258644.0</v>
      </c>
      <c r="H1350" s="25"/>
      <c r="I1350" s="25" t="n">
        <f>15993</f>
        <v>15993.0</v>
      </c>
      <c r="J1350" s="25" t="n">
        <f>2103</f>
        <v>2103.0</v>
      </c>
      <c r="K1350" s="25" t="n">
        <f>130</f>
        <v>130.0</v>
      </c>
      <c r="L1350" s="2" t="s">
        <v>422</v>
      </c>
      <c r="M1350" s="26" t="n">
        <f>8541</f>
        <v>8541.0</v>
      </c>
      <c r="N1350" s="3" t="s">
        <v>75</v>
      </c>
      <c r="O1350" s="27" t="n">
        <f>296</f>
        <v>296.0</v>
      </c>
      <c r="P1350" s="29" t="s">
        <v>2417</v>
      </c>
      <c r="Q1350" s="25"/>
      <c r="R1350" s="29" t="s">
        <v>2418</v>
      </c>
      <c r="S1350" s="25" t="n">
        <f>159058902</f>
        <v>1.59058902E8</v>
      </c>
      <c r="T1350" s="25" t="n">
        <f>11677114</f>
        <v>1.1677114E7</v>
      </c>
      <c r="U1350" s="3" t="s">
        <v>1401</v>
      </c>
      <c r="V1350" s="27" t="n">
        <f>1034365000</f>
        <v>1.034365E9</v>
      </c>
      <c r="W1350" s="3" t="s">
        <v>60</v>
      </c>
      <c r="X1350" s="27" t="n">
        <f>14030000</f>
        <v>1.403E7</v>
      </c>
      <c r="Y1350" s="27" t="n">
        <f>5096</f>
        <v>5096.0</v>
      </c>
      <c r="Z1350" s="25" t="n">
        <f>31667</f>
        <v>31667.0</v>
      </c>
      <c r="AA1350" s="25" t="n">
        <f>14652</f>
        <v>14652.0</v>
      </c>
      <c r="AB1350" s="2" t="s">
        <v>1121</v>
      </c>
      <c r="AC1350" s="26" t="n">
        <f>29200</f>
        <v>29200.0</v>
      </c>
      <c r="AD1350" s="3" t="s">
        <v>156</v>
      </c>
      <c r="AE1350" s="27" t="n">
        <f>10312</f>
        <v>10312.0</v>
      </c>
    </row>
    <row r="1351">
      <c r="A1351" s="20" t="s">
        <v>2191</v>
      </c>
      <c r="B1351" s="21" t="s">
        <v>2192</v>
      </c>
      <c r="C1351" s="22" t="s">
        <v>1764</v>
      </c>
      <c r="D1351" s="23" t="s">
        <v>1765</v>
      </c>
      <c r="E1351" s="24" t="s">
        <v>83</v>
      </c>
      <c r="F1351" s="28" t="n">
        <f>123</f>
        <v>123.0</v>
      </c>
      <c r="G1351" s="25" t="n">
        <f>138473</f>
        <v>138473.0</v>
      </c>
      <c r="H1351" s="25"/>
      <c r="I1351" s="25" t="n">
        <f>13610</f>
        <v>13610.0</v>
      </c>
      <c r="J1351" s="25" t="n">
        <f>1126</f>
        <v>1126.0</v>
      </c>
      <c r="K1351" s="25" t="n">
        <f>111</f>
        <v>111.0</v>
      </c>
      <c r="L1351" s="2" t="s">
        <v>1401</v>
      </c>
      <c r="M1351" s="26" t="n">
        <f>4819</f>
        <v>4819.0</v>
      </c>
      <c r="N1351" s="3" t="s">
        <v>1153</v>
      </c>
      <c r="O1351" s="27" t="n">
        <f>111</f>
        <v>111.0</v>
      </c>
      <c r="P1351" s="29" t="s">
        <v>2419</v>
      </c>
      <c r="Q1351" s="25"/>
      <c r="R1351" s="29" t="s">
        <v>2420</v>
      </c>
      <c r="S1351" s="25" t="n">
        <f>128457805</f>
        <v>1.28457805E8</v>
      </c>
      <c r="T1351" s="25" t="n">
        <f>12103333</f>
        <v>1.2103333E7</v>
      </c>
      <c r="U1351" s="3" t="s">
        <v>1401</v>
      </c>
      <c r="V1351" s="27" t="n">
        <f>583780000</f>
        <v>5.8378E8</v>
      </c>
      <c r="W1351" s="3" t="s">
        <v>1153</v>
      </c>
      <c r="X1351" s="27" t="n">
        <f>14540000</f>
        <v>1.454E7</v>
      </c>
      <c r="Y1351" s="27" t="n">
        <f>9145</f>
        <v>9145.0</v>
      </c>
      <c r="Z1351" s="25" t="n">
        <f>26059</f>
        <v>26059.0</v>
      </c>
      <c r="AA1351" s="25" t="n">
        <f>3561</f>
        <v>3561.0</v>
      </c>
      <c r="AB1351" s="2" t="s">
        <v>455</v>
      </c>
      <c r="AC1351" s="26" t="n">
        <f>9439</f>
        <v>9439.0</v>
      </c>
      <c r="AD1351" s="3" t="s">
        <v>346</v>
      </c>
      <c r="AE1351" s="27" t="n">
        <f>1614</f>
        <v>1614.0</v>
      </c>
    </row>
    <row r="1352">
      <c r="A1352" s="20" t="s">
        <v>2191</v>
      </c>
      <c r="B1352" s="21" t="s">
        <v>2192</v>
      </c>
      <c r="C1352" s="22" t="s">
        <v>1768</v>
      </c>
      <c r="D1352" s="23" t="s">
        <v>1769</v>
      </c>
      <c r="E1352" s="24" t="s">
        <v>83</v>
      </c>
      <c r="F1352" s="28" t="n">
        <f>123</f>
        <v>123.0</v>
      </c>
      <c r="G1352" s="25" t="n">
        <f>397117</f>
        <v>397117.0</v>
      </c>
      <c r="H1352" s="25"/>
      <c r="I1352" s="25" t="n">
        <f>29603</f>
        <v>29603.0</v>
      </c>
      <c r="J1352" s="25" t="n">
        <f>3229</f>
        <v>3229.0</v>
      </c>
      <c r="K1352" s="25" t="n">
        <f>241</f>
        <v>241.0</v>
      </c>
      <c r="L1352" s="2" t="s">
        <v>1401</v>
      </c>
      <c r="M1352" s="26" t="n">
        <f>12897</f>
        <v>12897.0</v>
      </c>
      <c r="N1352" s="3" t="s">
        <v>950</v>
      </c>
      <c r="O1352" s="27" t="n">
        <f>717</f>
        <v>717.0</v>
      </c>
      <c r="P1352" s="29" t="s">
        <v>2421</v>
      </c>
      <c r="Q1352" s="25"/>
      <c r="R1352" s="29" t="s">
        <v>2422</v>
      </c>
      <c r="S1352" s="25" t="n">
        <f>287516707</f>
        <v>2.87516707E8</v>
      </c>
      <c r="T1352" s="25" t="n">
        <f>23780447</f>
        <v>2.3780447E7</v>
      </c>
      <c r="U1352" s="3" t="s">
        <v>1401</v>
      </c>
      <c r="V1352" s="27" t="n">
        <f>1618145000</f>
        <v>1.618145E9</v>
      </c>
      <c r="W1352" s="3" t="s">
        <v>60</v>
      </c>
      <c r="X1352" s="27" t="n">
        <f>36770000</f>
        <v>3.677E7</v>
      </c>
      <c r="Y1352" s="27" t="n">
        <f>14241</f>
        <v>14241.0</v>
      </c>
      <c r="Z1352" s="25" t="n">
        <f>57726</f>
        <v>57726.0</v>
      </c>
      <c r="AA1352" s="25" t="n">
        <f>18213</f>
        <v>18213.0</v>
      </c>
      <c r="AB1352" s="2" t="s">
        <v>1121</v>
      </c>
      <c r="AC1352" s="26" t="n">
        <f>38080</f>
        <v>38080.0</v>
      </c>
      <c r="AD1352" s="3" t="s">
        <v>156</v>
      </c>
      <c r="AE1352" s="27" t="n">
        <f>12314</f>
        <v>12314.0</v>
      </c>
    </row>
    <row r="1353">
      <c r="A1353" s="20" t="s">
        <v>2191</v>
      </c>
      <c r="B1353" s="21" t="s">
        <v>2192</v>
      </c>
      <c r="C1353" s="22" t="s">
        <v>1760</v>
      </c>
      <c r="D1353" s="23" t="s">
        <v>1761</v>
      </c>
      <c r="E1353" s="24" t="s">
        <v>89</v>
      </c>
      <c r="F1353" s="28" t="n">
        <f>124</f>
        <v>124.0</v>
      </c>
      <c r="G1353" s="25" t="n">
        <f>308837</f>
        <v>308837.0</v>
      </c>
      <c r="H1353" s="25"/>
      <c r="I1353" s="25" t="n">
        <f>35012</f>
        <v>35012.0</v>
      </c>
      <c r="J1353" s="25" t="n">
        <f>2491</f>
        <v>2491.0</v>
      </c>
      <c r="K1353" s="25" t="n">
        <f>282</f>
        <v>282.0</v>
      </c>
      <c r="L1353" s="2" t="s">
        <v>882</v>
      </c>
      <c r="M1353" s="26" t="n">
        <f>9625</f>
        <v>9625.0</v>
      </c>
      <c r="N1353" s="3" t="s">
        <v>507</v>
      </c>
      <c r="O1353" s="27" t="n">
        <f>200</f>
        <v>200.0</v>
      </c>
      <c r="P1353" s="29" t="s">
        <v>2423</v>
      </c>
      <c r="Q1353" s="25"/>
      <c r="R1353" s="29" t="s">
        <v>2424</v>
      </c>
      <c r="S1353" s="25" t="n">
        <f>188734980</f>
        <v>1.8873498E8</v>
      </c>
      <c r="T1353" s="25" t="n">
        <f>24519657</f>
        <v>2.4519657E7</v>
      </c>
      <c r="U1353" s="3" t="s">
        <v>542</v>
      </c>
      <c r="V1353" s="27" t="n">
        <f>1028740000</f>
        <v>1.02874E9</v>
      </c>
      <c r="W1353" s="3" t="s">
        <v>507</v>
      </c>
      <c r="X1353" s="27" t="n">
        <f>8640000</f>
        <v>8640000.0</v>
      </c>
      <c r="Y1353" s="27" t="n">
        <f>13153</f>
        <v>13153.0</v>
      </c>
      <c r="Z1353" s="25" t="n">
        <f>51173</f>
        <v>51173.0</v>
      </c>
      <c r="AA1353" s="25" t="n">
        <f>17957</f>
        <v>17957.0</v>
      </c>
      <c r="AB1353" s="2" t="s">
        <v>64</v>
      </c>
      <c r="AC1353" s="26" t="n">
        <f>39120</f>
        <v>39120.0</v>
      </c>
      <c r="AD1353" s="3" t="s">
        <v>838</v>
      </c>
      <c r="AE1353" s="27" t="n">
        <f>9301</f>
        <v>9301.0</v>
      </c>
    </row>
    <row r="1354">
      <c r="A1354" s="20" t="s">
        <v>2191</v>
      </c>
      <c r="B1354" s="21" t="s">
        <v>2192</v>
      </c>
      <c r="C1354" s="22" t="s">
        <v>1764</v>
      </c>
      <c r="D1354" s="23" t="s">
        <v>1765</v>
      </c>
      <c r="E1354" s="24" t="s">
        <v>89</v>
      </c>
      <c r="F1354" s="28" t="n">
        <f>124</f>
        <v>124.0</v>
      </c>
      <c r="G1354" s="25" t="n">
        <f>155760</f>
        <v>155760.0</v>
      </c>
      <c r="H1354" s="25"/>
      <c r="I1354" s="25" t="n">
        <f>9303</f>
        <v>9303.0</v>
      </c>
      <c r="J1354" s="25" t="n">
        <f>1256</f>
        <v>1256.0</v>
      </c>
      <c r="K1354" s="25" t="n">
        <f>75</f>
        <v>75.0</v>
      </c>
      <c r="L1354" s="2" t="s">
        <v>555</v>
      </c>
      <c r="M1354" s="26" t="n">
        <f>4617</f>
        <v>4617.0</v>
      </c>
      <c r="N1354" s="3" t="s">
        <v>240</v>
      </c>
      <c r="O1354" s="27" t="n">
        <f>86</f>
        <v>86.0</v>
      </c>
      <c r="P1354" s="29" t="s">
        <v>2425</v>
      </c>
      <c r="Q1354" s="25"/>
      <c r="R1354" s="29" t="s">
        <v>2426</v>
      </c>
      <c r="S1354" s="25" t="n">
        <f>145890907</f>
        <v>1.45890907E8</v>
      </c>
      <c r="T1354" s="25" t="n">
        <f>7889940</f>
        <v>7889940.0</v>
      </c>
      <c r="U1354" s="3" t="s">
        <v>536</v>
      </c>
      <c r="V1354" s="27" t="n">
        <f>521250000</f>
        <v>5.2125E8</v>
      </c>
      <c r="W1354" s="3" t="s">
        <v>994</v>
      </c>
      <c r="X1354" s="27" t="n">
        <f>15300000</f>
        <v>1.53E7</v>
      </c>
      <c r="Y1354" s="27" t="n">
        <f>10037</f>
        <v>10037.0</v>
      </c>
      <c r="Z1354" s="25" t="n">
        <f>15055</f>
        <v>15055.0</v>
      </c>
      <c r="AA1354" s="25" t="n">
        <f>3038</f>
        <v>3038.0</v>
      </c>
      <c r="AB1354" s="2" t="s">
        <v>532</v>
      </c>
      <c r="AC1354" s="26" t="n">
        <f>8951</f>
        <v>8951.0</v>
      </c>
      <c r="AD1354" s="3" t="s">
        <v>838</v>
      </c>
      <c r="AE1354" s="27" t="n">
        <f>1750</f>
        <v>1750.0</v>
      </c>
    </row>
    <row r="1355">
      <c r="A1355" s="20" t="s">
        <v>2191</v>
      </c>
      <c r="B1355" s="21" t="s">
        <v>2192</v>
      </c>
      <c r="C1355" s="22" t="s">
        <v>1768</v>
      </c>
      <c r="D1355" s="23" t="s">
        <v>1769</v>
      </c>
      <c r="E1355" s="24" t="s">
        <v>89</v>
      </c>
      <c r="F1355" s="28" t="n">
        <f>124</f>
        <v>124.0</v>
      </c>
      <c r="G1355" s="25" t="n">
        <f>464597</f>
        <v>464597.0</v>
      </c>
      <c r="H1355" s="25"/>
      <c r="I1355" s="25" t="n">
        <f>44315</f>
        <v>44315.0</v>
      </c>
      <c r="J1355" s="25" t="n">
        <f>3747</f>
        <v>3747.0</v>
      </c>
      <c r="K1355" s="25" t="n">
        <f>357</f>
        <v>357.0</v>
      </c>
      <c r="L1355" s="2" t="s">
        <v>882</v>
      </c>
      <c r="M1355" s="26" t="n">
        <f>12164</f>
        <v>12164.0</v>
      </c>
      <c r="N1355" s="3" t="s">
        <v>507</v>
      </c>
      <c r="O1355" s="27" t="n">
        <f>814</f>
        <v>814.0</v>
      </c>
      <c r="P1355" s="29" t="s">
        <v>2427</v>
      </c>
      <c r="Q1355" s="25"/>
      <c r="R1355" s="29" t="s">
        <v>2428</v>
      </c>
      <c r="S1355" s="25" t="n">
        <f>334625887</f>
        <v>3.34625887E8</v>
      </c>
      <c r="T1355" s="25" t="n">
        <f>32409597</f>
        <v>3.2409597E7</v>
      </c>
      <c r="U1355" s="3" t="s">
        <v>542</v>
      </c>
      <c r="V1355" s="27" t="n">
        <f>1238430000</f>
        <v>1.23843E9</v>
      </c>
      <c r="W1355" s="3" t="s">
        <v>994</v>
      </c>
      <c r="X1355" s="27" t="n">
        <f>61095000</f>
        <v>6.1095E7</v>
      </c>
      <c r="Y1355" s="27" t="n">
        <f>23190</f>
        <v>23190.0</v>
      </c>
      <c r="Z1355" s="25" t="n">
        <f>66228</f>
        <v>66228.0</v>
      </c>
      <c r="AA1355" s="25" t="n">
        <f>20995</f>
        <v>20995.0</v>
      </c>
      <c r="AB1355" s="2" t="s">
        <v>64</v>
      </c>
      <c r="AC1355" s="26" t="n">
        <f>47346</f>
        <v>47346.0</v>
      </c>
      <c r="AD1355" s="3" t="s">
        <v>838</v>
      </c>
      <c r="AE1355" s="27" t="n">
        <f>11051</f>
        <v>11051.0</v>
      </c>
    </row>
    <row r="1356">
      <c r="A1356" s="20" t="s">
        <v>2191</v>
      </c>
      <c r="B1356" s="21" t="s">
        <v>2192</v>
      </c>
      <c r="C1356" s="22" t="s">
        <v>1760</v>
      </c>
      <c r="D1356" s="23" t="s">
        <v>1761</v>
      </c>
      <c r="E1356" s="24" t="s">
        <v>96</v>
      </c>
      <c r="F1356" s="28" t="n">
        <f>121</f>
        <v>121.0</v>
      </c>
      <c r="G1356" s="25" t="n">
        <f>237866</f>
        <v>237866.0</v>
      </c>
      <c r="H1356" s="25"/>
      <c r="I1356" s="25" t="n">
        <f>13902</f>
        <v>13902.0</v>
      </c>
      <c r="J1356" s="25" t="n">
        <f>1966</f>
        <v>1966.0</v>
      </c>
      <c r="K1356" s="25" t="n">
        <f>115</f>
        <v>115.0</v>
      </c>
      <c r="L1356" s="2" t="s">
        <v>479</v>
      </c>
      <c r="M1356" s="26" t="n">
        <f>8785</f>
        <v>8785.0</v>
      </c>
      <c r="N1356" s="3" t="s">
        <v>185</v>
      </c>
      <c r="O1356" s="27" t="n">
        <f>125</f>
        <v>125.0</v>
      </c>
      <c r="P1356" s="29" t="s">
        <v>2429</v>
      </c>
      <c r="Q1356" s="25"/>
      <c r="R1356" s="29" t="s">
        <v>2430</v>
      </c>
      <c r="S1356" s="25" t="n">
        <f>125025000</f>
        <v>1.25025E8</v>
      </c>
      <c r="T1356" s="25" t="n">
        <f>7462851</f>
        <v>7462851.0</v>
      </c>
      <c r="U1356" s="3" t="s">
        <v>479</v>
      </c>
      <c r="V1356" s="27" t="n">
        <f>546930000</f>
        <v>5.4693E8</v>
      </c>
      <c r="W1356" s="3" t="s">
        <v>185</v>
      </c>
      <c r="X1356" s="27" t="n">
        <f>12070000</f>
        <v>1.207E7</v>
      </c>
      <c r="Y1356" s="27" t="n">
        <f>7780</f>
        <v>7780.0</v>
      </c>
      <c r="Z1356" s="25" t="n">
        <f>32515</f>
        <v>32515.0</v>
      </c>
      <c r="AA1356" s="25" t="n">
        <f>6450</f>
        <v>6450.0</v>
      </c>
      <c r="AB1356" s="2" t="s">
        <v>161</v>
      </c>
      <c r="AC1356" s="26" t="n">
        <f>34266</f>
        <v>34266.0</v>
      </c>
      <c r="AD1356" s="3" t="s">
        <v>739</v>
      </c>
      <c r="AE1356" s="27" t="n">
        <f>6450</f>
        <v>6450.0</v>
      </c>
    </row>
    <row r="1357">
      <c r="A1357" s="20" t="s">
        <v>2191</v>
      </c>
      <c r="B1357" s="21" t="s">
        <v>2192</v>
      </c>
      <c r="C1357" s="22" t="s">
        <v>1764</v>
      </c>
      <c r="D1357" s="23" t="s">
        <v>1765</v>
      </c>
      <c r="E1357" s="24" t="s">
        <v>96</v>
      </c>
      <c r="F1357" s="28" t="n">
        <f>121</f>
        <v>121.0</v>
      </c>
      <c r="G1357" s="25" t="n">
        <f>129821</f>
        <v>129821.0</v>
      </c>
      <c r="H1357" s="25"/>
      <c r="I1357" s="25" t="n">
        <f>5920</f>
        <v>5920.0</v>
      </c>
      <c r="J1357" s="25" t="n">
        <f>1073</f>
        <v>1073.0</v>
      </c>
      <c r="K1357" s="25" t="n">
        <f>49</f>
        <v>49.0</v>
      </c>
      <c r="L1357" s="2" t="s">
        <v>476</v>
      </c>
      <c r="M1357" s="26" t="n">
        <f>4221</f>
        <v>4221.0</v>
      </c>
      <c r="N1357" s="3" t="s">
        <v>513</v>
      </c>
      <c r="O1357" s="27" t="n">
        <f>173</f>
        <v>173.0</v>
      </c>
      <c r="P1357" s="29" t="s">
        <v>2431</v>
      </c>
      <c r="Q1357" s="25"/>
      <c r="R1357" s="29" t="s">
        <v>2432</v>
      </c>
      <c r="S1357" s="25" t="n">
        <f>106443492</f>
        <v>1.06443492E8</v>
      </c>
      <c r="T1357" s="25" t="n">
        <f>4527541</f>
        <v>4527541.0</v>
      </c>
      <c r="U1357" s="3" t="s">
        <v>476</v>
      </c>
      <c r="V1357" s="27" t="n">
        <f>584220000</f>
        <v>5.8422E8</v>
      </c>
      <c r="W1357" s="3" t="s">
        <v>950</v>
      </c>
      <c r="X1357" s="27" t="n">
        <f>9710000</f>
        <v>9710000.0</v>
      </c>
      <c r="Y1357" s="27" t="n">
        <f>11440</f>
        <v>11440.0</v>
      </c>
      <c r="Z1357" s="25" t="n">
        <f>11574</f>
        <v>11574.0</v>
      </c>
      <c r="AA1357" s="25" t="n">
        <f>3000</f>
        <v>3000.0</v>
      </c>
      <c r="AB1357" s="2" t="s">
        <v>1094</v>
      </c>
      <c r="AC1357" s="26" t="n">
        <f>13378</f>
        <v>13378.0</v>
      </c>
      <c r="AD1357" s="3" t="s">
        <v>746</v>
      </c>
      <c r="AE1357" s="27" t="n">
        <f>1208</f>
        <v>1208.0</v>
      </c>
    </row>
    <row r="1358">
      <c r="A1358" s="20" t="s">
        <v>2191</v>
      </c>
      <c r="B1358" s="21" t="s">
        <v>2192</v>
      </c>
      <c r="C1358" s="22" t="s">
        <v>1768</v>
      </c>
      <c r="D1358" s="23" t="s">
        <v>1769</v>
      </c>
      <c r="E1358" s="24" t="s">
        <v>96</v>
      </c>
      <c r="F1358" s="28" t="n">
        <f>121</f>
        <v>121.0</v>
      </c>
      <c r="G1358" s="25" t="n">
        <f>367687</f>
        <v>367687.0</v>
      </c>
      <c r="H1358" s="25"/>
      <c r="I1358" s="25" t="n">
        <f>19822</f>
        <v>19822.0</v>
      </c>
      <c r="J1358" s="25" t="n">
        <f>3039</f>
        <v>3039.0</v>
      </c>
      <c r="K1358" s="25" t="n">
        <f>164</f>
        <v>164.0</v>
      </c>
      <c r="L1358" s="2" t="s">
        <v>479</v>
      </c>
      <c r="M1358" s="26" t="n">
        <f>10675</f>
        <v>10675.0</v>
      </c>
      <c r="N1358" s="3" t="s">
        <v>185</v>
      </c>
      <c r="O1358" s="27" t="n">
        <f>388</f>
        <v>388.0</v>
      </c>
      <c r="P1358" s="29" t="s">
        <v>2433</v>
      </c>
      <c r="Q1358" s="25"/>
      <c r="R1358" s="29" t="s">
        <v>2434</v>
      </c>
      <c r="S1358" s="25" t="n">
        <f>231468492</f>
        <v>2.31468492E8</v>
      </c>
      <c r="T1358" s="25" t="n">
        <f>11990393</f>
        <v>1.1990393E7</v>
      </c>
      <c r="U1358" s="3" t="s">
        <v>476</v>
      </c>
      <c r="V1358" s="27" t="n">
        <f>797320000</f>
        <v>7.9732E8</v>
      </c>
      <c r="W1358" s="3" t="s">
        <v>185</v>
      </c>
      <c r="X1358" s="27" t="n">
        <f>29660000</f>
        <v>2.966E7</v>
      </c>
      <c r="Y1358" s="27" t="n">
        <f>19220</f>
        <v>19220.0</v>
      </c>
      <c r="Z1358" s="25" t="n">
        <f>44089</f>
        <v>44089.0</v>
      </c>
      <c r="AA1358" s="25" t="n">
        <f>9450</f>
        <v>9450.0</v>
      </c>
      <c r="AB1358" s="2" t="s">
        <v>161</v>
      </c>
      <c r="AC1358" s="26" t="n">
        <f>45316</f>
        <v>45316.0</v>
      </c>
      <c r="AD1358" s="3" t="s">
        <v>739</v>
      </c>
      <c r="AE1358" s="27" t="n">
        <f>9450</f>
        <v>9450.0</v>
      </c>
    </row>
    <row r="1359">
      <c r="A1359" s="20" t="s">
        <v>2191</v>
      </c>
      <c r="B1359" s="21" t="s">
        <v>2192</v>
      </c>
      <c r="C1359" s="22" t="s">
        <v>1760</v>
      </c>
      <c r="D1359" s="23" t="s">
        <v>1761</v>
      </c>
      <c r="E1359" s="24" t="s">
        <v>102</v>
      </c>
      <c r="F1359" s="28" t="n">
        <f>124</f>
        <v>124.0</v>
      </c>
      <c r="G1359" s="25" t="n">
        <f>272571</f>
        <v>272571.0</v>
      </c>
      <c r="H1359" s="25"/>
      <c r="I1359" s="25" t="n">
        <f>38986</f>
        <v>38986.0</v>
      </c>
      <c r="J1359" s="25" t="n">
        <f>2198</f>
        <v>2198.0</v>
      </c>
      <c r="K1359" s="25" t="n">
        <f>314</f>
        <v>314.0</v>
      </c>
      <c r="L1359" s="2" t="s">
        <v>838</v>
      </c>
      <c r="M1359" s="26" t="n">
        <f>9108</f>
        <v>9108.0</v>
      </c>
      <c r="N1359" s="3" t="s">
        <v>298</v>
      </c>
      <c r="O1359" s="27" t="n">
        <f>290</f>
        <v>290.0</v>
      </c>
      <c r="P1359" s="29" t="s">
        <v>2435</v>
      </c>
      <c r="Q1359" s="25"/>
      <c r="R1359" s="29" t="s">
        <v>2436</v>
      </c>
      <c r="S1359" s="25" t="n">
        <f>214205786</f>
        <v>2.14205786E8</v>
      </c>
      <c r="T1359" s="25" t="n">
        <f>33505786</f>
        <v>3.3505786E7</v>
      </c>
      <c r="U1359" s="3" t="s">
        <v>198</v>
      </c>
      <c r="V1359" s="27" t="n">
        <f>2005180000</f>
        <v>2.00518E9</v>
      </c>
      <c r="W1359" s="3" t="s">
        <v>854</v>
      </c>
      <c r="X1359" s="27" t="n">
        <f>5740000</f>
        <v>5740000.0</v>
      </c>
      <c r="Y1359" s="27" t="n">
        <f>4195</f>
        <v>4195.0</v>
      </c>
      <c r="Z1359" s="25" t="n">
        <f>68236</f>
        <v>68236.0</v>
      </c>
      <c r="AA1359" s="25" t="n">
        <f>5638</f>
        <v>5638.0</v>
      </c>
      <c r="AB1359" s="2" t="s">
        <v>1526</v>
      </c>
      <c r="AC1359" s="26" t="n">
        <f>26542</f>
        <v>26542.0</v>
      </c>
      <c r="AD1359" s="3" t="s">
        <v>318</v>
      </c>
      <c r="AE1359" s="27" t="n">
        <f>4948</f>
        <v>4948.0</v>
      </c>
    </row>
    <row r="1360">
      <c r="A1360" s="20" t="s">
        <v>2191</v>
      </c>
      <c r="B1360" s="21" t="s">
        <v>2192</v>
      </c>
      <c r="C1360" s="22" t="s">
        <v>1764</v>
      </c>
      <c r="D1360" s="23" t="s">
        <v>1765</v>
      </c>
      <c r="E1360" s="24" t="s">
        <v>102</v>
      </c>
      <c r="F1360" s="28" t="n">
        <f>124</f>
        <v>124.0</v>
      </c>
      <c r="G1360" s="25" t="n">
        <f>143287</f>
        <v>143287.0</v>
      </c>
      <c r="H1360" s="25"/>
      <c r="I1360" s="25" t="n">
        <f>8440</f>
        <v>8440.0</v>
      </c>
      <c r="J1360" s="25" t="n">
        <f>1156</f>
        <v>1156.0</v>
      </c>
      <c r="K1360" s="25" t="n">
        <f>68</f>
        <v>68.0</v>
      </c>
      <c r="L1360" s="2" t="s">
        <v>277</v>
      </c>
      <c r="M1360" s="26" t="n">
        <f>4408</f>
        <v>4408.0</v>
      </c>
      <c r="N1360" s="3" t="s">
        <v>1092</v>
      </c>
      <c r="O1360" s="27" t="n">
        <f>68</f>
        <v>68.0</v>
      </c>
      <c r="P1360" s="29" t="s">
        <v>2437</v>
      </c>
      <c r="Q1360" s="25"/>
      <c r="R1360" s="29" t="s">
        <v>2438</v>
      </c>
      <c r="S1360" s="25" t="n">
        <f>127230181</f>
        <v>1.27230181E8</v>
      </c>
      <c r="T1360" s="25" t="n">
        <f>10076633</f>
        <v>1.0076633E7</v>
      </c>
      <c r="U1360" s="3" t="s">
        <v>288</v>
      </c>
      <c r="V1360" s="27" t="n">
        <f>776985000</f>
        <v>7.76985E8</v>
      </c>
      <c r="W1360" s="3" t="s">
        <v>1300</v>
      </c>
      <c r="X1360" s="27" t="n">
        <f>4420000</f>
        <v>4420000.0</v>
      </c>
      <c r="Y1360" s="27" t="n">
        <f>18155</f>
        <v>18155.0</v>
      </c>
      <c r="Z1360" s="25" t="n">
        <f>17391</f>
        <v>17391.0</v>
      </c>
      <c r="AA1360" s="25" t="n">
        <f>2082</f>
        <v>2082.0</v>
      </c>
      <c r="AB1360" s="2" t="s">
        <v>80</v>
      </c>
      <c r="AC1360" s="26" t="n">
        <f>13408</f>
        <v>13408.0</v>
      </c>
      <c r="AD1360" s="3" t="s">
        <v>64</v>
      </c>
      <c r="AE1360" s="27" t="n">
        <f>2082</f>
        <v>2082.0</v>
      </c>
    </row>
    <row r="1361">
      <c r="A1361" s="20" t="s">
        <v>2191</v>
      </c>
      <c r="B1361" s="21" t="s">
        <v>2192</v>
      </c>
      <c r="C1361" s="22" t="s">
        <v>1768</v>
      </c>
      <c r="D1361" s="23" t="s">
        <v>1769</v>
      </c>
      <c r="E1361" s="24" t="s">
        <v>102</v>
      </c>
      <c r="F1361" s="28" t="n">
        <f>124</f>
        <v>124.0</v>
      </c>
      <c r="G1361" s="25" t="n">
        <f>415858</f>
        <v>415858.0</v>
      </c>
      <c r="H1361" s="25"/>
      <c r="I1361" s="25" t="n">
        <f>47426</f>
        <v>47426.0</v>
      </c>
      <c r="J1361" s="25" t="n">
        <f>3354</f>
        <v>3354.0</v>
      </c>
      <c r="K1361" s="25" t="n">
        <f>382</f>
        <v>382.0</v>
      </c>
      <c r="L1361" s="2" t="s">
        <v>838</v>
      </c>
      <c r="M1361" s="26" t="n">
        <f>12846</f>
        <v>12846.0</v>
      </c>
      <c r="N1361" s="3" t="s">
        <v>298</v>
      </c>
      <c r="O1361" s="27" t="n">
        <f>488</f>
        <v>488.0</v>
      </c>
      <c r="P1361" s="29" t="s">
        <v>2439</v>
      </c>
      <c r="Q1361" s="25"/>
      <c r="R1361" s="29" t="s">
        <v>2440</v>
      </c>
      <c r="S1361" s="25" t="n">
        <f>341435968</f>
        <v>3.41435968E8</v>
      </c>
      <c r="T1361" s="25" t="n">
        <f>43582419</f>
        <v>4.3582419E7</v>
      </c>
      <c r="U1361" s="3" t="s">
        <v>198</v>
      </c>
      <c r="V1361" s="27" t="n">
        <f>2348490000</f>
        <v>2.34849E9</v>
      </c>
      <c r="W1361" s="3" t="s">
        <v>280</v>
      </c>
      <c r="X1361" s="27" t="n">
        <f>27460000</f>
        <v>2.746E7</v>
      </c>
      <c r="Y1361" s="27" t="n">
        <f>22350</f>
        <v>22350.0</v>
      </c>
      <c r="Z1361" s="25" t="n">
        <f>85627</f>
        <v>85627.0</v>
      </c>
      <c r="AA1361" s="25" t="n">
        <f>7720</f>
        <v>7720.0</v>
      </c>
      <c r="AB1361" s="2" t="s">
        <v>80</v>
      </c>
      <c r="AC1361" s="26" t="n">
        <f>39273</f>
        <v>39273.0</v>
      </c>
      <c r="AD1361" s="3" t="s">
        <v>64</v>
      </c>
      <c r="AE1361" s="27" t="n">
        <f>7720</f>
        <v>7720.0</v>
      </c>
    </row>
    <row r="1362">
      <c r="A1362" s="20" t="s">
        <v>2191</v>
      </c>
      <c r="B1362" s="21" t="s">
        <v>2192</v>
      </c>
      <c r="C1362" s="22" t="s">
        <v>1760</v>
      </c>
      <c r="D1362" s="23" t="s">
        <v>1761</v>
      </c>
      <c r="E1362" s="24" t="s">
        <v>107</v>
      </c>
      <c r="F1362" s="28" t="n">
        <f>117</f>
        <v>117.0</v>
      </c>
      <c r="G1362" s="25" t="n">
        <f>145729</f>
        <v>145729.0</v>
      </c>
      <c r="H1362" s="25"/>
      <c r="I1362" s="25" t="n">
        <f>10128</f>
        <v>10128.0</v>
      </c>
      <c r="J1362" s="25" t="n">
        <f>1246</f>
        <v>1246.0</v>
      </c>
      <c r="K1362" s="25" t="n">
        <f>87</f>
        <v>87.0</v>
      </c>
      <c r="L1362" s="2" t="s">
        <v>1926</v>
      </c>
      <c r="M1362" s="26" t="n">
        <f>3712</f>
        <v>3712.0</v>
      </c>
      <c r="N1362" s="3" t="s">
        <v>135</v>
      </c>
      <c r="O1362" s="27" t="n">
        <f>189</f>
        <v>189.0</v>
      </c>
      <c r="P1362" s="29" t="s">
        <v>2441</v>
      </c>
      <c r="Q1362" s="25"/>
      <c r="R1362" s="29" t="s">
        <v>2442</v>
      </c>
      <c r="S1362" s="25" t="n">
        <f>93440791</f>
        <v>9.3440791E7</v>
      </c>
      <c r="T1362" s="25" t="n">
        <f>6940791</f>
        <v>6940791.0</v>
      </c>
      <c r="U1362" s="3" t="s">
        <v>1926</v>
      </c>
      <c r="V1362" s="27" t="n">
        <f>433590000</f>
        <v>4.3359E8</v>
      </c>
      <c r="W1362" s="3" t="s">
        <v>135</v>
      </c>
      <c r="X1362" s="27" t="n">
        <f>10350000</f>
        <v>1.035E7</v>
      </c>
      <c r="Y1362" s="27" t="n">
        <f>2031</f>
        <v>2031.0</v>
      </c>
      <c r="Z1362" s="25" t="n">
        <f>19620</f>
        <v>19620.0</v>
      </c>
      <c r="AA1362" s="25" t="n">
        <f>4858</f>
        <v>4858.0</v>
      </c>
      <c r="AB1362" s="2" t="s">
        <v>400</v>
      </c>
      <c r="AC1362" s="26" t="n">
        <f>13070</f>
        <v>13070.0</v>
      </c>
      <c r="AD1362" s="3" t="s">
        <v>754</v>
      </c>
      <c r="AE1362" s="27" t="n">
        <f>2576</f>
        <v>2576.0</v>
      </c>
    </row>
    <row r="1363">
      <c r="A1363" s="20" t="s">
        <v>2191</v>
      </c>
      <c r="B1363" s="21" t="s">
        <v>2192</v>
      </c>
      <c r="C1363" s="22" t="s">
        <v>1764</v>
      </c>
      <c r="D1363" s="23" t="s">
        <v>1765</v>
      </c>
      <c r="E1363" s="24" t="s">
        <v>107</v>
      </c>
      <c r="F1363" s="28" t="n">
        <f>117</f>
        <v>117.0</v>
      </c>
      <c r="G1363" s="25" t="n">
        <f>117947</f>
        <v>117947.0</v>
      </c>
      <c r="H1363" s="25"/>
      <c r="I1363" s="25" t="n">
        <f>5706</f>
        <v>5706.0</v>
      </c>
      <c r="J1363" s="25" t="n">
        <f>1008</f>
        <v>1008.0</v>
      </c>
      <c r="K1363" s="25" t="n">
        <f>49</f>
        <v>49.0</v>
      </c>
      <c r="L1363" s="2" t="s">
        <v>482</v>
      </c>
      <c r="M1363" s="26" t="n">
        <f>2565</f>
        <v>2565.0</v>
      </c>
      <c r="N1363" s="3" t="s">
        <v>1153</v>
      </c>
      <c r="O1363" s="27" t="n">
        <f>177</f>
        <v>177.0</v>
      </c>
      <c r="P1363" s="29" t="s">
        <v>2443</v>
      </c>
      <c r="Q1363" s="25"/>
      <c r="R1363" s="29" t="s">
        <v>2444</v>
      </c>
      <c r="S1363" s="25" t="n">
        <f>101483034</f>
        <v>1.01483034E8</v>
      </c>
      <c r="T1363" s="25" t="n">
        <f>4259615</f>
        <v>4259615.0</v>
      </c>
      <c r="U1363" s="3" t="s">
        <v>85</v>
      </c>
      <c r="V1363" s="27" t="n">
        <f>315940000</f>
        <v>3.1594E8</v>
      </c>
      <c r="W1363" s="3" t="s">
        <v>1153</v>
      </c>
      <c r="X1363" s="27" t="n">
        <f>9980000</f>
        <v>9980000.0</v>
      </c>
      <c r="Y1363" s="27" t="n">
        <f>13006</f>
        <v>13006.0</v>
      </c>
      <c r="Z1363" s="25" t="n">
        <f>14773</f>
        <v>14773.0</v>
      </c>
      <c r="AA1363" s="25" t="n">
        <f>2615</f>
        <v>2615.0</v>
      </c>
      <c r="AB1363" s="2" t="s">
        <v>400</v>
      </c>
      <c r="AC1363" s="26" t="n">
        <f>8803</f>
        <v>8803.0</v>
      </c>
      <c r="AD1363" s="3" t="s">
        <v>305</v>
      </c>
      <c r="AE1363" s="27" t="n">
        <f>2541</f>
        <v>2541.0</v>
      </c>
    </row>
    <row r="1364">
      <c r="A1364" s="20" t="s">
        <v>2191</v>
      </c>
      <c r="B1364" s="21" t="s">
        <v>2192</v>
      </c>
      <c r="C1364" s="22" t="s">
        <v>1768</v>
      </c>
      <c r="D1364" s="23" t="s">
        <v>1769</v>
      </c>
      <c r="E1364" s="24" t="s">
        <v>107</v>
      </c>
      <c r="F1364" s="28" t="n">
        <f>117</f>
        <v>117.0</v>
      </c>
      <c r="G1364" s="25" t="n">
        <f>263676</f>
        <v>263676.0</v>
      </c>
      <c r="H1364" s="25"/>
      <c r="I1364" s="25" t="n">
        <f>15834</f>
        <v>15834.0</v>
      </c>
      <c r="J1364" s="25" t="n">
        <f>2254</f>
        <v>2254.0</v>
      </c>
      <c r="K1364" s="25" t="n">
        <f>135</f>
        <v>135.0</v>
      </c>
      <c r="L1364" s="2" t="s">
        <v>177</v>
      </c>
      <c r="M1364" s="26" t="n">
        <f>4879</f>
        <v>4879.0</v>
      </c>
      <c r="N1364" s="3" t="s">
        <v>2202</v>
      </c>
      <c r="O1364" s="27" t="n">
        <f>516</f>
        <v>516.0</v>
      </c>
      <c r="P1364" s="29" t="s">
        <v>2445</v>
      </c>
      <c r="Q1364" s="25"/>
      <c r="R1364" s="29" t="s">
        <v>2446</v>
      </c>
      <c r="S1364" s="25" t="n">
        <f>194923825</f>
        <v>1.94923825E8</v>
      </c>
      <c r="T1364" s="25" t="n">
        <f>11200406</f>
        <v>1.1200406E7</v>
      </c>
      <c r="U1364" s="3" t="s">
        <v>1926</v>
      </c>
      <c r="V1364" s="27" t="n">
        <f>549240000</f>
        <v>5.4924E8</v>
      </c>
      <c r="W1364" s="3" t="s">
        <v>950</v>
      </c>
      <c r="X1364" s="27" t="n">
        <f>39585000</f>
        <v>3.9585E7</v>
      </c>
      <c r="Y1364" s="27" t="n">
        <f>15037</f>
        <v>15037.0</v>
      </c>
      <c r="Z1364" s="25" t="n">
        <f>34393</f>
        <v>34393.0</v>
      </c>
      <c r="AA1364" s="25" t="n">
        <f>7473</f>
        <v>7473.0</v>
      </c>
      <c r="AB1364" s="2" t="s">
        <v>400</v>
      </c>
      <c r="AC1364" s="26" t="n">
        <f>21873</f>
        <v>21873.0</v>
      </c>
      <c r="AD1364" s="3" t="s">
        <v>754</v>
      </c>
      <c r="AE1364" s="27" t="n">
        <f>5239</f>
        <v>5239.0</v>
      </c>
    </row>
    <row r="1365">
      <c r="A1365" s="20" t="s">
        <v>2191</v>
      </c>
      <c r="B1365" s="21" t="s">
        <v>2192</v>
      </c>
      <c r="C1365" s="22" t="s">
        <v>1760</v>
      </c>
      <c r="D1365" s="23" t="s">
        <v>1761</v>
      </c>
      <c r="E1365" s="24" t="s">
        <v>113</v>
      </c>
      <c r="F1365" s="28" t="n">
        <f>124</f>
        <v>124.0</v>
      </c>
      <c r="G1365" s="25" t="n">
        <f>195161</f>
        <v>195161.0</v>
      </c>
      <c r="H1365" s="25"/>
      <c r="I1365" s="25" t="n">
        <f>17458</f>
        <v>17458.0</v>
      </c>
      <c r="J1365" s="25" t="n">
        <f>1574</f>
        <v>1574.0</v>
      </c>
      <c r="K1365" s="25" t="n">
        <f>141</f>
        <v>141.0</v>
      </c>
      <c r="L1365" s="2" t="s">
        <v>82</v>
      </c>
      <c r="M1365" s="26" t="n">
        <f>5778</f>
        <v>5778.0</v>
      </c>
      <c r="N1365" s="3" t="s">
        <v>254</v>
      </c>
      <c r="O1365" s="27" t="n">
        <f>180</f>
        <v>180.0</v>
      </c>
      <c r="P1365" s="29" t="s">
        <v>2447</v>
      </c>
      <c r="Q1365" s="25"/>
      <c r="R1365" s="29" t="s">
        <v>2448</v>
      </c>
      <c r="S1365" s="25" t="n">
        <f>190897944</f>
        <v>1.90897944E8</v>
      </c>
      <c r="T1365" s="25" t="n">
        <f>20960524</f>
        <v>2.0960524E7</v>
      </c>
      <c r="U1365" s="3" t="s">
        <v>82</v>
      </c>
      <c r="V1365" s="27" t="n">
        <f>1455550000</f>
        <v>1.45555E9</v>
      </c>
      <c r="W1365" s="3" t="s">
        <v>254</v>
      </c>
      <c r="X1365" s="27" t="n">
        <f>12950000</f>
        <v>1.295E7</v>
      </c>
      <c r="Y1365" s="27" t="n">
        <f>7698</f>
        <v>7698.0</v>
      </c>
      <c r="Z1365" s="25" t="n">
        <f>40716</f>
        <v>40716.0</v>
      </c>
      <c r="AA1365" s="25" t="n">
        <f>1986</f>
        <v>1986.0</v>
      </c>
      <c r="AB1365" s="2" t="s">
        <v>1084</v>
      </c>
      <c r="AC1365" s="26" t="n">
        <f>18117</f>
        <v>18117.0</v>
      </c>
      <c r="AD1365" s="3" t="s">
        <v>221</v>
      </c>
      <c r="AE1365" s="27" t="n">
        <f>1488</f>
        <v>1488.0</v>
      </c>
    </row>
    <row r="1366">
      <c r="A1366" s="20" t="s">
        <v>2191</v>
      </c>
      <c r="B1366" s="21" t="s">
        <v>2192</v>
      </c>
      <c r="C1366" s="22" t="s">
        <v>1764</v>
      </c>
      <c r="D1366" s="23" t="s">
        <v>1765</v>
      </c>
      <c r="E1366" s="24" t="s">
        <v>113</v>
      </c>
      <c r="F1366" s="28" t="n">
        <f>124</f>
        <v>124.0</v>
      </c>
      <c r="G1366" s="25" t="n">
        <f>172970</f>
        <v>172970.0</v>
      </c>
      <c r="H1366" s="25"/>
      <c r="I1366" s="25" t="n">
        <f>16254</f>
        <v>16254.0</v>
      </c>
      <c r="J1366" s="25" t="n">
        <f>1395</f>
        <v>1395.0</v>
      </c>
      <c r="K1366" s="25" t="n">
        <f>131</f>
        <v>131.0</v>
      </c>
      <c r="L1366" s="2" t="s">
        <v>1011</v>
      </c>
      <c r="M1366" s="26" t="n">
        <f>5982</f>
        <v>5982.0</v>
      </c>
      <c r="N1366" s="3" t="s">
        <v>735</v>
      </c>
      <c r="O1366" s="27" t="n">
        <f>58</f>
        <v>58.0</v>
      </c>
      <c r="P1366" s="29" t="s">
        <v>2449</v>
      </c>
      <c r="Q1366" s="25"/>
      <c r="R1366" s="29" t="s">
        <v>2450</v>
      </c>
      <c r="S1366" s="25" t="n">
        <f>169156976</f>
        <v>1.69156976E8</v>
      </c>
      <c r="T1366" s="25" t="n">
        <f>17330847</f>
        <v>1.7330847E7</v>
      </c>
      <c r="U1366" s="3" t="s">
        <v>581</v>
      </c>
      <c r="V1366" s="27" t="n">
        <f>634915000</f>
        <v>6.34915E8</v>
      </c>
      <c r="W1366" s="3" t="s">
        <v>735</v>
      </c>
      <c r="X1366" s="27" t="n">
        <f>9400000</f>
        <v>9400000.0</v>
      </c>
      <c r="Y1366" s="27" t="n">
        <f>9655</f>
        <v>9655.0</v>
      </c>
      <c r="Z1366" s="25" t="n">
        <f>37903</f>
        <v>37903.0</v>
      </c>
      <c r="AA1366" s="25" t="n">
        <f>2425</f>
        <v>2425.0</v>
      </c>
      <c r="AB1366" s="2" t="s">
        <v>1297</v>
      </c>
      <c r="AC1366" s="26" t="n">
        <f>15855</f>
        <v>15855.0</v>
      </c>
      <c r="AD1366" s="3" t="s">
        <v>80</v>
      </c>
      <c r="AE1366" s="27" t="n">
        <f>1289</f>
        <v>1289.0</v>
      </c>
    </row>
    <row r="1367">
      <c r="A1367" s="20" t="s">
        <v>2191</v>
      </c>
      <c r="B1367" s="21" t="s">
        <v>2192</v>
      </c>
      <c r="C1367" s="22" t="s">
        <v>1768</v>
      </c>
      <c r="D1367" s="23" t="s">
        <v>1769</v>
      </c>
      <c r="E1367" s="24" t="s">
        <v>113</v>
      </c>
      <c r="F1367" s="28" t="n">
        <f>124</f>
        <v>124.0</v>
      </c>
      <c r="G1367" s="25" t="n">
        <f>368131</f>
        <v>368131.0</v>
      </c>
      <c r="H1367" s="25"/>
      <c r="I1367" s="25" t="n">
        <f>33712</f>
        <v>33712.0</v>
      </c>
      <c r="J1367" s="25" t="n">
        <f>2969</f>
        <v>2969.0</v>
      </c>
      <c r="K1367" s="25" t="n">
        <f>272</f>
        <v>272.0</v>
      </c>
      <c r="L1367" s="2" t="s">
        <v>82</v>
      </c>
      <c r="M1367" s="26" t="n">
        <f>8514</f>
        <v>8514.0</v>
      </c>
      <c r="N1367" s="3" t="s">
        <v>254</v>
      </c>
      <c r="O1367" s="27" t="n">
        <f>342</f>
        <v>342.0</v>
      </c>
      <c r="P1367" s="29" t="s">
        <v>2451</v>
      </c>
      <c r="Q1367" s="25"/>
      <c r="R1367" s="29" t="s">
        <v>2452</v>
      </c>
      <c r="S1367" s="25" t="n">
        <f>360054919</f>
        <v>3.60054919E8</v>
      </c>
      <c r="T1367" s="25" t="n">
        <f>38291371</f>
        <v>3.8291371E7</v>
      </c>
      <c r="U1367" s="3" t="s">
        <v>82</v>
      </c>
      <c r="V1367" s="27" t="n">
        <f>1690990000</f>
        <v>1.69099E9</v>
      </c>
      <c r="W1367" s="3" t="s">
        <v>332</v>
      </c>
      <c r="X1367" s="27" t="n">
        <f>31660000</f>
        <v>3.166E7</v>
      </c>
      <c r="Y1367" s="27" t="n">
        <f>17353</f>
        <v>17353.0</v>
      </c>
      <c r="Z1367" s="25" t="n">
        <f>78619</f>
        <v>78619.0</v>
      </c>
      <c r="AA1367" s="25" t="n">
        <f>4411</f>
        <v>4411.0</v>
      </c>
      <c r="AB1367" s="2" t="s">
        <v>1084</v>
      </c>
      <c r="AC1367" s="26" t="n">
        <f>25725</f>
        <v>25725.0</v>
      </c>
      <c r="AD1367" s="3" t="s">
        <v>80</v>
      </c>
      <c r="AE1367" s="27" t="n">
        <f>2934</f>
        <v>2934.0</v>
      </c>
    </row>
    <row r="1368">
      <c r="A1368" s="20" t="s">
        <v>2191</v>
      </c>
      <c r="B1368" s="21" t="s">
        <v>2192</v>
      </c>
      <c r="C1368" s="22" t="s">
        <v>1760</v>
      </c>
      <c r="D1368" s="23" t="s">
        <v>1761</v>
      </c>
      <c r="E1368" s="24" t="s">
        <v>119</v>
      </c>
      <c r="F1368" s="28" t="n">
        <f>119</f>
        <v>119.0</v>
      </c>
      <c r="G1368" s="25" t="n">
        <f>83480</f>
        <v>83480.0</v>
      </c>
      <c r="H1368" s="25"/>
      <c r="I1368" s="25" t="n">
        <f>5334</f>
        <v>5334.0</v>
      </c>
      <c r="J1368" s="25" t="n">
        <f>702</f>
        <v>702.0</v>
      </c>
      <c r="K1368" s="25" t="n">
        <f>45</f>
        <v>45.0</v>
      </c>
      <c r="L1368" s="2" t="s">
        <v>369</v>
      </c>
      <c r="M1368" s="26" t="n">
        <f>2963</f>
        <v>2963.0</v>
      </c>
      <c r="N1368" s="3" t="s">
        <v>212</v>
      </c>
      <c r="O1368" s="27" t="n">
        <f>11</f>
        <v>11.0</v>
      </c>
      <c r="P1368" s="29" t="s">
        <v>2453</v>
      </c>
      <c r="Q1368" s="25"/>
      <c r="R1368" s="29" t="s">
        <v>2454</v>
      </c>
      <c r="S1368" s="25" t="n">
        <f>99832752</f>
        <v>9.9832752E7</v>
      </c>
      <c r="T1368" s="25" t="n">
        <f>6658130</f>
        <v>6658130.0</v>
      </c>
      <c r="U1368" s="3" t="s">
        <v>369</v>
      </c>
      <c r="V1368" s="27" t="n">
        <f>602625000</f>
        <v>6.02625E8</v>
      </c>
      <c r="W1368" s="3" t="s">
        <v>634</v>
      </c>
      <c r="X1368" s="27" t="n">
        <f>250000</f>
        <v>250000.0</v>
      </c>
      <c r="Y1368" s="27" t="n">
        <f>4103</f>
        <v>4103.0</v>
      </c>
      <c r="Z1368" s="25" t="n">
        <f>9977</f>
        <v>9977.0</v>
      </c>
      <c r="AA1368" s="25" t="n">
        <f>1273</f>
        <v>1273.0</v>
      </c>
      <c r="AB1368" s="2" t="s">
        <v>1121</v>
      </c>
      <c r="AC1368" s="26" t="n">
        <f>8756</f>
        <v>8756.0</v>
      </c>
      <c r="AD1368" s="3" t="s">
        <v>346</v>
      </c>
      <c r="AE1368" s="27" t="n">
        <f>280</f>
        <v>280.0</v>
      </c>
    </row>
    <row r="1369">
      <c r="A1369" s="20" t="s">
        <v>2191</v>
      </c>
      <c r="B1369" s="21" t="s">
        <v>2192</v>
      </c>
      <c r="C1369" s="22" t="s">
        <v>1764</v>
      </c>
      <c r="D1369" s="23" t="s">
        <v>1765</v>
      </c>
      <c r="E1369" s="24" t="s">
        <v>119</v>
      </c>
      <c r="F1369" s="28" t="n">
        <f>119</f>
        <v>119.0</v>
      </c>
      <c r="G1369" s="25" t="n">
        <f>96949</f>
        <v>96949.0</v>
      </c>
      <c r="H1369" s="25"/>
      <c r="I1369" s="25" t="n">
        <f>13610</f>
        <v>13610.0</v>
      </c>
      <c r="J1369" s="25" t="n">
        <f>815</f>
        <v>815.0</v>
      </c>
      <c r="K1369" s="25" t="n">
        <f>114</f>
        <v>114.0</v>
      </c>
      <c r="L1369" s="2" t="s">
        <v>448</v>
      </c>
      <c r="M1369" s="26" t="n">
        <f>5545</f>
        <v>5545.0</v>
      </c>
      <c r="N1369" s="3" t="s">
        <v>1943</v>
      </c>
      <c r="O1369" s="27" t="n">
        <f>25</f>
        <v>25.0</v>
      </c>
      <c r="P1369" s="29" t="s">
        <v>2455</v>
      </c>
      <c r="Q1369" s="25"/>
      <c r="R1369" s="29" t="s">
        <v>2456</v>
      </c>
      <c r="S1369" s="25" t="n">
        <f>118633277</f>
        <v>1.18633277E8</v>
      </c>
      <c r="T1369" s="25" t="n">
        <f>24296723</f>
        <v>2.4296723E7</v>
      </c>
      <c r="U1369" s="3" t="s">
        <v>751</v>
      </c>
      <c r="V1369" s="27" t="n">
        <f>715860000</f>
        <v>7.1586E8</v>
      </c>
      <c r="W1369" s="3" t="s">
        <v>634</v>
      </c>
      <c r="X1369" s="27" t="n">
        <f>640000</f>
        <v>640000.0</v>
      </c>
      <c r="Y1369" s="27" t="n">
        <f>9216</f>
        <v>9216.0</v>
      </c>
      <c r="Z1369" s="25" t="n">
        <f>27410</f>
        <v>27410.0</v>
      </c>
      <c r="AA1369" s="25" t="n">
        <f>1223</f>
        <v>1223.0</v>
      </c>
      <c r="AB1369" s="2" t="s">
        <v>120</v>
      </c>
      <c r="AC1369" s="26" t="n">
        <f>11171</f>
        <v>11171.0</v>
      </c>
      <c r="AD1369" s="3" t="s">
        <v>346</v>
      </c>
      <c r="AE1369" s="27" t="n">
        <f>117</f>
        <v>117.0</v>
      </c>
    </row>
    <row r="1370">
      <c r="A1370" s="20" t="s">
        <v>2191</v>
      </c>
      <c r="B1370" s="21" t="s">
        <v>2192</v>
      </c>
      <c r="C1370" s="22" t="s">
        <v>1768</v>
      </c>
      <c r="D1370" s="23" t="s">
        <v>1769</v>
      </c>
      <c r="E1370" s="24" t="s">
        <v>119</v>
      </c>
      <c r="F1370" s="28" t="n">
        <f>119</f>
        <v>119.0</v>
      </c>
      <c r="G1370" s="25" t="n">
        <f>180429</f>
        <v>180429.0</v>
      </c>
      <c r="H1370" s="25"/>
      <c r="I1370" s="25" t="n">
        <f>18944</f>
        <v>18944.0</v>
      </c>
      <c r="J1370" s="25" t="n">
        <f>1516</f>
        <v>1516.0</v>
      </c>
      <c r="K1370" s="25" t="n">
        <f>159</f>
        <v>159.0</v>
      </c>
      <c r="L1370" s="2" t="s">
        <v>448</v>
      </c>
      <c r="M1370" s="26" t="n">
        <f>6911</f>
        <v>6911.0</v>
      </c>
      <c r="N1370" s="3" t="s">
        <v>634</v>
      </c>
      <c r="O1370" s="27" t="n">
        <f>56</f>
        <v>56.0</v>
      </c>
      <c r="P1370" s="29" t="s">
        <v>2457</v>
      </c>
      <c r="Q1370" s="25"/>
      <c r="R1370" s="29" t="s">
        <v>2458</v>
      </c>
      <c r="S1370" s="25" t="n">
        <f>218466029</f>
        <v>2.18466029E8</v>
      </c>
      <c r="T1370" s="25" t="n">
        <f>30954853</f>
        <v>3.0954853E7</v>
      </c>
      <c r="U1370" s="3" t="s">
        <v>369</v>
      </c>
      <c r="V1370" s="27" t="n">
        <f>1079802500</f>
        <v>1.0798025E9</v>
      </c>
      <c r="W1370" s="3" t="s">
        <v>634</v>
      </c>
      <c r="X1370" s="27" t="n">
        <f>890000</f>
        <v>890000.0</v>
      </c>
      <c r="Y1370" s="27" t="n">
        <f>13319</f>
        <v>13319.0</v>
      </c>
      <c r="Z1370" s="25" t="n">
        <f>37387</f>
        <v>37387.0</v>
      </c>
      <c r="AA1370" s="25" t="n">
        <f>2496</f>
        <v>2496.0</v>
      </c>
      <c r="AB1370" s="2" t="s">
        <v>161</v>
      </c>
      <c r="AC1370" s="26" t="n">
        <f>18022</f>
        <v>18022.0</v>
      </c>
      <c r="AD1370" s="3" t="s">
        <v>346</v>
      </c>
      <c r="AE1370" s="27" t="n">
        <f>397</f>
        <v>397.0</v>
      </c>
    </row>
    <row r="1371">
      <c r="A1371" s="20" t="s">
        <v>2191</v>
      </c>
      <c r="B1371" s="21" t="s">
        <v>2192</v>
      </c>
      <c r="C1371" s="22" t="s">
        <v>1760</v>
      </c>
      <c r="D1371" s="23" t="s">
        <v>1761</v>
      </c>
      <c r="E1371" s="24" t="s">
        <v>124</v>
      </c>
      <c r="F1371" s="28" t="n">
        <f>124</f>
        <v>124.0</v>
      </c>
      <c r="G1371" s="25" t="n">
        <f>71246</f>
        <v>71246.0</v>
      </c>
      <c r="H1371" s="25"/>
      <c r="I1371" s="25" t="n">
        <f>4586</f>
        <v>4586.0</v>
      </c>
      <c r="J1371" s="25" t="n">
        <f>575</f>
        <v>575.0</v>
      </c>
      <c r="K1371" s="25" t="n">
        <f>37</f>
        <v>37.0</v>
      </c>
      <c r="L1371" s="2" t="s">
        <v>923</v>
      </c>
      <c r="M1371" s="26" t="n">
        <f>2058</f>
        <v>2058.0</v>
      </c>
      <c r="N1371" s="3" t="s">
        <v>64</v>
      </c>
      <c r="O1371" s="27" t="n">
        <f>15</f>
        <v>15.0</v>
      </c>
      <c r="P1371" s="29" t="s">
        <v>2459</v>
      </c>
      <c r="Q1371" s="25"/>
      <c r="R1371" s="29" t="s">
        <v>2460</v>
      </c>
      <c r="S1371" s="25" t="n">
        <f>47688246</f>
        <v>4.7688246E7</v>
      </c>
      <c r="T1371" s="25" t="n">
        <f>2978004</f>
        <v>2978004.0</v>
      </c>
      <c r="U1371" s="3" t="s">
        <v>945</v>
      </c>
      <c r="V1371" s="27" t="n">
        <f>282240000</f>
        <v>2.8224E8</v>
      </c>
      <c r="W1371" s="3" t="s">
        <v>271</v>
      </c>
      <c r="X1371" s="27" t="n">
        <f>760000</f>
        <v>760000.0</v>
      </c>
      <c r="Y1371" s="27" t="n">
        <f>3814</f>
        <v>3814.0</v>
      </c>
      <c r="Z1371" s="25" t="n">
        <f>5619</f>
        <v>5619.0</v>
      </c>
      <c r="AA1371" s="25" t="n">
        <f>1336</f>
        <v>1336.0</v>
      </c>
      <c r="AB1371" s="2" t="s">
        <v>1297</v>
      </c>
      <c r="AC1371" s="26" t="n">
        <f>6645</f>
        <v>6645.0</v>
      </c>
      <c r="AD1371" s="3" t="s">
        <v>318</v>
      </c>
      <c r="AE1371" s="27" t="n">
        <f>277</f>
        <v>277.0</v>
      </c>
    </row>
    <row r="1372">
      <c r="A1372" s="20" t="s">
        <v>2191</v>
      </c>
      <c r="B1372" s="21" t="s">
        <v>2192</v>
      </c>
      <c r="C1372" s="22" t="s">
        <v>1764</v>
      </c>
      <c r="D1372" s="23" t="s">
        <v>1765</v>
      </c>
      <c r="E1372" s="24" t="s">
        <v>124</v>
      </c>
      <c r="F1372" s="28" t="n">
        <f>124</f>
        <v>124.0</v>
      </c>
      <c r="G1372" s="25" t="n">
        <f>71535</f>
        <v>71535.0</v>
      </c>
      <c r="H1372" s="25"/>
      <c r="I1372" s="25" t="n">
        <f>8789</f>
        <v>8789.0</v>
      </c>
      <c r="J1372" s="25" t="n">
        <f>577</f>
        <v>577.0</v>
      </c>
      <c r="K1372" s="25" t="n">
        <f>71</f>
        <v>71.0</v>
      </c>
      <c r="L1372" s="2" t="s">
        <v>945</v>
      </c>
      <c r="M1372" s="26" t="n">
        <f>2705</f>
        <v>2705.0</v>
      </c>
      <c r="N1372" s="3" t="s">
        <v>373</v>
      </c>
      <c r="O1372" s="27" t="n">
        <f>35</f>
        <v>35.0</v>
      </c>
      <c r="P1372" s="29" t="s">
        <v>2461</v>
      </c>
      <c r="Q1372" s="25"/>
      <c r="R1372" s="29" t="s">
        <v>2462</v>
      </c>
      <c r="S1372" s="25" t="n">
        <f>50191270</f>
        <v>5.019127E7</v>
      </c>
      <c r="T1372" s="25" t="n">
        <f>5883528</f>
        <v>5883528.0</v>
      </c>
      <c r="U1372" s="3" t="s">
        <v>945</v>
      </c>
      <c r="V1372" s="27" t="n">
        <f>211340000</f>
        <v>2.1134E8</v>
      </c>
      <c r="W1372" s="3" t="s">
        <v>373</v>
      </c>
      <c r="X1372" s="27" t="n">
        <f>3950000</f>
        <v>3950000.0</v>
      </c>
      <c r="Y1372" s="27" t="n">
        <f>3873</f>
        <v>3873.0</v>
      </c>
      <c r="Z1372" s="25" t="n">
        <f>12300</f>
        <v>12300.0</v>
      </c>
      <c r="AA1372" s="25" t="n">
        <f>2374</f>
        <v>2374.0</v>
      </c>
      <c r="AB1372" s="2" t="s">
        <v>1469</v>
      </c>
      <c r="AC1372" s="26" t="n">
        <f>6620</f>
        <v>6620.0</v>
      </c>
      <c r="AD1372" s="3" t="s">
        <v>1502</v>
      </c>
      <c r="AE1372" s="27" t="n">
        <f>636</f>
        <v>636.0</v>
      </c>
    </row>
    <row r="1373">
      <c r="A1373" s="20" t="s">
        <v>2191</v>
      </c>
      <c r="B1373" s="21" t="s">
        <v>2192</v>
      </c>
      <c r="C1373" s="22" t="s">
        <v>1768</v>
      </c>
      <c r="D1373" s="23" t="s">
        <v>1769</v>
      </c>
      <c r="E1373" s="24" t="s">
        <v>124</v>
      </c>
      <c r="F1373" s="28" t="n">
        <f>124</f>
        <v>124.0</v>
      </c>
      <c r="G1373" s="25" t="n">
        <f>142781</f>
        <v>142781.0</v>
      </c>
      <c r="H1373" s="25"/>
      <c r="I1373" s="25" t="n">
        <f>13375</f>
        <v>13375.0</v>
      </c>
      <c r="J1373" s="25" t="n">
        <f>1151</f>
        <v>1151.0</v>
      </c>
      <c r="K1373" s="25" t="n">
        <f>108</f>
        <v>108.0</v>
      </c>
      <c r="L1373" s="2" t="s">
        <v>945</v>
      </c>
      <c r="M1373" s="26" t="n">
        <f>4624</f>
        <v>4624.0</v>
      </c>
      <c r="N1373" s="3" t="s">
        <v>271</v>
      </c>
      <c r="O1373" s="27" t="n">
        <f>142</f>
        <v>142.0</v>
      </c>
      <c r="P1373" s="29" t="s">
        <v>2463</v>
      </c>
      <c r="Q1373" s="25"/>
      <c r="R1373" s="29" t="s">
        <v>2464</v>
      </c>
      <c r="S1373" s="25" t="n">
        <f>97879516</f>
        <v>9.7879516E7</v>
      </c>
      <c r="T1373" s="25" t="n">
        <f>8861532</f>
        <v>8861532.0</v>
      </c>
      <c r="U1373" s="3" t="s">
        <v>945</v>
      </c>
      <c r="V1373" s="27" t="n">
        <f>493580000</f>
        <v>4.9358E8</v>
      </c>
      <c r="W1373" s="3" t="s">
        <v>64</v>
      </c>
      <c r="X1373" s="27" t="n">
        <f>12490000</f>
        <v>1.249E7</v>
      </c>
      <c r="Y1373" s="27" t="n">
        <f>7687</f>
        <v>7687.0</v>
      </c>
      <c r="Z1373" s="25" t="n">
        <f>17919</f>
        <v>17919.0</v>
      </c>
      <c r="AA1373" s="25" t="n">
        <f>3710</f>
        <v>3710.0</v>
      </c>
      <c r="AB1373" s="2" t="s">
        <v>1469</v>
      </c>
      <c r="AC1373" s="26" t="n">
        <f>11959</f>
        <v>11959.0</v>
      </c>
      <c r="AD1373" s="3" t="s">
        <v>318</v>
      </c>
      <c r="AE1373" s="27" t="n">
        <f>987</f>
        <v>987.0</v>
      </c>
    </row>
    <row r="1374">
      <c r="A1374" s="20" t="s">
        <v>2191</v>
      </c>
      <c r="B1374" s="21" t="s">
        <v>2192</v>
      </c>
      <c r="C1374" s="22" t="s">
        <v>1760</v>
      </c>
      <c r="D1374" s="23" t="s">
        <v>1761</v>
      </c>
      <c r="E1374" s="24" t="s">
        <v>130</v>
      </c>
      <c r="F1374" s="28" t="n">
        <f>121</f>
        <v>121.0</v>
      </c>
      <c r="G1374" s="25" t="n">
        <f>62663</f>
        <v>62663.0</v>
      </c>
      <c r="H1374" s="25"/>
      <c r="I1374" s="25" t="n">
        <f>8363</f>
        <v>8363.0</v>
      </c>
      <c r="J1374" s="25" t="n">
        <f>518</f>
        <v>518.0</v>
      </c>
      <c r="K1374" s="25" t="n">
        <f>69</f>
        <v>69.0</v>
      </c>
      <c r="L1374" s="2" t="s">
        <v>508</v>
      </c>
      <c r="M1374" s="26" t="n">
        <f>2379</f>
        <v>2379.0</v>
      </c>
      <c r="N1374" s="3" t="s">
        <v>112</v>
      </c>
      <c r="O1374" s="27" t="n">
        <f>24</f>
        <v>24.0</v>
      </c>
      <c r="P1374" s="29" t="s">
        <v>2465</v>
      </c>
      <c r="Q1374" s="25"/>
      <c r="R1374" s="29" t="s">
        <v>2466</v>
      </c>
      <c r="S1374" s="25" t="n">
        <f>39815269</f>
        <v>3.9815269E7</v>
      </c>
      <c r="T1374" s="25" t="n">
        <f>6874029</f>
        <v>6874029.0</v>
      </c>
      <c r="U1374" s="3" t="s">
        <v>1079</v>
      </c>
      <c r="V1374" s="27" t="n">
        <f>256860000</f>
        <v>2.5686E8</v>
      </c>
      <c r="W1374" s="3" t="s">
        <v>1144</v>
      </c>
      <c r="X1374" s="27" t="n">
        <f>720000</f>
        <v>720000.0</v>
      </c>
      <c r="Y1374" s="27" t="n">
        <f>4451</f>
        <v>4451.0</v>
      </c>
      <c r="Z1374" s="25" t="n">
        <f>13760</f>
        <v>13760.0</v>
      </c>
      <c r="AA1374" s="25" t="n">
        <f>392</f>
        <v>392.0</v>
      </c>
      <c r="AB1374" s="2" t="s">
        <v>525</v>
      </c>
      <c r="AC1374" s="26" t="n">
        <f>6199</f>
        <v>6199.0</v>
      </c>
      <c r="AD1374" s="3" t="s">
        <v>754</v>
      </c>
      <c r="AE1374" s="27" t="n">
        <f>381</f>
        <v>381.0</v>
      </c>
    </row>
    <row r="1375">
      <c r="A1375" s="20" t="s">
        <v>2191</v>
      </c>
      <c r="B1375" s="21" t="s">
        <v>2192</v>
      </c>
      <c r="C1375" s="22" t="s">
        <v>1764</v>
      </c>
      <c r="D1375" s="23" t="s">
        <v>1765</v>
      </c>
      <c r="E1375" s="24" t="s">
        <v>130</v>
      </c>
      <c r="F1375" s="28" t="n">
        <f>121</f>
        <v>121.0</v>
      </c>
      <c r="G1375" s="25" t="n">
        <f>50241</f>
        <v>50241.0</v>
      </c>
      <c r="H1375" s="25"/>
      <c r="I1375" s="25" t="n">
        <f>1623</f>
        <v>1623.0</v>
      </c>
      <c r="J1375" s="25" t="n">
        <f>415</f>
        <v>415.0</v>
      </c>
      <c r="K1375" s="25" t="n">
        <f>13</f>
        <v>13.0</v>
      </c>
      <c r="L1375" s="2" t="s">
        <v>1201</v>
      </c>
      <c r="M1375" s="26" t="n">
        <f>1989</f>
        <v>1989.0</v>
      </c>
      <c r="N1375" s="3" t="s">
        <v>112</v>
      </c>
      <c r="O1375" s="27" t="n">
        <f>11</f>
        <v>11.0</v>
      </c>
      <c r="P1375" s="29" t="s">
        <v>2467</v>
      </c>
      <c r="Q1375" s="25"/>
      <c r="R1375" s="29" t="s">
        <v>2468</v>
      </c>
      <c r="S1375" s="25" t="n">
        <f>37610537</f>
        <v>3.7610537E7</v>
      </c>
      <c r="T1375" s="25" t="n">
        <f>946901</f>
        <v>946901.0</v>
      </c>
      <c r="U1375" s="3" t="s">
        <v>101</v>
      </c>
      <c r="V1375" s="27" t="n">
        <f>236550000</f>
        <v>2.3655E8</v>
      </c>
      <c r="W1375" s="3" t="s">
        <v>343</v>
      </c>
      <c r="X1375" s="27" t="n">
        <f>510000</f>
        <v>510000.0</v>
      </c>
      <c r="Y1375" s="27" t="n">
        <f>1923</f>
        <v>1923.0</v>
      </c>
      <c r="Z1375" s="25" t="n">
        <f>3265</f>
        <v>3265.0</v>
      </c>
      <c r="AA1375" s="25" t="n">
        <f>316</f>
        <v>316.0</v>
      </c>
      <c r="AB1375" s="2" t="s">
        <v>1091</v>
      </c>
      <c r="AC1375" s="26" t="n">
        <f>5323</f>
        <v>5323.0</v>
      </c>
      <c r="AD1375" s="3" t="s">
        <v>552</v>
      </c>
      <c r="AE1375" s="27" t="n">
        <f>214</f>
        <v>214.0</v>
      </c>
    </row>
    <row r="1376">
      <c r="A1376" s="20" t="s">
        <v>2191</v>
      </c>
      <c r="B1376" s="21" t="s">
        <v>2192</v>
      </c>
      <c r="C1376" s="22" t="s">
        <v>1768</v>
      </c>
      <c r="D1376" s="23" t="s">
        <v>1769</v>
      </c>
      <c r="E1376" s="24" t="s">
        <v>130</v>
      </c>
      <c r="F1376" s="28" t="n">
        <f>121</f>
        <v>121.0</v>
      </c>
      <c r="G1376" s="25" t="n">
        <f>112904</f>
        <v>112904.0</v>
      </c>
      <c r="H1376" s="25"/>
      <c r="I1376" s="25" t="n">
        <f>9986</f>
        <v>9986.0</v>
      </c>
      <c r="J1376" s="25" t="n">
        <f>933</f>
        <v>933.0</v>
      </c>
      <c r="K1376" s="25" t="n">
        <f>83</f>
        <v>83.0</v>
      </c>
      <c r="L1376" s="2" t="s">
        <v>508</v>
      </c>
      <c r="M1376" s="26" t="n">
        <f>3071</f>
        <v>3071.0</v>
      </c>
      <c r="N1376" s="3" t="s">
        <v>112</v>
      </c>
      <c r="O1376" s="27" t="n">
        <f>35</f>
        <v>35.0</v>
      </c>
      <c r="P1376" s="29" t="s">
        <v>2469</v>
      </c>
      <c r="Q1376" s="25"/>
      <c r="R1376" s="29" t="s">
        <v>2470</v>
      </c>
      <c r="S1376" s="25" t="n">
        <f>77425806</f>
        <v>7.7425806E7</v>
      </c>
      <c r="T1376" s="25" t="n">
        <f>7820930</f>
        <v>7820930.0</v>
      </c>
      <c r="U1376" s="3" t="s">
        <v>1079</v>
      </c>
      <c r="V1376" s="27" t="n">
        <f>308970000</f>
        <v>3.0897E8</v>
      </c>
      <c r="W1376" s="3" t="s">
        <v>112</v>
      </c>
      <c r="X1376" s="27" t="n">
        <f>3530000</f>
        <v>3530000.0</v>
      </c>
      <c r="Y1376" s="27" t="n">
        <f>6374</f>
        <v>6374.0</v>
      </c>
      <c r="Z1376" s="25" t="n">
        <f>17025</f>
        <v>17025.0</v>
      </c>
      <c r="AA1376" s="25" t="n">
        <f>708</f>
        <v>708.0</v>
      </c>
      <c r="AB1376" s="2" t="s">
        <v>1091</v>
      </c>
      <c r="AC1376" s="26" t="n">
        <f>10282</f>
        <v>10282.0</v>
      </c>
      <c r="AD1376" s="3" t="s">
        <v>754</v>
      </c>
      <c r="AE1376" s="27" t="n">
        <f>652</f>
        <v>652.0</v>
      </c>
    </row>
    <row r="1377">
      <c r="A1377" s="20" t="s">
        <v>2191</v>
      </c>
      <c r="B1377" s="21" t="s">
        <v>2192</v>
      </c>
      <c r="C1377" s="22" t="s">
        <v>1760</v>
      </c>
      <c r="D1377" s="23" t="s">
        <v>1761</v>
      </c>
      <c r="E1377" s="24" t="s">
        <v>136</v>
      </c>
      <c r="F1377" s="28" t="n">
        <f>124</f>
        <v>124.0</v>
      </c>
      <c r="G1377" s="25" t="n">
        <f>43298</f>
        <v>43298.0</v>
      </c>
      <c r="H1377" s="25"/>
      <c r="I1377" s="25" t="n">
        <f>4596</f>
        <v>4596.0</v>
      </c>
      <c r="J1377" s="25" t="n">
        <f>349</f>
        <v>349.0</v>
      </c>
      <c r="K1377" s="25" t="n">
        <f>37</f>
        <v>37.0</v>
      </c>
      <c r="L1377" s="2" t="s">
        <v>1166</v>
      </c>
      <c r="M1377" s="26" t="n">
        <f>1583</f>
        <v>1583.0</v>
      </c>
      <c r="N1377" s="3" t="s">
        <v>562</v>
      </c>
      <c r="O1377" s="27" t="n">
        <f>9</f>
        <v>9.0</v>
      </c>
      <c r="P1377" s="29" t="s">
        <v>2471</v>
      </c>
      <c r="Q1377" s="25"/>
      <c r="R1377" s="29" t="s">
        <v>2472</v>
      </c>
      <c r="S1377" s="25" t="n">
        <f>28043730</f>
        <v>2.804373E7</v>
      </c>
      <c r="T1377" s="25" t="n">
        <f>3974052</f>
        <v>3974052.0</v>
      </c>
      <c r="U1377" s="3" t="s">
        <v>1166</v>
      </c>
      <c r="V1377" s="27" t="n">
        <f>167110000</f>
        <v>1.6711E8</v>
      </c>
      <c r="W1377" s="3" t="s">
        <v>562</v>
      </c>
      <c r="X1377" s="27" t="n">
        <f>510000</f>
        <v>510000.0</v>
      </c>
      <c r="Y1377" s="27" t="n">
        <f>3397</f>
        <v>3397.0</v>
      </c>
      <c r="Z1377" s="25" t="n">
        <f>7773</f>
        <v>7773.0</v>
      </c>
      <c r="AA1377" s="25" t="n">
        <f>591</f>
        <v>591.0</v>
      </c>
      <c r="AB1377" s="2" t="s">
        <v>240</v>
      </c>
      <c r="AC1377" s="26" t="n">
        <f>4619</f>
        <v>4619.0</v>
      </c>
      <c r="AD1377" s="3" t="s">
        <v>719</v>
      </c>
      <c r="AE1377" s="27" t="n">
        <f>271</f>
        <v>271.0</v>
      </c>
    </row>
    <row r="1378">
      <c r="A1378" s="20" t="s">
        <v>2191</v>
      </c>
      <c r="B1378" s="21" t="s">
        <v>2192</v>
      </c>
      <c r="C1378" s="22" t="s">
        <v>1764</v>
      </c>
      <c r="D1378" s="23" t="s">
        <v>1765</v>
      </c>
      <c r="E1378" s="24" t="s">
        <v>136</v>
      </c>
      <c r="F1378" s="28" t="n">
        <f>124</f>
        <v>124.0</v>
      </c>
      <c r="G1378" s="25" t="n">
        <f>37506</f>
        <v>37506.0</v>
      </c>
      <c r="H1378" s="25"/>
      <c r="I1378" s="25" t="n">
        <f>2510</f>
        <v>2510.0</v>
      </c>
      <c r="J1378" s="25" t="n">
        <f>302</f>
        <v>302.0</v>
      </c>
      <c r="K1378" s="25" t="n">
        <f>20</f>
        <v>20.0</v>
      </c>
      <c r="L1378" s="2" t="s">
        <v>296</v>
      </c>
      <c r="M1378" s="26" t="n">
        <f>1623</f>
        <v>1623.0</v>
      </c>
      <c r="N1378" s="3" t="s">
        <v>63</v>
      </c>
      <c r="O1378" s="27" t="n">
        <f>2</f>
        <v>2.0</v>
      </c>
      <c r="P1378" s="29" t="s">
        <v>2473</v>
      </c>
      <c r="Q1378" s="25"/>
      <c r="R1378" s="29" t="s">
        <v>2474</v>
      </c>
      <c r="S1378" s="25" t="n">
        <f>25445484</f>
        <v>2.5445484E7</v>
      </c>
      <c r="T1378" s="25" t="n">
        <f>2274032</f>
        <v>2274032.0</v>
      </c>
      <c r="U1378" s="3" t="s">
        <v>296</v>
      </c>
      <c r="V1378" s="27" t="n">
        <f>161830000</f>
        <v>1.6183E8</v>
      </c>
      <c r="W1378" s="3" t="s">
        <v>63</v>
      </c>
      <c r="X1378" s="27" t="n">
        <f>40000</f>
        <v>40000.0</v>
      </c>
      <c r="Y1378" s="27" t="n">
        <f>2150</f>
        <v>2150.0</v>
      </c>
      <c r="Z1378" s="25" t="n">
        <f>3572</f>
        <v>3572.0</v>
      </c>
      <c r="AA1378" s="25" t="n">
        <f>568</f>
        <v>568.0</v>
      </c>
      <c r="AB1378" s="2" t="s">
        <v>240</v>
      </c>
      <c r="AC1378" s="26" t="n">
        <f>3742</f>
        <v>3742.0</v>
      </c>
      <c r="AD1378" s="3" t="s">
        <v>1502</v>
      </c>
      <c r="AE1378" s="27" t="n">
        <f>181</f>
        <v>181.0</v>
      </c>
    </row>
    <row r="1379">
      <c r="A1379" s="20" t="s">
        <v>2191</v>
      </c>
      <c r="B1379" s="21" t="s">
        <v>2192</v>
      </c>
      <c r="C1379" s="22" t="s">
        <v>1768</v>
      </c>
      <c r="D1379" s="23" t="s">
        <v>1769</v>
      </c>
      <c r="E1379" s="24" t="s">
        <v>136</v>
      </c>
      <c r="F1379" s="28" t="n">
        <f>124</f>
        <v>124.0</v>
      </c>
      <c r="G1379" s="25" t="n">
        <f>80804</f>
        <v>80804.0</v>
      </c>
      <c r="H1379" s="25"/>
      <c r="I1379" s="25" t="n">
        <f>7106</f>
        <v>7106.0</v>
      </c>
      <c r="J1379" s="25" t="n">
        <f>652</f>
        <v>652.0</v>
      </c>
      <c r="K1379" s="25" t="n">
        <f>57</f>
        <v>57.0</v>
      </c>
      <c r="L1379" s="2" t="s">
        <v>879</v>
      </c>
      <c r="M1379" s="26" t="n">
        <f>2839</f>
        <v>2839.0</v>
      </c>
      <c r="N1379" s="3" t="s">
        <v>63</v>
      </c>
      <c r="O1379" s="27" t="n">
        <f>23</f>
        <v>23.0</v>
      </c>
      <c r="P1379" s="29" t="s">
        <v>2475</v>
      </c>
      <c r="Q1379" s="25"/>
      <c r="R1379" s="29" t="s">
        <v>2476</v>
      </c>
      <c r="S1379" s="25" t="n">
        <f>53489214</f>
        <v>5.3489214E7</v>
      </c>
      <c r="T1379" s="25" t="n">
        <f>6248085</f>
        <v>6248085.0</v>
      </c>
      <c r="U1379" s="3" t="s">
        <v>879</v>
      </c>
      <c r="V1379" s="27" t="n">
        <f>242440000</f>
        <v>2.4244E8</v>
      </c>
      <c r="W1379" s="3" t="s">
        <v>63</v>
      </c>
      <c r="X1379" s="27" t="n">
        <f>2600000</f>
        <v>2600000.0</v>
      </c>
      <c r="Y1379" s="27" t="n">
        <f>5547</f>
        <v>5547.0</v>
      </c>
      <c r="Z1379" s="25" t="n">
        <f>11345</f>
        <v>11345.0</v>
      </c>
      <c r="AA1379" s="25" t="n">
        <f>1159</f>
        <v>1159.0</v>
      </c>
      <c r="AB1379" s="2" t="s">
        <v>240</v>
      </c>
      <c r="AC1379" s="26" t="n">
        <f>8361</f>
        <v>8361.0</v>
      </c>
      <c r="AD1379" s="3" t="s">
        <v>719</v>
      </c>
      <c r="AE1379" s="27" t="n">
        <f>705</f>
        <v>705.0</v>
      </c>
    </row>
    <row r="1380">
      <c r="A1380" s="20" t="s">
        <v>2191</v>
      </c>
      <c r="B1380" s="21" t="s">
        <v>2192</v>
      </c>
      <c r="C1380" s="22" t="s">
        <v>1760</v>
      </c>
      <c r="D1380" s="23" t="s">
        <v>1761</v>
      </c>
      <c r="E1380" s="24" t="s">
        <v>142</v>
      </c>
      <c r="F1380" s="28" t="n">
        <f>120</f>
        <v>120.0</v>
      </c>
      <c r="G1380" s="25" t="n">
        <f>31632</f>
        <v>31632.0</v>
      </c>
      <c r="H1380" s="25"/>
      <c r="I1380" s="25" t="n">
        <f>6218</f>
        <v>6218.0</v>
      </c>
      <c r="J1380" s="25" t="n">
        <f>264</f>
        <v>264.0</v>
      </c>
      <c r="K1380" s="25" t="n">
        <f>52</f>
        <v>52.0</v>
      </c>
      <c r="L1380" s="2" t="s">
        <v>1032</v>
      </c>
      <c r="M1380" s="26" t="n">
        <f>1132</f>
        <v>1132.0</v>
      </c>
      <c r="N1380" s="3" t="s">
        <v>172</v>
      </c>
      <c r="O1380" s="27" t="n">
        <f>12</f>
        <v>12.0</v>
      </c>
      <c r="P1380" s="29" t="s">
        <v>2477</v>
      </c>
      <c r="Q1380" s="25"/>
      <c r="R1380" s="29" t="s">
        <v>2478</v>
      </c>
      <c r="S1380" s="25" t="n">
        <f>37412833</f>
        <v>3.7412833E7</v>
      </c>
      <c r="T1380" s="25" t="n">
        <f>12059417</f>
        <v>1.2059417E7</v>
      </c>
      <c r="U1380" s="3" t="s">
        <v>414</v>
      </c>
      <c r="V1380" s="27" t="n">
        <f>230850000</f>
        <v>2.3085E8</v>
      </c>
      <c r="W1380" s="3" t="s">
        <v>1179</v>
      </c>
      <c r="X1380" s="27" t="n">
        <f>2780000</f>
        <v>2780000.0</v>
      </c>
      <c r="Y1380" s="27" t="n">
        <f>3663</f>
        <v>3663.0</v>
      </c>
      <c r="Z1380" s="25" t="n">
        <f>11470</f>
        <v>11470.0</v>
      </c>
      <c r="AA1380" s="25" t="n">
        <f>219</f>
        <v>219.0</v>
      </c>
      <c r="AB1380" s="2" t="s">
        <v>1531</v>
      </c>
      <c r="AC1380" s="26" t="n">
        <f>3579</f>
        <v>3579.0</v>
      </c>
      <c r="AD1380" s="3" t="s">
        <v>1201</v>
      </c>
      <c r="AE1380" s="27" t="n">
        <f>111</f>
        <v>111.0</v>
      </c>
    </row>
    <row r="1381">
      <c r="A1381" s="20" t="s">
        <v>2191</v>
      </c>
      <c r="B1381" s="21" t="s">
        <v>2192</v>
      </c>
      <c r="C1381" s="22" t="s">
        <v>1764</v>
      </c>
      <c r="D1381" s="23" t="s">
        <v>1765</v>
      </c>
      <c r="E1381" s="24" t="s">
        <v>142</v>
      </c>
      <c r="F1381" s="28" t="n">
        <f>120</f>
        <v>120.0</v>
      </c>
      <c r="G1381" s="25" t="n">
        <f>26467</f>
        <v>26467.0</v>
      </c>
      <c r="H1381" s="25"/>
      <c r="I1381" s="25" t="n">
        <f>6898</f>
        <v>6898.0</v>
      </c>
      <c r="J1381" s="25" t="n">
        <f>221</f>
        <v>221.0</v>
      </c>
      <c r="K1381" s="25" t="n">
        <f>57</f>
        <v>57.0</v>
      </c>
      <c r="L1381" s="2" t="s">
        <v>205</v>
      </c>
      <c r="M1381" s="26" t="n">
        <f>726</f>
        <v>726.0</v>
      </c>
      <c r="N1381" s="3" t="s">
        <v>688</v>
      </c>
      <c r="O1381" s="27" t="n">
        <f>11</f>
        <v>11.0</v>
      </c>
      <c r="P1381" s="29" t="s">
        <v>2479</v>
      </c>
      <c r="Q1381" s="25"/>
      <c r="R1381" s="29" t="s">
        <v>2480</v>
      </c>
      <c r="S1381" s="25" t="n">
        <f>26533479</f>
        <v>2.6533479E7</v>
      </c>
      <c r="T1381" s="25" t="n">
        <f>9350979</f>
        <v>9350979.0</v>
      </c>
      <c r="U1381" s="3" t="s">
        <v>209</v>
      </c>
      <c r="V1381" s="27" t="n">
        <f>172800000</f>
        <v>1.728E8</v>
      </c>
      <c r="W1381" s="3" t="s">
        <v>533</v>
      </c>
      <c r="X1381" s="27" t="n">
        <f>1100000</f>
        <v>1100000.0</v>
      </c>
      <c r="Y1381" s="27" t="n">
        <f>2162</f>
        <v>2162.0</v>
      </c>
      <c r="Z1381" s="25" t="n">
        <f>13248</f>
        <v>13248.0</v>
      </c>
      <c r="AA1381" s="25" t="n">
        <f>53</f>
        <v>53.0</v>
      </c>
      <c r="AB1381" s="2" t="s">
        <v>539</v>
      </c>
      <c r="AC1381" s="26" t="n">
        <f>2581</f>
        <v>2581.0</v>
      </c>
      <c r="AD1381" s="3" t="s">
        <v>251</v>
      </c>
      <c r="AE1381" s="27" t="n">
        <f>53</f>
        <v>53.0</v>
      </c>
    </row>
    <row r="1382">
      <c r="A1382" s="20" t="s">
        <v>2191</v>
      </c>
      <c r="B1382" s="21" t="s">
        <v>2192</v>
      </c>
      <c r="C1382" s="22" t="s">
        <v>1768</v>
      </c>
      <c r="D1382" s="23" t="s">
        <v>1769</v>
      </c>
      <c r="E1382" s="24" t="s">
        <v>142</v>
      </c>
      <c r="F1382" s="28" t="n">
        <f>120</f>
        <v>120.0</v>
      </c>
      <c r="G1382" s="25" t="n">
        <f>58099</f>
        <v>58099.0</v>
      </c>
      <c r="H1382" s="25"/>
      <c r="I1382" s="25" t="n">
        <f>13116</f>
        <v>13116.0</v>
      </c>
      <c r="J1382" s="25" t="n">
        <f>484</f>
        <v>484.0</v>
      </c>
      <c r="K1382" s="25" t="n">
        <f>109</f>
        <v>109.0</v>
      </c>
      <c r="L1382" s="2" t="s">
        <v>375</v>
      </c>
      <c r="M1382" s="26" t="n">
        <f>1496</f>
        <v>1496.0</v>
      </c>
      <c r="N1382" s="3" t="s">
        <v>265</v>
      </c>
      <c r="O1382" s="27" t="n">
        <f>67</f>
        <v>67.0</v>
      </c>
      <c r="P1382" s="29" t="s">
        <v>2481</v>
      </c>
      <c r="Q1382" s="25"/>
      <c r="R1382" s="29" t="s">
        <v>2482</v>
      </c>
      <c r="S1382" s="25" t="n">
        <f>63946313</f>
        <v>6.3946313E7</v>
      </c>
      <c r="T1382" s="25" t="n">
        <f>21410396</f>
        <v>2.1410396E7</v>
      </c>
      <c r="U1382" s="3" t="s">
        <v>205</v>
      </c>
      <c r="V1382" s="27" t="n">
        <f>262140000</f>
        <v>2.6214E8</v>
      </c>
      <c r="W1382" s="3" t="s">
        <v>1179</v>
      </c>
      <c r="X1382" s="27" t="n">
        <f>3890000</f>
        <v>3890000.0</v>
      </c>
      <c r="Y1382" s="27" t="n">
        <f>5825</f>
        <v>5825.0</v>
      </c>
      <c r="Z1382" s="25" t="n">
        <f>24718</f>
        <v>24718.0</v>
      </c>
      <c r="AA1382" s="25" t="n">
        <f>272</f>
        <v>272.0</v>
      </c>
      <c r="AB1382" s="2" t="s">
        <v>739</v>
      </c>
      <c r="AC1382" s="26" t="n">
        <f>5466</f>
        <v>5466.0</v>
      </c>
      <c r="AD1382" s="3" t="s">
        <v>251</v>
      </c>
      <c r="AE1382" s="27" t="n">
        <f>272</f>
        <v>272.0</v>
      </c>
    </row>
    <row r="1383">
      <c r="A1383" s="20" t="s">
        <v>2191</v>
      </c>
      <c r="B1383" s="21" t="s">
        <v>2192</v>
      </c>
      <c r="C1383" s="22" t="s">
        <v>1760</v>
      </c>
      <c r="D1383" s="23" t="s">
        <v>1761</v>
      </c>
      <c r="E1383" s="24" t="s">
        <v>148</v>
      </c>
      <c r="F1383" s="28" t="n">
        <f>124</f>
        <v>124.0</v>
      </c>
      <c r="G1383" s="25" t="n">
        <f>16363</f>
        <v>16363.0</v>
      </c>
      <c r="H1383" s="25"/>
      <c r="I1383" s="25" t="n">
        <f>1490</f>
        <v>1490.0</v>
      </c>
      <c r="J1383" s="25" t="n">
        <f>132</f>
        <v>132.0</v>
      </c>
      <c r="K1383" s="25" t="n">
        <f>12</f>
        <v>12.0</v>
      </c>
      <c r="L1383" s="2" t="s">
        <v>1072</v>
      </c>
      <c r="M1383" s="26" t="n">
        <f>1137</f>
        <v>1137.0</v>
      </c>
      <c r="N1383" s="3" t="s">
        <v>872</v>
      </c>
      <c r="O1383" s="27" t="str">
        <f>"－"</f>
        <v>－</v>
      </c>
      <c r="P1383" s="29" t="s">
        <v>2483</v>
      </c>
      <c r="Q1383" s="25"/>
      <c r="R1383" s="29" t="s">
        <v>2484</v>
      </c>
      <c r="S1383" s="25" t="n">
        <f>20598065</f>
        <v>2.0598065E7</v>
      </c>
      <c r="T1383" s="25" t="n">
        <f>2381452</f>
        <v>2381452.0</v>
      </c>
      <c r="U1383" s="3" t="s">
        <v>1072</v>
      </c>
      <c r="V1383" s="27" t="n">
        <f>324180000</f>
        <v>3.2418E8</v>
      </c>
      <c r="W1383" s="3" t="s">
        <v>872</v>
      </c>
      <c r="X1383" s="27" t="str">
        <f>"－"</f>
        <v>－</v>
      </c>
      <c r="Y1383" s="27" t="n">
        <f>2059</f>
        <v>2059.0</v>
      </c>
      <c r="Z1383" s="25" t="n">
        <f>2671</f>
        <v>2671.0</v>
      </c>
      <c r="AA1383" s="25" t="n">
        <f>237</f>
        <v>237.0</v>
      </c>
      <c r="AB1383" s="2" t="s">
        <v>833</v>
      </c>
      <c r="AC1383" s="26" t="n">
        <f>3105</f>
        <v>3105.0</v>
      </c>
      <c r="AD1383" s="3" t="s">
        <v>1502</v>
      </c>
      <c r="AE1383" s="27" t="n">
        <f>105</f>
        <v>105.0</v>
      </c>
    </row>
    <row r="1384">
      <c r="A1384" s="20" t="s">
        <v>2191</v>
      </c>
      <c r="B1384" s="21" t="s">
        <v>2192</v>
      </c>
      <c r="C1384" s="22" t="s">
        <v>1764</v>
      </c>
      <c r="D1384" s="23" t="s">
        <v>1765</v>
      </c>
      <c r="E1384" s="24" t="s">
        <v>148</v>
      </c>
      <c r="F1384" s="28" t="n">
        <f>124</f>
        <v>124.0</v>
      </c>
      <c r="G1384" s="25" t="n">
        <f>11498</f>
        <v>11498.0</v>
      </c>
      <c r="H1384" s="25"/>
      <c r="I1384" s="25" t="n">
        <f>1895</f>
        <v>1895.0</v>
      </c>
      <c r="J1384" s="25" t="n">
        <f>93</f>
        <v>93.0</v>
      </c>
      <c r="K1384" s="25" t="n">
        <f>15</f>
        <v>15.0</v>
      </c>
      <c r="L1384" s="2" t="s">
        <v>221</v>
      </c>
      <c r="M1384" s="26" t="n">
        <f>535</f>
        <v>535.0</v>
      </c>
      <c r="N1384" s="3" t="s">
        <v>879</v>
      </c>
      <c r="O1384" s="27" t="str">
        <f>"－"</f>
        <v>－</v>
      </c>
      <c r="P1384" s="29" t="s">
        <v>2485</v>
      </c>
      <c r="Q1384" s="25"/>
      <c r="R1384" s="29" t="s">
        <v>2486</v>
      </c>
      <c r="S1384" s="25" t="n">
        <f>13978710</f>
        <v>1.397871E7</v>
      </c>
      <c r="T1384" s="25" t="n">
        <f>2995565</f>
        <v>2995565.0</v>
      </c>
      <c r="U1384" s="3" t="s">
        <v>1388</v>
      </c>
      <c r="V1384" s="27" t="n">
        <f>87975000</f>
        <v>8.7975E7</v>
      </c>
      <c r="W1384" s="3" t="s">
        <v>879</v>
      </c>
      <c r="X1384" s="27" t="str">
        <f>"－"</f>
        <v>－</v>
      </c>
      <c r="Y1384" s="27" t="n">
        <f>1062</f>
        <v>1062.0</v>
      </c>
      <c r="Z1384" s="25" t="n">
        <f>3349</f>
        <v>3349.0</v>
      </c>
      <c r="AA1384" s="25" t="n">
        <f>63</f>
        <v>63.0</v>
      </c>
      <c r="AB1384" s="2" t="s">
        <v>833</v>
      </c>
      <c r="AC1384" s="26" t="n">
        <f>1545</f>
        <v>1545.0</v>
      </c>
      <c r="AD1384" s="3" t="s">
        <v>318</v>
      </c>
      <c r="AE1384" s="27" t="n">
        <f>47</f>
        <v>47.0</v>
      </c>
    </row>
    <row r="1385">
      <c r="A1385" s="20" t="s">
        <v>2191</v>
      </c>
      <c r="B1385" s="21" t="s">
        <v>2192</v>
      </c>
      <c r="C1385" s="22" t="s">
        <v>1768</v>
      </c>
      <c r="D1385" s="23" t="s">
        <v>1769</v>
      </c>
      <c r="E1385" s="24" t="s">
        <v>148</v>
      </c>
      <c r="F1385" s="28" t="n">
        <f>124</f>
        <v>124.0</v>
      </c>
      <c r="G1385" s="25" t="n">
        <f>27861</f>
        <v>27861.0</v>
      </c>
      <c r="H1385" s="25"/>
      <c r="I1385" s="25" t="n">
        <f>3385</f>
        <v>3385.0</v>
      </c>
      <c r="J1385" s="25" t="n">
        <f>225</f>
        <v>225.0</v>
      </c>
      <c r="K1385" s="25" t="n">
        <f>27</f>
        <v>27.0</v>
      </c>
      <c r="L1385" s="2" t="s">
        <v>1072</v>
      </c>
      <c r="M1385" s="26" t="n">
        <f>1327</f>
        <v>1327.0</v>
      </c>
      <c r="N1385" s="3" t="s">
        <v>947</v>
      </c>
      <c r="O1385" s="27" t="n">
        <f>3</f>
        <v>3.0</v>
      </c>
      <c r="P1385" s="29" t="s">
        <v>2487</v>
      </c>
      <c r="Q1385" s="25"/>
      <c r="R1385" s="29" t="s">
        <v>2488</v>
      </c>
      <c r="S1385" s="25" t="n">
        <f>34576774</f>
        <v>3.4576774E7</v>
      </c>
      <c r="T1385" s="25" t="n">
        <f>5377016</f>
        <v>5377016.0</v>
      </c>
      <c r="U1385" s="3" t="s">
        <v>1072</v>
      </c>
      <c r="V1385" s="27" t="n">
        <f>345350000</f>
        <v>3.4535E8</v>
      </c>
      <c r="W1385" s="3" t="s">
        <v>947</v>
      </c>
      <c r="X1385" s="27" t="n">
        <f>270000</f>
        <v>270000.0</v>
      </c>
      <c r="Y1385" s="27" t="n">
        <f>3121</f>
        <v>3121.0</v>
      </c>
      <c r="Z1385" s="25" t="n">
        <f>6020</f>
        <v>6020.0</v>
      </c>
      <c r="AA1385" s="25" t="n">
        <f>300</f>
        <v>300.0</v>
      </c>
      <c r="AB1385" s="2" t="s">
        <v>833</v>
      </c>
      <c r="AC1385" s="26" t="n">
        <f>4650</f>
        <v>4650.0</v>
      </c>
      <c r="AD1385" s="3" t="s">
        <v>1259</v>
      </c>
      <c r="AE1385" s="27" t="n">
        <f>269</f>
        <v>269.0</v>
      </c>
    </row>
    <row r="1386">
      <c r="A1386" s="20" t="s">
        <v>2191</v>
      </c>
      <c r="B1386" s="21" t="s">
        <v>2192</v>
      </c>
      <c r="C1386" s="22" t="s">
        <v>1760</v>
      </c>
      <c r="D1386" s="23" t="s">
        <v>1761</v>
      </c>
      <c r="E1386" s="24" t="s">
        <v>151</v>
      </c>
      <c r="F1386" s="28" t="n">
        <f>122</f>
        <v>122.0</v>
      </c>
      <c r="G1386" s="25" t="n">
        <f>20822</f>
        <v>20822.0</v>
      </c>
      <c r="H1386" s="25"/>
      <c r="I1386" s="25" t="n">
        <f>3755</f>
        <v>3755.0</v>
      </c>
      <c r="J1386" s="25" t="n">
        <f>171</f>
        <v>171.0</v>
      </c>
      <c r="K1386" s="25" t="n">
        <f>31</f>
        <v>31.0</v>
      </c>
      <c r="L1386" s="2" t="s">
        <v>873</v>
      </c>
      <c r="M1386" s="26" t="n">
        <f>1455</f>
        <v>1455.0</v>
      </c>
      <c r="N1386" s="3" t="s">
        <v>201</v>
      </c>
      <c r="O1386" s="27" t="str">
        <f>"－"</f>
        <v>－</v>
      </c>
      <c r="P1386" s="29" t="s">
        <v>2489</v>
      </c>
      <c r="Q1386" s="25"/>
      <c r="R1386" s="29" t="s">
        <v>2490</v>
      </c>
      <c r="S1386" s="25" t="n">
        <f>27438996</f>
        <v>2.7438996E7</v>
      </c>
      <c r="T1386" s="25" t="n">
        <f>7677766</f>
        <v>7677766.0</v>
      </c>
      <c r="U1386" s="3" t="s">
        <v>74</v>
      </c>
      <c r="V1386" s="27" t="n">
        <f>239900000</f>
        <v>2.399E8</v>
      </c>
      <c r="W1386" s="3" t="s">
        <v>201</v>
      </c>
      <c r="X1386" s="27" t="str">
        <f>"－"</f>
        <v>－</v>
      </c>
      <c r="Y1386" s="27" t="n">
        <f>700</f>
        <v>700.0</v>
      </c>
      <c r="Z1386" s="25" t="n">
        <f>4248</f>
        <v>4248.0</v>
      </c>
      <c r="AA1386" s="25" t="n">
        <f>450</f>
        <v>450.0</v>
      </c>
      <c r="AB1386" s="2" t="s">
        <v>161</v>
      </c>
      <c r="AC1386" s="26" t="n">
        <f>3265</f>
        <v>3265.0</v>
      </c>
      <c r="AD1386" s="3" t="s">
        <v>754</v>
      </c>
      <c r="AE1386" s="27" t="n">
        <f>162</f>
        <v>162.0</v>
      </c>
    </row>
    <row r="1387">
      <c r="A1387" s="20" t="s">
        <v>2191</v>
      </c>
      <c r="B1387" s="21" t="s">
        <v>2192</v>
      </c>
      <c r="C1387" s="22" t="s">
        <v>1764</v>
      </c>
      <c r="D1387" s="23" t="s">
        <v>1765</v>
      </c>
      <c r="E1387" s="24" t="s">
        <v>151</v>
      </c>
      <c r="F1387" s="28" t="n">
        <f>122</f>
        <v>122.0</v>
      </c>
      <c r="G1387" s="25" t="n">
        <f>11205</f>
        <v>11205.0</v>
      </c>
      <c r="H1387" s="25"/>
      <c r="I1387" s="25" t="n">
        <f>660</f>
        <v>660.0</v>
      </c>
      <c r="J1387" s="25" t="n">
        <f>92</f>
        <v>92.0</v>
      </c>
      <c r="K1387" s="25" t="n">
        <f>5</f>
        <v>5.0</v>
      </c>
      <c r="L1387" s="2" t="s">
        <v>698</v>
      </c>
      <c r="M1387" s="26" t="n">
        <f>709</f>
        <v>709.0</v>
      </c>
      <c r="N1387" s="3" t="s">
        <v>1132</v>
      </c>
      <c r="O1387" s="27" t="str">
        <f>"－"</f>
        <v>－</v>
      </c>
      <c r="P1387" s="29" t="s">
        <v>2491</v>
      </c>
      <c r="Q1387" s="25"/>
      <c r="R1387" s="29" t="s">
        <v>2492</v>
      </c>
      <c r="S1387" s="25" t="n">
        <f>22639529</f>
        <v>2.2639529E7</v>
      </c>
      <c r="T1387" s="25" t="n">
        <f>1658217</f>
        <v>1658217.0</v>
      </c>
      <c r="U1387" s="3" t="s">
        <v>75</v>
      </c>
      <c r="V1387" s="27" t="n">
        <f>235260000</f>
        <v>2.3526E8</v>
      </c>
      <c r="W1387" s="3" t="s">
        <v>1132</v>
      </c>
      <c r="X1387" s="27" t="str">
        <f>"－"</f>
        <v>－</v>
      </c>
      <c r="Y1387" s="27" t="n">
        <f>2676</f>
        <v>2676.0</v>
      </c>
      <c r="Z1387" s="25" t="n">
        <f>2060</f>
        <v>2060.0</v>
      </c>
      <c r="AA1387" s="25" t="n">
        <f>64</f>
        <v>64.0</v>
      </c>
      <c r="AB1387" s="2" t="s">
        <v>161</v>
      </c>
      <c r="AC1387" s="26" t="n">
        <f>1260</f>
        <v>1260.0</v>
      </c>
      <c r="AD1387" s="3" t="s">
        <v>305</v>
      </c>
      <c r="AE1387" s="27" t="n">
        <f>4</f>
        <v>4.0</v>
      </c>
    </row>
    <row r="1388">
      <c r="A1388" s="20" t="s">
        <v>2191</v>
      </c>
      <c r="B1388" s="21" t="s">
        <v>2192</v>
      </c>
      <c r="C1388" s="22" t="s">
        <v>1768</v>
      </c>
      <c r="D1388" s="23" t="s">
        <v>1769</v>
      </c>
      <c r="E1388" s="24" t="s">
        <v>151</v>
      </c>
      <c r="F1388" s="28" t="n">
        <f>122</f>
        <v>122.0</v>
      </c>
      <c r="G1388" s="25" t="n">
        <f>32027</f>
        <v>32027.0</v>
      </c>
      <c r="H1388" s="25"/>
      <c r="I1388" s="25" t="n">
        <f>4415</f>
        <v>4415.0</v>
      </c>
      <c r="J1388" s="25" t="n">
        <f>263</f>
        <v>263.0</v>
      </c>
      <c r="K1388" s="25" t="n">
        <f>36</f>
        <v>36.0</v>
      </c>
      <c r="L1388" s="2" t="s">
        <v>873</v>
      </c>
      <c r="M1388" s="26" t="n">
        <f>1856</f>
        <v>1856.0</v>
      </c>
      <c r="N1388" s="3" t="s">
        <v>152</v>
      </c>
      <c r="O1388" s="27" t="n">
        <f>12</f>
        <v>12.0</v>
      </c>
      <c r="P1388" s="29" t="s">
        <v>2493</v>
      </c>
      <c r="Q1388" s="25"/>
      <c r="R1388" s="29" t="s">
        <v>2494</v>
      </c>
      <c r="S1388" s="25" t="n">
        <f>50078525</f>
        <v>5.0078525E7</v>
      </c>
      <c r="T1388" s="25" t="n">
        <f>9335984</f>
        <v>9335984.0</v>
      </c>
      <c r="U1388" s="3" t="s">
        <v>74</v>
      </c>
      <c r="V1388" s="27" t="n">
        <f>427390000</f>
        <v>4.2739E8</v>
      </c>
      <c r="W1388" s="3" t="s">
        <v>493</v>
      </c>
      <c r="X1388" s="27" t="n">
        <f>1360000</f>
        <v>1360000.0</v>
      </c>
      <c r="Y1388" s="27" t="n">
        <f>3376</f>
        <v>3376.0</v>
      </c>
      <c r="Z1388" s="25" t="n">
        <f>6308</f>
        <v>6308.0</v>
      </c>
      <c r="AA1388" s="25" t="n">
        <f>514</f>
        <v>514.0</v>
      </c>
      <c r="AB1388" s="2" t="s">
        <v>161</v>
      </c>
      <c r="AC1388" s="26" t="n">
        <f>4525</f>
        <v>4525.0</v>
      </c>
      <c r="AD1388" s="3" t="s">
        <v>1201</v>
      </c>
      <c r="AE1388" s="27" t="n">
        <f>252</f>
        <v>252.0</v>
      </c>
    </row>
    <row r="1389">
      <c r="A1389" s="20" t="s">
        <v>2191</v>
      </c>
      <c r="B1389" s="21" t="s">
        <v>2192</v>
      </c>
      <c r="C1389" s="22" t="s">
        <v>1760</v>
      </c>
      <c r="D1389" s="23" t="s">
        <v>1761</v>
      </c>
      <c r="E1389" s="24" t="s">
        <v>157</v>
      </c>
      <c r="F1389" s="28" t="n">
        <f>124</f>
        <v>124.0</v>
      </c>
      <c r="G1389" s="25" t="n">
        <f>33191</f>
        <v>33191.0</v>
      </c>
      <c r="H1389" s="25"/>
      <c r="I1389" s="25" t="n">
        <f>16919</f>
        <v>16919.0</v>
      </c>
      <c r="J1389" s="25" t="n">
        <f>268</f>
        <v>268.0</v>
      </c>
      <c r="K1389" s="25" t="n">
        <f>136</f>
        <v>136.0</v>
      </c>
      <c r="L1389" s="2" t="s">
        <v>744</v>
      </c>
      <c r="M1389" s="26" t="n">
        <f>1475</f>
        <v>1475.0</v>
      </c>
      <c r="N1389" s="3" t="s">
        <v>67</v>
      </c>
      <c r="O1389" s="27" t="str">
        <f>"－"</f>
        <v>－</v>
      </c>
      <c r="P1389" s="29" t="s">
        <v>2495</v>
      </c>
      <c r="Q1389" s="25"/>
      <c r="R1389" s="29" t="s">
        <v>2496</v>
      </c>
      <c r="S1389" s="25" t="n">
        <f>59297460</f>
        <v>5.929746E7</v>
      </c>
      <c r="T1389" s="25" t="n">
        <f>34619395</f>
        <v>3.4619395E7</v>
      </c>
      <c r="U1389" s="3" t="s">
        <v>744</v>
      </c>
      <c r="V1389" s="27" t="n">
        <f>370000000</f>
        <v>3.7E8</v>
      </c>
      <c r="W1389" s="3" t="s">
        <v>67</v>
      </c>
      <c r="X1389" s="27" t="str">
        <f>"－"</f>
        <v>－</v>
      </c>
      <c r="Y1389" s="27" t="n">
        <f>3858</f>
        <v>3858.0</v>
      </c>
      <c r="Z1389" s="25" t="n">
        <f>23566</f>
        <v>23566.0</v>
      </c>
      <c r="AA1389" s="25" t="n">
        <f>1547</f>
        <v>1547.0</v>
      </c>
      <c r="AB1389" s="2" t="s">
        <v>1084</v>
      </c>
      <c r="AC1389" s="26" t="n">
        <f>4169</f>
        <v>4169.0</v>
      </c>
      <c r="AD1389" s="3" t="s">
        <v>838</v>
      </c>
      <c r="AE1389" s="27" t="n">
        <f>60</f>
        <v>60.0</v>
      </c>
    </row>
    <row r="1390">
      <c r="A1390" s="20" t="s">
        <v>2191</v>
      </c>
      <c r="B1390" s="21" t="s">
        <v>2192</v>
      </c>
      <c r="C1390" s="22" t="s">
        <v>1764</v>
      </c>
      <c r="D1390" s="23" t="s">
        <v>1765</v>
      </c>
      <c r="E1390" s="24" t="s">
        <v>157</v>
      </c>
      <c r="F1390" s="28" t="n">
        <f>124</f>
        <v>124.0</v>
      </c>
      <c r="G1390" s="25" t="n">
        <f>16132</f>
        <v>16132.0</v>
      </c>
      <c r="H1390" s="25"/>
      <c r="I1390" s="25" t="n">
        <f>6713</f>
        <v>6713.0</v>
      </c>
      <c r="J1390" s="25" t="n">
        <f>130</f>
        <v>130.0</v>
      </c>
      <c r="K1390" s="25" t="n">
        <f>54</f>
        <v>54.0</v>
      </c>
      <c r="L1390" s="2" t="s">
        <v>263</v>
      </c>
      <c r="M1390" s="26" t="n">
        <f>1095</f>
        <v>1095.0</v>
      </c>
      <c r="N1390" s="3" t="s">
        <v>891</v>
      </c>
      <c r="O1390" s="27" t="str">
        <f>"－"</f>
        <v>－</v>
      </c>
      <c r="P1390" s="29" t="s">
        <v>2497</v>
      </c>
      <c r="Q1390" s="25"/>
      <c r="R1390" s="29" t="s">
        <v>2498</v>
      </c>
      <c r="S1390" s="25" t="n">
        <f>28742540</f>
        <v>2.874254E7</v>
      </c>
      <c r="T1390" s="25" t="n">
        <f>12275605</f>
        <v>1.2275605E7</v>
      </c>
      <c r="U1390" s="3" t="s">
        <v>237</v>
      </c>
      <c r="V1390" s="27" t="n">
        <f>182590000</f>
        <v>1.8259E8</v>
      </c>
      <c r="W1390" s="3" t="s">
        <v>891</v>
      </c>
      <c r="X1390" s="27" t="str">
        <f>"－"</f>
        <v>－</v>
      </c>
      <c r="Y1390" s="27" t="n">
        <f>2303</f>
        <v>2303.0</v>
      </c>
      <c r="Z1390" s="25" t="n">
        <f>8158</f>
        <v>8158.0</v>
      </c>
      <c r="AA1390" s="25" t="n">
        <f>77</f>
        <v>77.0</v>
      </c>
      <c r="AB1390" s="2" t="s">
        <v>263</v>
      </c>
      <c r="AC1390" s="26" t="n">
        <f>3052</f>
        <v>3052.0</v>
      </c>
      <c r="AD1390" s="3" t="s">
        <v>838</v>
      </c>
      <c r="AE1390" s="27" t="n">
        <f>1</f>
        <v>1.0</v>
      </c>
    </row>
    <row r="1391">
      <c r="A1391" s="20" t="s">
        <v>2191</v>
      </c>
      <c r="B1391" s="21" t="s">
        <v>2192</v>
      </c>
      <c r="C1391" s="22" t="s">
        <v>1768</v>
      </c>
      <c r="D1391" s="23" t="s">
        <v>1769</v>
      </c>
      <c r="E1391" s="24" t="s">
        <v>157</v>
      </c>
      <c r="F1391" s="28" t="n">
        <f>124</f>
        <v>124.0</v>
      </c>
      <c r="G1391" s="25" t="n">
        <f>49323</f>
        <v>49323.0</v>
      </c>
      <c r="H1391" s="25"/>
      <c r="I1391" s="25" t="n">
        <f>23632</f>
        <v>23632.0</v>
      </c>
      <c r="J1391" s="25" t="n">
        <f>398</f>
        <v>398.0</v>
      </c>
      <c r="K1391" s="25" t="n">
        <f>191</f>
        <v>191.0</v>
      </c>
      <c r="L1391" s="2" t="s">
        <v>263</v>
      </c>
      <c r="M1391" s="26" t="n">
        <f>1629</f>
        <v>1629.0</v>
      </c>
      <c r="N1391" s="3" t="s">
        <v>991</v>
      </c>
      <c r="O1391" s="27" t="n">
        <f>26</f>
        <v>26.0</v>
      </c>
      <c r="P1391" s="29" t="s">
        <v>2499</v>
      </c>
      <c r="Q1391" s="25"/>
      <c r="R1391" s="29" t="s">
        <v>2500</v>
      </c>
      <c r="S1391" s="25" t="n">
        <f>88040000</f>
        <v>8.804E7</v>
      </c>
      <c r="T1391" s="25" t="n">
        <f>46895000</f>
        <v>4.6895E7</v>
      </c>
      <c r="U1391" s="3" t="s">
        <v>744</v>
      </c>
      <c r="V1391" s="27" t="n">
        <f>376050000</f>
        <v>3.7605E8</v>
      </c>
      <c r="W1391" s="3" t="s">
        <v>280</v>
      </c>
      <c r="X1391" s="27" t="n">
        <f>4000000</f>
        <v>4000000.0</v>
      </c>
      <c r="Y1391" s="27" t="n">
        <f>6161</f>
        <v>6161.0</v>
      </c>
      <c r="Z1391" s="25" t="n">
        <f>31724</f>
        <v>31724.0</v>
      </c>
      <c r="AA1391" s="25" t="n">
        <f>1624</f>
        <v>1624.0</v>
      </c>
      <c r="AB1391" s="2" t="s">
        <v>263</v>
      </c>
      <c r="AC1391" s="26" t="n">
        <f>6358</f>
        <v>6358.0</v>
      </c>
      <c r="AD1391" s="3" t="s">
        <v>838</v>
      </c>
      <c r="AE1391" s="27" t="n">
        <f>61</f>
        <v>61.0</v>
      </c>
    </row>
    <row r="1392">
      <c r="A1392" s="20" t="s">
        <v>2191</v>
      </c>
      <c r="B1392" s="21" t="s">
        <v>2192</v>
      </c>
      <c r="C1392" s="22" t="s">
        <v>1760</v>
      </c>
      <c r="D1392" s="23" t="s">
        <v>1761</v>
      </c>
      <c r="E1392" s="24" t="s">
        <v>160</v>
      </c>
      <c r="F1392" s="28" t="n">
        <f>58</f>
        <v>58.0</v>
      </c>
      <c r="G1392" s="25" t="n">
        <f>18807</f>
        <v>18807.0</v>
      </c>
      <c r="H1392" s="25"/>
      <c r="I1392" s="25" t="n">
        <f>13247</f>
        <v>13247.0</v>
      </c>
      <c r="J1392" s="25" t="n">
        <f>324</f>
        <v>324.0</v>
      </c>
      <c r="K1392" s="25" t="n">
        <f>228</f>
        <v>228.0</v>
      </c>
      <c r="L1392" s="2" t="s">
        <v>1027</v>
      </c>
      <c r="M1392" s="26" t="n">
        <f>1532</f>
        <v>1532.0</v>
      </c>
      <c r="N1392" s="3" t="s">
        <v>282</v>
      </c>
      <c r="O1392" s="27" t="n">
        <f>6</f>
        <v>6.0</v>
      </c>
      <c r="P1392" s="29" t="s">
        <v>2501</v>
      </c>
      <c r="Q1392" s="25"/>
      <c r="R1392" s="29" t="s">
        <v>2502</v>
      </c>
      <c r="S1392" s="25" t="n">
        <f>65164138</f>
        <v>6.5164138E7</v>
      </c>
      <c r="T1392" s="25" t="n">
        <f>51159310</f>
        <v>5.115931E7</v>
      </c>
      <c r="U1392" s="3" t="s">
        <v>1027</v>
      </c>
      <c r="V1392" s="27" t="n">
        <f>407300000</f>
        <v>4.073E8</v>
      </c>
      <c r="W1392" s="3" t="s">
        <v>282</v>
      </c>
      <c r="X1392" s="27" t="n">
        <f>1140000</f>
        <v>1140000.0</v>
      </c>
      <c r="Y1392" s="27" t="n">
        <f>1777</f>
        <v>1777.0</v>
      </c>
      <c r="Z1392" s="25" t="n">
        <f>22061</f>
        <v>22061.0</v>
      </c>
      <c r="AA1392" s="25" t="n">
        <f>1045</f>
        <v>1045.0</v>
      </c>
      <c r="AB1392" s="2" t="s">
        <v>161</v>
      </c>
      <c r="AC1392" s="26" t="n">
        <f>4460</f>
        <v>4460.0</v>
      </c>
      <c r="AD1392" s="3" t="s">
        <v>2174</v>
      </c>
      <c r="AE1392" s="27" t="n">
        <f>459</f>
        <v>459.0</v>
      </c>
    </row>
    <row r="1393">
      <c r="A1393" s="20" t="s">
        <v>2191</v>
      </c>
      <c r="B1393" s="21" t="s">
        <v>2192</v>
      </c>
      <c r="C1393" s="22" t="s">
        <v>1764</v>
      </c>
      <c r="D1393" s="23" t="s">
        <v>1765</v>
      </c>
      <c r="E1393" s="24" t="s">
        <v>160</v>
      </c>
      <c r="F1393" s="28" t="n">
        <f>58</f>
        <v>58.0</v>
      </c>
      <c r="G1393" s="25" t="n">
        <f>6009</f>
        <v>6009.0</v>
      </c>
      <c r="H1393" s="25"/>
      <c r="I1393" s="25" t="n">
        <f>3221</f>
        <v>3221.0</v>
      </c>
      <c r="J1393" s="25" t="n">
        <f>104</f>
        <v>104.0</v>
      </c>
      <c r="K1393" s="25" t="n">
        <f>56</f>
        <v>56.0</v>
      </c>
      <c r="L1393" s="2" t="s">
        <v>1027</v>
      </c>
      <c r="M1393" s="26" t="n">
        <f>278</f>
        <v>278.0</v>
      </c>
      <c r="N1393" s="3" t="s">
        <v>282</v>
      </c>
      <c r="O1393" s="27" t="n">
        <f>1</f>
        <v>1.0</v>
      </c>
      <c r="P1393" s="29" t="s">
        <v>2503</v>
      </c>
      <c r="Q1393" s="25"/>
      <c r="R1393" s="29" t="s">
        <v>2504</v>
      </c>
      <c r="S1393" s="25" t="n">
        <f>22557241</f>
        <v>2.2557241E7</v>
      </c>
      <c r="T1393" s="25" t="n">
        <f>13925000</f>
        <v>1.3925E7</v>
      </c>
      <c r="U1393" s="3" t="s">
        <v>147</v>
      </c>
      <c r="V1393" s="27" t="n">
        <f>123630000</f>
        <v>1.2363E8</v>
      </c>
      <c r="W1393" s="3" t="s">
        <v>282</v>
      </c>
      <c r="X1393" s="27" t="n">
        <f>50000</f>
        <v>50000.0</v>
      </c>
      <c r="Y1393" s="27" t="n">
        <f>921</f>
        <v>921.0</v>
      </c>
      <c r="Z1393" s="25" t="n">
        <f>4948</f>
        <v>4948.0</v>
      </c>
      <c r="AA1393" s="25" t="n">
        <f>312</f>
        <v>312.0</v>
      </c>
      <c r="AB1393" s="2" t="s">
        <v>177</v>
      </c>
      <c r="AC1393" s="26" t="n">
        <f>1691</f>
        <v>1691.0</v>
      </c>
      <c r="AD1393" s="3" t="s">
        <v>2174</v>
      </c>
      <c r="AE1393" s="27" t="n">
        <f>51</f>
        <v>51.0</v>
      </c>
    </row>
    <row r="1394">
      <c r="A1394" s="20" t="s">
        <v>2191</v>
      </c>
      <c r="B1394" s="21" t="s">
        <v>2192</v>
      </c>
      <c r="C1394" s="22" t="s">
        <v>1768</v>
      </c>
      <c r="D1394" s="23" t="s">
        <v>1769</v>
      </c>
      <c r="E1394" s="24" t="s">
        <v>160</v>
      </c>
      <c r="F1394" s="28" t="n">
        <f>58</f>
        <v>58.0</v>
      </c>
      <c r="G1394" s="25" t="n">
        <f>24816</f>
        <v>24816.0</v>
      </c>
      <c r="H1394" s="25"/>
      <c r="I1394" s="25" t="n">
        <f>16468</f>
        <v>16468.0</v>
      </c>
      <c r="J1394" s="25" t="n">
        <f>428</f>
        <v>428.0</v>
      </c>
      <c r="K1394" s="25" t="n">
        <f>284</f>
        <v>284.0</v>
      </c>
      <c r="L1394" s="2" t="s">
        <v>1027</v>
      </c>
      <c r="M1394" s="26" t="n">
        <f>1810</f>
        <v>1810.0</v>
      </c>
      <c r="N1394" s="3" t="s">
        <v>282</v>
      </c>
      <c r="O1394" s="27" t="n">
        <f>7</f>
        <v>7.0</v>
      </c>
      <c r="P1394" s="29" t="s">
        <v>2505</v>
      </c>
      <c r="Q1394" s="25"/>
      <c r="R1394" s="29" t="s">
        <v>2506</v>
      </c>
      <c r="S1394" s="25" t="n">
        <f>87721379</f>
        <v>8.7721379E7</v>
      </c>
      <c r="T1394" s="25" t="n">
        <f>65084310</f>
        <v>6.508431E7</v>
      </c>
      <c r="U1394" s="3" t="s">
        <v>1027</v>
      </c>
      <c r="V1394" s="27" t="n">
        <f>500550000</f>
        <v>5.0055E8</v>
      </c>
      <c r="W1394" s="3" t="s">
        <v>282</v>
      </c>
      <c r="X1394" s="27" t="n">
        <f>1190000</f>
        <v>1190000.0</v>
      </c>
      <c r="Y1394" s="27" t="n">
        <f>2698</f>
        <v>2698.0</v>
      </c>
      <c r="Z1394" s="25" t="n">
        <f>27009</f>
        <v>27009.0</v>
      </c>
      <c r="AA1394" s="25" t="n">
        <f>1357</f>
        <v>1357.0</v>
      </c>
      <c r="AB1394" s="2" t="s">
        <v>177</v>
      </c>
      <c r="AC1394" s="26" t="n">
        <f>6130</f>
        <v>6130.0</v>
      </c>
      <c r="AD1394" s="3" t="s">
        <v>2174</v>
      </c>
      <c r="AE1394" s="27" t="n">
        <f>510</f>
        <v>510.0</v>
      </c>
    </row>
    <row r="1395">
      <c r="A1395" s="20" t="s">
        <v>2507</v>
      </c>
      <c r="B1395" s="21" t="s">
        <v>2508</v>
      </c>
      <c r="C1395" s="22" t="s">
        <v>1760</v>
      </c>
      <c r="D1395" s="23" t="s">
        <v>1761</v>
      </c>
      <c r="E1395" s="24" t="s">
        <v>330</v>
      </c>
      <c r="F1395" s="28" t="n">
        <f>111</f>
        <v>111.0</v>
      </c>
      <c r="G1395" s="25" t="n">
        <f>25249</f>
        <v>25249.0</v>
      </c>
      <c r="H1395" s="25"/>
      <c r="I1395" s="25" t="str">
        <f>"－"</f>
        <v>－</v>
      </c>
      <c r="J1395" s="25" t="n">
        <f>227</f>
        <v>227.0</v>
      </c>
      <c r="K1395" s="25" t="str">
        <f>"－"</f>
        <v>－</v>
      </c>
      <c r="L1395" s="2" t="s">
        <v>229</v>
      </c>
      <c r="M1395" s="26" t="n">
        <f>3037</f>
        <v>3037.0</v>
      </c>
      <c r="N1395" s="3" t="s">
        <v>705</v>
      </c>
      <c r="O1395" s="27" t="n">
        <f>2</f>
        <v>2.0</v>
      </c>
      <c r="P1395" s="29" t="s">
        <v>2509</v>
      </c>
      <c r="Q1395" s="25"/>
      <c r="R1395" s="29" t="s">
        <v>262</v>
      </c>
      <c r="S1395" s="25" t="n">
        <f>12135491</f>
        <v>1.2135491E7</v>
      </c>
      <c r="T1395" s="25" t="str">
        <f>"－"</f>
        <v>－</v>
      </c>
      <c r="U1395" s="3" t="s">
        <v>81</v>
      </c>
      <c r="V1395" s="27" t="n">
        <f>74695000</f>
        <v>7.4695E7</v>
      </c>
      <c r="W1395" s="3" t="s">
        <v>129</v>
      </c>
      <c r="X1395" s="27" t="n">
        <f>44000</f>
        <v>44000.0</v>
      </c>
      <c r="Y1395" s="27" t="n">
        <f>2951</f>
        <v>2951.0</v>
      </c>
      <c r="Z1395" s="25" t="str">
        <f>"－"</f>
        <v>－</v>
      </c>
      <c r="AA1395" s="25" t="n">
        <f>3800</f>
        <v>3800.0</v>
      </c>
      <c r="AB1395" s="2" t="s">
        <v>125</v>
      </c>
      <c r="AC1395" s="26" t="n">
        <f>5981</f>
        <v>5981.0</v>
      </c>
      <c r="AD1395" s="3" t="s">
        <v>1166</v>
      </c>
      <c r="AE1395" s="27" t="n">
        <f>172</f>
        <v>172.0</v>
      </c>
    </row>
    <row r="1396">
      <c r="A1396" s="20" t="s">
        <v>2507</v>
      </c>
      <c r="B1396" s="21" t="s">
        <v>2508</v>
      </c>
      <c r="C1396" s="22" t="s">
        <v>1764</v>
      </c>
      <c r="D1396" s="23" t="s">
        <v>1765</v>
      </c>
      <c r="E1396" s="24" t="s">
        <v>330</v>
      </c>
      <c r="F1396" s="28" t="n">
        <f>111</f>
        <v>111.0</v>
      </c>
      <c r="G1396" s="25" t="n">
        <f>45647</f>
        <v>45647.0</v>
      </c>
      <c r="H1396" s="25"/>
      <c r="I1396" s="25" t="str">
        <f>"－"</f>
        <v>－</v>
      </c>
      <c r="J1396" s="25" t="n">
        <f>411</f>
        <v>411.0</v>
      </c>
      <c r="K1396" s="25" t="str">
        <f>"－"</f>
        <v>－</v>
      </c>
      <c r="L1396" s="2" t="s">
        <v>309</v>
      </c>
      <c r="M1396" s="26" t="n">
        <f>3564</f>
        <v>3564.0</v>
      </c>
      <c r="N1396" s="3" t="s">
        <v>252</v>
      </c>
      <c r="O1396" s="27" t="n">
        <f>3</f>
        <v>3.0</v>
      </c>
      <c r="P1396" s="29" t="s">
        <v>2510</v>
      </c>
      <c r="Q1396" s="25"/>
      <c r="R1396" s="29" t="s">
        <v>262</v>
      </c>
      <c r="S1396" s="25" t="n">
        <f>19612545</f>
        <v>1.9612545E7</v>
      </c>
      <c r="T1396" s="25" t="str">
        <f>"－"</f>
        <v>－</v>
      </c>
      <c r="U1396" s="3" t="s">
        <v>1259</v>
      </c>
      <c r="V1396" s="27" t="n">
        <f>149671500</f>
        <v>1.496715E8</v>
      </c>
      <c r="W1396" s="3" t="s">
        <v>106</v>
      </c>
      <c r="X1396" s="27" t="n">
        <f>125000</f>
        <v>125000.0</v>
      </c>
      <c r="Y1396" s="27" t="n">
        <f>761</f>
        <v>761.0</v>
      </c>
      <c r="Z1396" s="25" t="str">
        <f>"－"</f>
        <v>－</v>
      </c>
      <c r="AA1396" s="25" t="n">
        <f>1610</f>
        <v>1610.0</v>
      </c>
      <c r="AB1396" s="2" t="s">
        <v>1067</v>
      </c>
      <c r="AC1396" s="26" t="n">
        <f>11780</f>
        <v>11780.0</v>
      </c>
      <c r="AD1396" s="3" t="s">
        <v>95</v>
      </c>
      <c r="AE1396" s="27" t="n">
        <f>385</f>
        <v>385.0</v>
      </c>
    </row>
    <row r="1397">
      <c r="A1397" s="20" t="s">
        <v>2507</v>
      </c>
      <c r="B1397" s="21" t="s">
        <v>2508</v>
      </c>
      <c r="C1397" s="22" t="s">
        <v>1768</v>
      </c>
      <c r="D1397" s="23" t="s">
        <v>1769</v>
      </c>
      <c r="E1397" s="24" t="s">
        <v>330</v>
      </c>
      <c r="F1397" s="28" t="n">
        <f>111</f>
        <v>111.0</v>
      </c>
      <c r="G1397" s="25" t="n">
        <f>70896</f>
        <v>70896.0</v>
      </c>
      <c r="H1397" s="25"/>
      <c r="I1397" s="25" t="str">
        <f>"－"</f>
        <v>－</v>
      </c>
      <c r="J1397" s="25" t="n">
        <f>639</f>
        <v>639.0</v>
      </c>
      <c r="K1397" s="25" t="str">
        <f>"－"</f>
        <v>－</v>
      </c>
      <c r="L1397" s="2" t="s">
        <v>309</v>
      </c>
      <c r="M1397" s="26" t="n">
        <f>4989</f>
        <v>4989.0</v>
      </c>
      <c r="N1397" s="3" t="s">
        <v>1063</v>
      </c>
      <c r="O1397" s="27" t="n">
        <f>9</f>
        <v>9.0</v>
      </c>
      <c r="P1397" s="29" t="s">
        <v>2511</v>
      </c>
      <c r="Q1397" s="25"/>
      <c r="R1397" s="29" t="s">
        <v>262</v>
      </c>
      <c r="S1397" s="25" t="n">
        <f>31748036</f>
        <v>3.1748036E7</v>
      </c>
      <c r="T1397" s="25" t="str">
        <f>"－"</f>
        <v>－</v>
      </c>
      <c r="U1397" s="3" t="s">
        <v>1259</v>
      </c>
      <c r="V1397" s="27" t="n">
        <f>163713000</f>
        <v>1.63713E8</v>
      </c>
      <c r="W1397" s="3" t="s">
        <v>106</v>
      </c>
      <c r="X1397" s="27" t="n">
        <f>207500</f>
        <v>207500.0</v>
      </c>
      <c r="Y1397" s="27" t="n">
        <f>3712</f>
        <v>3712.0</v>
      </c>
      <c r="Z1397" s="25" t="str">
        <f>"－"</f>
        <v>－</v>
      </c>
      <c r="AA1397" s="25" t="n">
        <f>5410</f>
        <v>5410.0</v>
      </c>
      <c r="AB1397" s="2" t="s">
        <v>1067</v>
      </c>
      <c r="AC1397" s="26" t="n">
        <f>17496</f>
        <v>17496.0</v>
      </c>
      <c r="AD1397" s="3" t="s">
        <v>95</v>
      </c>
      <c r="AE1397" s="27" t="n">
        <f>584</f>
        <v>584.0</v>
      </c>
    </row>
    <row r="1398">
      <c r="A1398" s="20" t="s">
        <v>2507</v>
      </c>
      <c r="B1398" s="21" t="s">
        <v>2508</v>
      </c>
      <c r="C1398" s="22" t="s">
        <v>1760</v>
      </c>
      <c r="D1398" s="23" t="s">
        <v>1761</v>
      </c>
      <c r="E1398" s="24" t="s">
        <v>336</v>
      </c>
      <c r="F1398" s="28" t="n">
        <f>122</f>
        <v>122.0</v>
      </c>
      <c r="G1398" s="25" t="n">
        <f>6490</f>
        <v>6490.0</v>
      </c>
      <c r="H1398" s="25"/>
      <c r="I1398" s="25" t="str">
        <f>"－"</f>
        <v>－</v>
      </c>
      <c r="J1398" s="25" t="n">
        <f>53</f>
        <v>53.0</v>
      </c>
      <c r="K1398" s="25" t="str">
        <f>"－"</f>
        <v>－</v>
      </c>
      <c r="L1398" s="2" t="s">
        <v>108</v>
      </c>
      <c r="M1398" s="26" t="n">
        <f>1000</f>
        <v>1000.0</v>
      </c>
      <c r="N1398" s="3" t="s">
        <v>188</v>
      </c>
      <c r="O1398" s="27" t="n">
        <f>1</f>
        <v>1.0</v>
      </c>
      <c r="P1398" s="29" t="s">
        <v>2512</v>
      </c>
      <c r="Q1398" s="25"/>
      <c r="R1398" s="29" t="s">
        <v>262</v>
      </c>
      <c r="S1398" s="25" t="n">
        <f>1493680</f>
        <v>1493680.0</v>
      </c>
      <c r="T1398" s="25" t="str">
        <f>"－"</f>
        <v>－</v>
      </c>
      <c r="U1398" s="3" t="s">
        <v>315</v>
      </c>
      <c r="V1398" s="27" t="n">
        <f>16640000</f>
        <v>1.664E7</v>
      </c>
      <c r="W1398" s="3" t="s">
        <v>204</v>
      </c>
      <c r="X1398" s="27" t="n">
        <f>2000</f>
        <v>2000.0</v>
      </c>
      <c r="Y1398" s="27" t="n">
        <f>235</f>
        <v>235.0</v>
      </c>
      <c r="Z1398" s="25" t="str">
        <f>"－"</f>
        <v>－</v>
      </c>
      <c r="AA1398" s="25" t="n">
        <f>2302</f>
        <v>2302.0</v>
      </c>
      <c r="AB1398" s="2" t="s">
        <v>88</v>
      </c>
      <c r="AC1398" s="26" t="n">
        <f>5896</f>
        <v>5896.0</v>
      </c>
      <c r="AD1398" s="3" t="s">
        <v>101</v>
      </c>
      <c r="AE1398" s="27" t="n">
        <f>1029</f>
        <v>1029.0</v>
      </c>
    </row>
    <row r="1399">
      <c r="A1399" s="20" t="s">
        <v>2507</v>
      </c>
      <c r="B1399" s="21" t="s">
        <v>2508</v>
      </c>
      <c r="C1399" s="22" t="s">
        <v>1764</v>
      </c>
      <c r="D1399" s="23" t="s">
        <v>1765</v>
      </c>
      <c r="E1399" s="24" t="s">
        <v>336</v>
      </c>
      <c r="F1399" s="28" t="n">
        <f>122</f>
        <v>122.0</v>
      </c>
      <c r="G1399" s="25" t="n">
        <f>23740</f>
        <v>23740.0</v>
      </c>
      <c r="H1399" s="25"/>
      <c r="I1399" s="25" t="str">
        <f>"－"</f>
        <v>－</v>
      </c>
      <c r="J1399" s="25" t="n">
        <f>195</f>
        <v>195.0</v>
      </c>
      <c r="K1399" s="25" t="str">
        <f>"－"</f>
        <v>－</v>
      </c>
      <c r="L1399" s="2" t="s">
        <v>479</v>
      </c>
      <c r="M1399" s="26" t="n">
        <f>3204</f>
        <v>3204.0</v>
      </c>
      <c r="N1399" s="3" t="s">
        <v>134</v>
      </c>
      <c r="O1399" s="27" t="n">
        <f>1</f>
        <v>1.0</v>
      </c>
      <c r="P1399" s="29" t="s">
        <v>2513</v>
      </c>
      <c r="Q1399" s="25"/>
      <c r="R1399" s="29" t="s">
        <v>262</v>
      </c>
      <c r="S1399" s="25" t="n">
        <f>4161988</f>
        <v>4161988.0</v>
      </c>
      <c r="T1399" s="25" t="str">
        <f>"－"</f>
        <v>－</v>
      </c>
      <c r="U1399" s="3" t="s">
        <v>634</v>
      </c>
      <c r="V1399" s="27" t="n">
        <f>71622000</f>
        <v>7.1622E7</v>
      </c>
      <c r="W1399" s="3" t="s">
        <v>1292</v>
      </c>
      <c r="X1399" s="27" t="n">
        <f>6000</f>
        <v>6000.0</v>
      </c>
      <c r="Y1399" s="27" t="n">
        <f>1931</f>
        <v>1931.0</v>
      </c>
      <c r="Z1399" s="25" t="str">
        <f>"－"</f>
        <v>－</v>
      </c>
      <c r="AA1399" s="25" t="n">
        <f>5105</f>
        <v>5105.0</v>
      </c>
      <c r="AB1399" s="2" t="s">
        <v>307</v>
      </c>
      <c r="AC1399" s="26" t="n">
        <f>11534</f>
        <v>11534.0</v>
      </c>
      <c r="AD1399" s="3" t="s">
        <v>290</v>
      </c>
      <c r="AE1399" s="27" t="n">
        <f>48</f>
        <v>48.0</v>
      </c>
    </row>
    <row r="1400">
      <c r="A1400" s="20" t="s">
        <v>2507</v>
      </c>
      <c r="B1400" s="21" t="s">
        <v>2508</v>
      </c>
      <c r="C1400" s="22" t="s">
        <v>1768</v>
      </c>
      <c r="D1400" s="23" t="s">
        <v>1769</v>
      </c>
      <c r="E1400" s="24" t="s">
        <v>336</v>
      </c>
      <c r="F1400" s="28" t="n">
        <f>122</f>
        <v>122.0</v>
      </c>
      <c r="G1400" s="25" t="n">
        <f>30230</f>
        <v>30230.0</v>
      </c>
      <c r="H1400" s="25"/>
      <c r="I1400" s="25" t="str">
        <f>"－"</f>
        <v>－</v>
      </c>
      <c r="J1400" s="25" t="n">
        <f>248</f>
        <v>248.0</v>
      </c>
      <c r="K1400" s="25" t="str">
        <f>"－"</f>
        <v>－</v>
      </c>
      <c r="L1400" s="2" t="s">
        <v>479</v>
      </c>
      <c r="M1400" s="26" t="n">
        <f>3443</f>
        <v>3443.0</v>
      </c>
      <c r="N1400" s="3" t="s">
        <v>528</v>
      </c>
      <c r="O1400" s="27" t="n">
        <f>3</f>
        <v>3.0</v>
      </c>
      <c r="P1400" s="29" t="s">
        <v>2514</v>
      </c>
      <c r="Q1400" s="25"/>
      <c r="R1400" s="29" t="s">
        <v>262</v>
      </c>
      <c r="S1400" s="25" t="n">
        <f>5655668</f>
        <v>5655668.0</v>
      </c>
      <c r="T1400" s="25" t="str">
        <f>"－"</f>
        <v>－</v>
      </c>
      <c r="U1400" s="3" t="s">
        <v>634</v>
      </c>
      <c r="V1400" s="27" t="n">
        <f>76024000</f>
        <v>7.6024E7</v>
      </c>
      <c r="W1400" s="3" t="s">
        <v>1292</v>
      </c>
      <c r="X1400" s="27" t="n">
        <f>32500</f>
        <v>32500.0</v>
      </c>
      <c r="Y1400" s="27" t="n">
        <f>2166</f>
        <v>2166.0</v>
      </c>
      <c r="Z1400" s="25" t="str">
        <f>"－"</f>
        <v>－</v>
      </c>
      <c r="AA1400" s="25" t="n">
        <f>7407</f>
        <v>7407.0</v>
      </c>
      <c r="AB1400" s="2" t="s">
        <v>307</v>
      </c>
      <c r="AC1400" s="26" t="n">
        <f>17429</f>
        <v>17429.0</v>
      </c>
      <c r="AD1400" s="3" t="s">
        <v>290</v>
      </c>
      <c r="AE1400" s="27" t="n">
        <f>3513</f>
        <v>3513.0</v>
      </c>
    </row>
    <row r="1401">
      <c r="A1401" s="20" t="s">
        <v>2507</v>
      </c>
      <c r="B1401" s="21" t="s">
        <v>2508</v>
      </c>
      <c r="C1401" s="22" t="s">
        <v>1760</v>
      </c>
      <c r="D1401" s="23" t="s">
        <v>1761</v>
      </c>
      <c r="E1401" s="24" t="s">
        <v>338</v>
      </c>
      <c r="F1401" s="28" t="n">
        <f>125</f>
        <v>125.0</v>
      </c>
      <c r="G1401" s="25" t="n">
        <f>23458</f>
        <v>23458.0</v>
      </c>
      <c r="H1401" s="25"/>
      <c r="I1401" s="25" t="str">
        <f>"－"</f>
        <v>－</v>
      </c>
      <c r="J1401" s="25" t="n">
        <f>188</f>
        <v>188.0</v>
      </c>
      <c r="K1401" s="25" t="str">
        <f>"－"</f>
        <v>－</v>
      </c>
      <c r="L1401" s="2" t="s">
        <v>192</v>
      </c>
      <c r="M1401" s="26" t="n">
        <f>2339</f>
        <v>2339.0</v>
      </c>
      <c r="N1401" s="3" t="s">
        <v>744</v>
      </c>
      <c r="O1401" s="27" t="n">
        <f>1</f>
        <v>1.0</v>
      </c>
      <c r="P1401" s="29" t="s">
        <v>2515</v>
      </c>
      <c r="Q1401" s="25"/>
      <c r="R1401" s="29" t="s">
        <v>262</v>
      </c>
      <c r="S1401" s="25" t="n">
        <f>6230471</f>
        <v>6230471.0</v>
      </c>
      <c r="T1401" s="25" t="str">
        <f>"－"</f>
        <v>－</v>
      </c>
      <c r="U1401" s="3" t="s">
        <v>334</v>
      </c>
      <c r="V1401" s="27" t="n">
        <f>44405000</f>
        <v>4.4405E7</v>
      </c>
      <c r="W1401" s="3" t="s">
        <v>259</v>
      </c>
      <c r="X1401" s="27" t="n">
        <f>10000</f>
        <v>10000.0</v>
      </c>
      <c r="Y1401" s="27" t="n">
        <f>2215</f>
        <v>2215.0</v>
      </c>
      <c r="Z1401" s="25" t="str">
        <f>"－"</f>
        <v>－</v>
      </c>
      <c r="AA1401" s="25" t="n">
        <f>3739</f>
        <v>3739.0</v>
      </c>
      <c r="AB1401" s="2" t="s">
        <v>137</v>
      </c>
      <c r="AC1401" s="26" t="n">
        <f>5955</f>
        <v>5955.0</v>
      </c>
      <c r="AD1401" s="3" t="s">
        <v>854</v>
      </c>
      <c r="AE1401" s="27" t="n">
        <f>1054</f>
        <v>1054.0</v>
      </c>
    </row>
    <row r="1402">
      <c r="A1402" s="20" t="s">
        <v>2507</v>
      </c>
      <c r="B1402" s="21" t="s">
        <v>2508</v>
      </c>
      <c r="C1402" s="22" t="s">
        <v>1764</v>
      </c>
      <c r="D1402" s="23" t="s">
        <v>1765</v>
      </c>
      <c r="E1402" s="24" t="s">
        <v>338</v>
      </c>
      <c r="F1402" s="28" t="n">
        <f>125</f>
        <v>125.0</v>
      </c>
      <c r="G1402" s="25" t="n">
        <f>28272</f>
        <v>28272.0</v>
      </c>
      <c r="H1402" s="25"/>
      <c r="I1402" s="25" t="str">
        <f>"－"</f>
        <v>－</v>
      </c>
      <c r="J1402" s="25" t="n">
        <f>226</f>
        <v>226.0</v>
      </c>
      <c r="K1402" s="25" t="str">
        <f>"－"</f>
        <v>－</v>
      </c>
      <c r="L1402" s="2" t="s">
        <v>1097</v>
      </c>
      <c r="M1402" s="26" t="n">
        <f>6286</f>
        <v>6286.0</v>
      </c>
      <c r="N1402" s="3" t="s">
        <v>1100</v>
      </c>
      <c r="O1402" s="27" t="n">
        <f>2</f>
        <v>2.0</v>
      </c>
      <c r="P1402" s="29" t="s">
        <v>2516</v>
      </c>
      <c r="Q1402" s="25"/>
      <c r="R1402" s="29" t="s">
        <v>262</v>
      </c>
      <c r="S1402" s="25" t="n">
        <f>4303605</f>
        <v>4303605.0</v>
      </c>
      <c r="T1402" s="25" t="str">
        <f>"－"</f>
        <v>－</v>
      </c>
      <c r="U1402" s="3" t="s">
        <v>879</v>
      </c>
      <c r="V1402" s="27" t="n">
        <f>44457250</f>
        <v>4.445725E7</v>
      </c>
      <c r="W1402" s="3" t="s">
        <v>671</v>
      </c>
      <c r="X1402" s="27" t="n">
        <f>2000</f>
        <v>2000.0</v>
      </c>
      <c r="Y1402" s="27" t="n">
        <f>2711</f>
        <v>2711.0</v>
      </c>
      <c r="Z1402" s="25" t="str">
        <f>"－"</f>
        <v>－</v>
      </c>
      <c r="AA1402" s="25" t="n">
        <f>2956</f>
        <v>2956.0</v>
      </c>
      <c r="AB1402" s="2" t="s">
        <v>206</v>
      </c>
      <c r="AC1402" s="26" t="n">
        <f>10748</f>
        <v>10748.0</v>
      </c>
      <c r="AD1402" s="3" t="s">
        <v>295</v>
      </c>
      <c r="AE1402" s="27" t="n">
        <f>971</f>
        <v>971.0</v>
      </c>
    </row>
    <row r="1403">
      <c r="A1403" s="20" t="s">
        <v>2507</v>
      </c>
      <c r="B1403" s="21" t="s">
        <v>2508</v>
      </c>
      <c r="C1403" s="22" t="s">
        <v>1768</v>
      </c>
      <c r="D1403" s="23" t="s">
        <v>1769</v>
      </c>
      <c r="E1403" s="24" t="s">
        <v>338</v>
      </c>
      <c r="F1403" s="28" t="n">
        <f>125</f>
        <v>125.0</v>
      </c>
      <c r="G1403" s="25" t="n">
        <f>51730</f>
        <v>51730.0</v>
      </c>
      <c r="H1403" s="25"/>
      <c r="I1403" s="25" t="str">
        <f>"－"</f>
        <v>－</v>
      </c>
      <c r="J1403" s="25" t="n">
        <f>414</f>
        <v>414.0</v>
      </c>
      <c r="K1403" s="25" t="str">
        <f>"－"</f>
        <v>－</v>
      </c>
      <c r="L1403" s="2" t="s">
        <v>1097</v>
      </c>
      <c r="M1403" s="26" t="n">
        <f>6646</f>
        <v>6646.0</v>
      </c>
      <c r="N1403" s="3" t="s">
        <v>994</v>
      </c>
      <c r="O1403" s="27" t="n">
        <f>4</f>
        <v>4.0</v>
      </c>
      <c r="P1403" s="29" t="s">
        <v>2517</v>
      </c>
      <c r="Q1403" s="25"/>
      <c r="R1403" s="29" t="s">
        <v>262</v>
      </c>
      <c r="S1403" s="25" t="n">
        <f>10534076</f>
        <v>1.0534076E7</v>
      </c>
      <c r="T1403" s="25" t="str">
        <f>"－"</f>
        <v>－</v>
      </c>
      <c r="U1403" s="3" t="s">
        <v>879</v>
      </c>
      <c r="V1403" s="27" t="n">
        <f>53942250</f>
        <v>5.394225E7</v>
      </c>
      <c r="W1403" s="3" t="s">
        <v>994</v>
      </c>
      <c r="X1403" s="27" t="n">
        <f>80500</f>
        <v>80500.0</v>
      </c>
      <c r="Y1403" s="27" t="n">
        <f>4926</f>
        <v>4926.0</v>
      </c>
      <c r="Z1403" s="25" t="str">
        <f>"－"</f>
        <v>－</v>
      </c>
      <c r="AA1403" s="25" t="n">
        <f>6695</f>
        <v>6695.0</v>
      </c>
      <c r="AB1403" s="2" t="s">
        <v>206</v>
      </c>
      <c r="AC1403" s="26" t="n">
        <f>15129</f>
        <v>15129.0</v>
      </c>
      <c r="AD1403" s="3" t="s">
        <v>295</v>
      </c>
      <c r="AE1403" s="27" t="n">
        <f>2175</f>
        <v>2175.0</v>
      </c>
    </row>
    <row r="1404">
      <c r="A1404" s="20" t="s">
        <v>2507</v>
      </c>
      <c r="B1404" s="21" t="s">
        <v>2508</v>
      </c>
      <c r="C1404" s="22" t="s">
        <v>1760</v>
      </c>
      <c r="D1404" s="23" t="s">
        <v>1761</v>
      </c>
      <c r="E1404" s="24" t="s">
        <v>342</v>
      </c>
      <c r="F1404" s="28" t="n">
        <f>121</f>
        <v>121.0</v>
      </c>
      <c r="G1404" s="25" t="n">
        <f>52148</f>
        <v>52148.0</v>
      </c>
      <c r="H1404" s="25"/>
      <c r="I1404" s="25" t="str">
        <f>"－"</f>
        <v>－</v>
      </c>
      <c r="J1404" s="25" t="n">
        <f>431</f>
        <v>431.0</v>
      </c>
      <c r="K1404" s="25" t="str">
        <f>"－"</f>
        <v>－</v>
      </c>
      <c r="L1404" s="2" t="s">
        <v>2202</v>
      </c>
      <c r="M1404" s="26" t="n">
        <f>7633</f>
        <v>7633.0</v>
      </c>
      <c r="N1404" s="3" t="s">
        <v>156</v>
      </c>
      <c r="O1404" s="27" t="n">
        <f>1</f>
        <v>1.0</v>
      </c>
      <c r="P1404" s="29" t="s">
        <v>2518</v>
      </c>
      <c r="Q1404" s="25"/>
      <c r="R1404" s="29" t="s">
        <v>262</v>
      </c>
      <c r="S1404" s="25" t="n">
        <f>17050179</f>
        <v>1.7050179E7</v>
      </c>
      <c r="T1404" s="25" t="str">
        <f>"－"</f>
        <v>－</v>
      </c>
      <c r="U1404" s="3" t="s">
        <v>328</v>
      </c>
      <c r="V1404" s="27" t="n">
        <f>120952750</f>
        <v>1.2095275E8</v>
      </c>
      <c r="W1404" s="3" t="s">
        <v>156</v>
      </c>
      <c r="X1404" s="27" t="n">
        <f>15000</f>
        <v>15000.0</v>
      </c>
      <c r="Y1404" s="27" t="n">
        <f>2018</f>
        <v>2018.0</v>
      </c>
      <c r="Z1404" s="25" t="str">
        <f>"－"</f>
        <v>－</v>
      </c>
      <c r="AA1404" s="25" t="n">
        <f>10769</f>
        <v>10769.0</v>
      </c>
      <c r="AB1404" s="2" t="s">
        <v>88</v>
      </c>
      <c r="AC1404" s="26" t="n">
        <f>18652</f>
        <v>18652.0</v>
      </c>
      <c r="AD1404" s="3" t="s">
        <v>369</v>
      </c>
      <c r="AE1404" s="27" t="n">
        <f>2365</f>
        <v>2365.0</v>
      </c>
    </row>
    <row r="1405">
      <c r="A1405" s="20" t="s">
        <v>2507</v>
      </c>
      <c r="B1405" s="21" t="s">
        <v>2508</v>
      </c>
      <c r="C1405" s="22" t="s">
        <v>1764</v>
      </c>
      <c r="D1405" s="23" t="s">
        <v>1765</v>
      </c>
      <c r="E1405" s="24" t="s">
        <v>342</v>
      </c>
      <c r="F1405" s="28" t="n">
        <f>121</f>
        <v>121.0</v>
      </c>
      <c r="G1405" s="25" t="n">
        <f>43664</f>
        <v>43664.0</v>
      </c>
      <c r="H1405" s="25"/>
      <c r="I1405" s="25" t="str">
        <f>"－"</f>
        <v>－</v>
      </c>
      <c r="J1405" s="25" t="n">
        <f>361</f>
        <v>361.0</v>
      </c>
      <c r="K1405" s="25" t="str">
        <f>"－"</f>
        <v>－</v>
      </c>
      <c r="L1405" s="2" t="s">
        <v>88</v>
      </c>
      <c r="M1405" s="26" t="n">
        <f>4162</f>
        <v>4162.0</v>
      </c>
      <c r="N1405" s="3" t="s">
        <v>156</v>
      </c>
      <c r="O1405" s="27" t="n">
        <f>1</f>
        <v>1.0</v>
      </c>
      <c r="P1405" s="29" t="s">
        <v>2519</v>
      </c>
      <c r="Q1405" s="25"/>
      <c r="R1405" s="29" t="s">
        <v>262</v>
      </c>
      <c r="S1405" s="25" t="n">
        <f>8811791</f>
        <v>8811791.0</v>
      </c>
      <c r="T1405" s="25" t="str">
        <f>"－"</f>
        <v>－</v>
      </c>
      <c r="U1405" s="3" t="s">
        <v>1292</v>
      </c>
      <c r="V1405" s="27" t="n">
        <f>50761200</f>
        <v>5.07612E7</v>
      </c>
      <c r="W1405" s="3" t="s">
        <v>1171</v>
      </c>
      <c r="X1405" s="27" t="n">
        <f>34000</f>
        <v>34000.0</v>
      </c>
      <c r="Y1405" s="27" t="n">
        <f>3476</f>
        <v>3476.0</v>
      </c>
      <c r="Z1405" s="25" t="str">
        <f>"－"</f>
        <v>－</v>
      </c>
      <c r="AA1405" s="25" t="n">
        <f>18395</f>
        <v>18395.0</v>
      </c>
      <c r="AB1405" s="2" t="s">
        <v>251</v>
      </c>
      <c r="AC1405" s="26" t="n">
        <f>18395</f>
        <v>18395.0</v>
      </c>
      <c r="AD1405" s="3" t="s">
        <v>369</v>
      </c>
      <c r="AE1405" s="27" t="n">
        <f>1828</f>
        <v>1828.0</v>
      </c>
    </row>
    <row r="1406">
      <c r="A1406" s="20" t="s">
        <v>2507</v>
      </c>
      <c r="B1406" s="21" t="s">
        <v>2508</v>
      </c>
      <c r="C1406" s="22" t="s">
        <v>1768</v>
      </c>
      <c r="D1406" s="23" t="s">
        <v>1769</v>
      </c>
      <c r="E1406" s="24" t="s">
        <v>342</v>
      </c>
      <c r="F1406" s="28" t="n">
        <f>121</f>
        <v>121.0</v>
      </c>
      <c r="G1406" s="25" t="n">
        <f>95812</f>
        <v>95812.0</v>
      </c>
      <c r="H1406" s="25"/>
      <c r="I1406" s="25" t="str">
        <f>"－"</f>
        <v>－</v>
      </c>
      <c r="J1406" s="25" t="n">
        <f>792</f>
        <v>792.0</v>
      </c>
      <c r="K1406" s="25" t="str">
        <f>"－"</f>
        <v>－</v>
      </c>
      <c r="L1406" s="2" t="s">
        <v>2202</v>
      </c>
      <c r="M1406" s="26" t="n">
        <f>8781</f>
        <v>8781.0</v>
      </c>
      <c r="N1406" s="3" t="s">
        <v>156</v>
      </c>
      <c r="O1406" s="27" t="n">
        <f>2</f>
        <v>2.0</v>
      </c>
      <c r="P1406" s="29" t="s">
        <v>2520</v>
      </c>
      <c r="Q1406" s="25"/>
      <c r="R1406" s="29" t="s">
        <v>262</v>
      </c>
      <c r="S1406" s="25" t="n">
        <f>25861969</f>
        <v>2.5861969E7</v>
      </c>
      <c r="T1406" s="25" t="str">
        <f>"－"</f>
        <v>－</v>
      </c>
      <c r="U1406" s="3" t="s">
        <v>328</v>
      </c>
      <c r="V1406" s="27" t="n">
        <f>131760250</f>
        <v>1.3176025E8</v>
      </c>
      <c r="W1406" s="3" t="s">
        <v>156</v>
      </c>
      <c r="X1406" s="27" t="n">
        <f>51000</f>
        <v>51000.0</v>
      </c>
      <c r="Y1406" s="27" t="n">
        <f>5494</f>
        <v>5494.0</v>
      </c>
      <c r="Z1406" s="25" t="str">
        <f>"－"</f>
        <v>－</v>
      </c>
      <c r="AA1406" s="25" t="n">
        <f>29164</f>
        <v>29164.0</v>
      </c>
      <c r="AB1406" s="2" t="s">
        <v>88</v>
      </c>
      <c r="AC1406" s="26" t="n">
        <f>36754</f>
        <v>36754.0</v>
      </c>
      <c r="AD1406" s="3" t="s">
        <v>369</v>
      </c>
      <c r="AE1406" s="27" t="n">
        <f>4193</f>
        <v>4193.0</v>
      </c>
    </row>
    <row r="1407">
      <c r="A1407" s="20" t="s">
        <v>2507</v>
      </c>
      <c r="B1407" s="21" t="s">
        <v>2508</v>
      </c>
      <c r="C1407" s="22" t="s">
        <v>1760</v>
      </c>
      <c r="D1407" s="23" t="s">
        <v>1761</v>
      </c>
      <c r="E1407" s="24" t="s">
        <v>347</v>
      </c>
      <c r="F1407" s="28" t="n">
        <f>124</f>
        <v>124.0</v>
      </c>
      <c r="G1407" s="25" t="n">
        <f>64833</f>
        <v>64833.0</v>
      </c>
      <c r="H1407" s="25"/>
      <c r="I1407" s="25" t="str">
        <f>"－"</f>
        <v>－</v>
      </c>
      <c r="J1407" s="25" t="n">
        <f>523</f>
        <v>523.0</v>
      </c>
      <c r="K1407" s="25" t="str">
        <f>"－"</f>
        <v>－</v>
      </c>
      <c r="L1407" s="2" t="s">
        <v>49</v>
      </c>
      <c r="M1407" s="26" t="n">
        <f>5187</f>
        <v>5187.0</v>
      </c>
      <c r="N1407" s="3" t="s">
        <v>296</v>
      </c>
      <c r="O1407" s="27" t="n">
        <f>1</f>
        <v>1.0</v>
      </c>
      <c r="P1407" s="29" t="s">
        <v>2521</v>
      </c>
      <c r="Q1407" s="25"/>
      <c r="R1407" s="29" t="s">
        <v>262</v>
      </c>
      <c r="S1407" s="25" t="n">
        <f>23991822</f>
        <v>2.3991822E7</v>
      </c>
      <c r="T1407" s="25" t="str">
        <f>"－"</f>
        <v>－</v>
      </c>
      <c r="U1407" s="3" t="s">
        <v>49</v>
      </c>
      <c r="V1407" s="27" t="n">
        <f>312399500</f>
        <v>3.123995E8</v>
      </c>
      <c r="W1407" s="3" t="s">
        <v>296</v>
      </c>
      <c r="X1407" s="27" t="n">
        <f>9000</f>
        <v>9000.0</v>
      </c>
      <c r="Y1407" s="27" t="n">
        <f>12084</f>
        <v>12084.0</v>
      </c>
      <c r="Z1407" s="25" t="str">
        <f>"－"</f>
        <v>－</v>
      </c>
      <c r="AA1407" s="25" t="n">
        <f>20347</f>
        <v>20347.0</v>
      </c>
      <c r="AB1407" s="2" t="s">
        <v>129</v>
      </c>
      <c r="AC1407" s="26" t="n">
        <f>20347</f>
        <v>20347.0</v>
      </c>
      <c r="AD1407" s="3" t="s">
        <v>125</v>
      </c>
      <c r="AE1407" s="27" t="n">
        <f>3744</f>
        <v>3744.0</v>
      </c>
    </row>
    <row r="1408">
      <c r="A1408" s="20" t="s">
        <v>2507</v>
      </c>
      <c r="B1408" s="21" t="s">
        <v>2508</v>
      </c>
      <c r="C1408" s="22" t="s">
        <v>1764</v>
      </c>
      <c r="D1408" s="23" t="s">
        <v>1765</v>
      </c>
      <c r="E1408" s="24" t="s">
        <v>347</v>
      </c>
      <c r="F1408" s="28" t="n">
        <f>124</f>
        <v>124.0</v>
      </c>
      <c r="G1408" s="25" t="n">
        <f>51802</f>
        <v>51802.0</v>
      </c>
      <c r="H1408" s="25"/>
      <c r="I1408" s="25" t="str">
        <f>"－"</f>
        <v>－</v>
      </c>
      <c r="J1408" s="25" t="n">
        <f>418</f>
        <v>418.0</v>
      </c>
      <c r="K1408" s="25" t="str">
        <f>"－"</f>
        <v>－</v>
      </c>
      <c r="L1408" s="2" t="s">
        <v>542</v>
      </c>
      <c r="M1408" s="26" t="n">
        <f>4939</f>
        <v>4939.0</v>
      </c>
      <c r="N1408" s="3" t="s">
        <v>129</v>
      </c>
      <c r="O1408" s="27" t="str">
        <f>"－"</f>
        <v>－</v>
      </c>
      <c r="P1408" s="29" t="s">
        <v>2522</v>
      </c>
      <c r="Q1408" s="25"/>
      <c r="R1408" s="29" t="s">
        <v>262</v>
      </c>
      <c r="S1408" s="25" t="n">
        <f>22004599</f>
        <v>2.2004599E7</v>
      </c>
      <c r="T1408" s="25" t="str">
        <f>"－"</f>
        <v>－</v>
      </c>
      <c r="U1408" s="3" t="s">
        <v>1388</v>
      </c>
      <c r="V1408" s="27" t="n">
        <f>336570000</f>
        <v>3.3657E8</v>
      </c>
      <c r="W1408" s="3" t="s">
        <v>129</v>
      </c>
      <c r="X1408" s="27" t="str">
        <f>"－"</f>
        <v>－</v>
      </c>
      <c r="Y1408" s="27" t="n">
        <f>13132</f>
        <v>13132.0</v>
      </c>
      <c r="Z1408" s="25" t="str">
        <f>"－"</f>
        <v>－</v>
      </c>
      <c r="AA1408" s="25" t="n">
        <f>3868</f>
        <v>3868.0</v>
      </c>
      <c r="AB1408" s="2" t="s">
        <v>90</v>
      </c>
      <c r="AC1408" s="26" t="n">
        <f>19366</f>
        <v>19366.0</v>
      </c>
      <c r="AD1408" s="3" t="s">
        <v>49</v>
      </c>
      <c r="AE1408" s="27" t="n">
        <f>3302</f>
        <v>3302.0</v>
      </c>
    </row>
    <row r="1409">
      <c r="A1409" s="20" t="s">
        <v>2507</v>
      </c>
      <c r="B1409" s="21" t="s">
        <v>2508</v>
      </c>
      <c r="C1409" s="22" t="s">
        <v>1768</v>
      </c>
      <c r="D1409" s="23" t="s">
        <v>1769</v>
      </c>
      <c r="E1409" s="24" t="s">
        <v>347</v>
      </c>
      <c r="F1409" s="28" t="n">
        <f>124</f>
        <v>124.0</v>
      </c>
      <c r="G1409" s="25" t="n">
        <f>116635</f>
        <v>116635.0</v>
      </c>
      <c r="H1409" s="25"/>
      <c r="I1409" s="25" t="str">
        <f>"－"</f>
        <v>－</v>
      </c>
      <c r="J1409" s="25" t="n">
        <f>941</f>
        <v>941.0</v>
      </c>
      <c r="K1409" s="25" t="str">
        <f>"－"</f>
        <v>－</v>
      </c>
      <c r="L1409" s="2" t="s">
        <v>49</v>
      </c>
      <c r="M1409" s="26" t="n">
        <f>5272</f>
        <v>5272.0</v>
      </c>
      <c r="N1409" s="3" t="s">
        <v>498</v>
      </c>
      <c r="O1409" s="27" t="n">
        <f>4</f>
        <v>4.0</v>
      </c>
      <c r="P1409" s="29" t="s">
        <v>2523</v>
      </c>
      <c r="Q1409" s="25"/>
      <c r="R1409" s="29" t="s">
        <v>262</v>
      </c>
      <c r="S1409" s="25" t="n">
        <f>45996421</f>
        <v>4.5996421E7</v>
      </c>
      <c r="T1409" s="25" t="str">
        <f>"－"</f>
        <v>－</v>
      </c>
      <c r="U1409" s="3" t="s">
        <v>1388</v>
      </c>
      <c r="V1409" s="27" t="n">
        <f>381013500</f>
        <v>3.810135E8</v>
      </c>
      <c r="W1409" s="3" t="s">
        <v>498</v>
      </c>
      <c r="X1409" s="27" t="n">
        <f>34000</f>
        <v>34000.0</v>
      </c>
      <c r="Y1409" s="27" t="n">
        <f>25216</f>
        <v>25216.0</v>
      </c>
      <c r="Z1409" s="25" t="str">
        <f>"－"</f>
        <v>－</v>
      </c>
      <c r="AA1409" s="25" t="n">
        <f>24215</f>
        <v>24215.0</v>
      </c>
      <c r="AB1409" s="2" t="s">
        <v>192</v>
      </c>
      <c r="AC1409" s="26" t="n">
        <f>31670</f>
        <v>31670.0</v>
      </c>
      <c r="AD1409" s="3" t="s">
        <v>125</v>
      </c>
      <c r="AE1409" s="27" t="n">
        <f>9328</f>
        <v>9328.0</v>
      </c>
    </row>
    <row r="1410">
      <c r="A1410" s="20" t="s">
        <v>2507</v>
      </c>
      <c r="B1410" s="21" t="s">
        <v>2508</v>
      </c>
      <c r="C1410" s="22" t="s">
        <v>1760</v>
      </c>
      <c r="D1410" s="23" t="s">
        <v>1761</v>
      </c>
      <c r="E1410" s="24" t="s">
        <v>351</v>
      </c>
      <c r="F1410" s="28" t="n">
        <f>123</f>
        <v>123.0</v>
      </c>
      <c r="G1410" s="25" t="n">
        <f>141904</f>
        <v>141904.0</v>
      </c>
      <c r="H1410" s="25"/>
      <c r="I1410" s="25" t="str">
        <f>"－"</f>
        <v>－</v>
      </c>
      <c r="J1410" s="25" t="n">
        <f>1154</f>
        <v>1154.0</v>
      </c>
      <c r="K1410" s="25" t="str">
        <f>"－"</f>
        <v>－</v>
      </c>
      <c r="L1410" s="2" t="s">
        <v>177</v>
      </c>
      <c r="M1410" s="26" t="n">
        <f>27272</f>
        <v>27272.0</v>
      </c>
      <c r="N1410" s="3" t="s">
        <v>123</v>
      </c>
      <c r="O1410" s="27" t="n">
        <f>1</f>
        <v>1.0</v>
      </c>
      <c r="P1410" s="29" t="s">
        <v>2524</v>
      </c>
      <c r="Q1410" s="25"/>
      <c r="R1410" s="29" t="s">
        <v>262</v>
      </c>
      <c r="S1410" s="25" t="n">
        <f>94791418</f>
        <v>9.4791418E7</v>
      </c>
      <c r="T1410" s="25" t="str">
        <f>"－"</f>
        <v>－</v>
      </c>
      <c r="U1410" s="3" t="s">
        <v>1153</v>
      </c>
      <c r="V1410" s="27" t="n">
        <f>1088195000</f>
        <v>1.088195E9</v>
      </c>
      <c r="W1410" s="3" t="s">
        <v>123</v>
      </c>
      <c r="X1410" s="27" t="n">
        <f>30000</f>
        <v>30000.0</v>
      </c>
      <c r="Y1410" s="27" t="n">
        <f>42274</f>
        <v>42274.0</v>
      </c>
      <c r="Z1410" s="25" t="str">
        <f>"－"</f>
        <v>－</v>
      </c>
      <c r="AA1410" s="25" t="n">
        <f>13741</f>
        <v>13741.0</v>
      </c>
      <c r="AB1410" s="2" t="s">
        <v>177</v>
      </c>
      <c r="AC1410" s="26" t="n">
        <f>52748</f>
        <v>52748.0</v>
      </c>
      <c r="AD1410" s="3" t="s">
        <v>427</v>
      </c>
      <c r="AE1410" s="27" t="n">
        <f>9900</f>
        <v>9900.0</v>
      </c>
    </row>
    <row r="1411">
      <c r="A1411" s="20" t="s">
        <v>2507</v>
      </c>
      <c r="B1411" s="21" t="s">
        <v>2508</v>
      </c>
      <c r="C1411" s="22" t="s">
        <v>1764</v>
      </c>
      <c r="D1411" s="23" t="s">
        <v>1765</v>
      </c>
      <c r="E1411" s="24" t="s">
        <v>351</v>
      </c>
      <c r="F1411" s="28" t="n">
        <f>123</f>
        <v>123.0</v>
      </c>
      <c r="G1411" s="25" t="n">
        <f>78532</f>
        <v>78532.0</v>
      </c>
      <c r="H1411" s="25"/>
      <c r="I1411" s="25" t="str">
        <f>"－"</f>
        <v>－</v>
      </c>
      <c r="J1411" s="25" t="n">
        <f>638</f>
        <v>638.0</v>
      </c>
      <c r="K1411" s="25" t="str">
        <f>"－"</f>
        <v>－</v>
      </c>
      <c r="L1411" s="2" t="s">
        <v>177</v>
      </c>
      <c r="M1411" s="26" t="n">
        <f>26358</f>
        <v>26358.0</v>
      </c>
      <c r="N1411" s="3" t="s">
        <v>1032</v>
      </c>
      <c r="O1411" s="27" t="n">
        <f>1</f>
        <v>1.0</v>
      </c>
      <c r="P1411" s="29" t="s">
        <v>2525</v>
      </c>
      <c r="Q1411" s="25"/>
      <c r="R1411" s="29" t="s">
        <v>262</v>
      </c>
      <c r="S1411" s="25" t="n">
        <f>44265722</f>
        <v>4.4265722E7</v>
      </c>
      <c r="T1411" s="25" t="str">
        <f>"－"</f>
        <v>－</v>
      </c>
      <c r="U1411" s="3" t="s">
        <v>411</v>
      </c>
      <c r="V1411" s="27" t="n">
        <f>884588500</f>
        <v>8.845885E8</v>
      </c>
      <c r="W1411" s="3" t="s">
        <v>293</v>
      </c>
      <c r="X1411" s="27" t="n">
        <f>6000</f>
        <v>6000.0</v>
      </c>
      <c r="Y1411" s="27" t="n">
        <f>12442</f>
        <v>12442.0</v>
      </c>
      <c r="Z1411" s="25" t="str">
        <f>"－"</f>
        <v>－</v>
      </c>
      <c r="AA1411" s="25" t="n">
        <f>14614</f>
        <v>14614.0</v>
      </c>
      <c r="AB1411" s="2" t="s">
        <v>1016</v>
      </c>
      <c r="AC1411" s="26" t="n">
        <f>36380</f>
        <v>36380.0</v>
      </c>
      <c r="AD1411" s="3" t="s">
        <v>74</v>
      </c>
      <c r="AE1411" s="27" t="n">
        <f>2048</f>
        <v>2048.0</v>
      </c>
    </row>
    <row r="1412">
      <c r="A1412" s="20" t="s">
        <v>2507</v>
      </c>
      <c r="B1412" s="21" t="s">
        <v>2508</v>
      </c>
      <c r="C1412" s="22" t="s">
        <v>1768</v>
      </c>
      <c r="D1412" s="23" t="s">
        <v>1769</v>
      </c>
      <c r="E1412" s="24" t="s">
        <v>351</v>
      </c>
      <c r="F1412" s="28" t="n">
        <f>123</f>
        <v>123.0</v>
      </c>
      <c r="G1412" s="25" t="n">
        <f>220436</f>
        <v>220436.0</v>
      </c>
      <c r="H1412" s="25"/>
      <c r="I1412" s="25" t="str">
        <f>"－"</f>
        <v>－</v>
      </c>
      <c r="J1412" s="25" t="n">
        <f>1792</f>
        <v>1792.0</v>
      </c>
      <c r="K1412" s="25" t="str">
        <f>"－"</f>
        <v>－</v>
      </c>
      <c r="L1412" s="2" t="s">
        <v>177</v>
      </c>
      <c r="M1412" s="26" t="n">
        <f>53630</f>
        <v>53630.0</v>
      </c>
      <c r="N1412" s="3" t="s">
        <v>185</v>
      </c>
      <c r="O1412" s="27" t="n">
        <f>3</f>
        <v>3.0</v>
      </c>
      <c r="P1412" s="29" t="s">
        <v>2526</v>
      </c>
      <c r="Q1412" s="25"/>
      <c r="R1412" s="29" t="s">
        <v>262</v>
      </c>
      <c r="S1412" s="25" t="n">
        <f>139057141</f>
        <v>1.39057141E8</v>
      </c>
      <c r="T1412" s="25" t="str">
        <f>"－"</f>
        <v>－</v>
      </c>
      <c r="U1412" s="3" t="s">
        <v>411</v>
      </c>
      <c r="V1412" s="27" t="n">
        <f>1584738500</f>
        <v>1.5847385E9</v>
      </c>
      <c r="W1412" s="3" t="s">
        <v>876</v>
      </c>
      <c r="X1412" s="27" t="n">
        <f>55000</f>
        <v>55000.0</v>
      </c>
      <c r="Y1412" s="27" t="n">
        <f>54716</f>
        <v>54716.0</v>
      </c>
      <c r="Z1412" s="25" t="str">
        <f>"－"</f>
        <v>－</v>
      </c>
      <c r="AA1412" s="25" t="n">
        <f>28355</f>
        <v>28355.0</v>
      </c>
      <c r="AB1412" s="2" t="s">
        <v>177</v>
      </c>
      <c r="AC1412" s="26" t="n">
        <f>87253</f>
        <v>87253.0</v>
      </c>
      <c r="AD1412" s="3" t="s">
        <v>427</v>
      </c>
      <c r="AE1412" s="27" t="n">
        <f>15853</f>
        <v>15853.0</v>
      </c>
    </row>
    <row r="1413">
      <c r="A1413" s="20" t="s">
        <v>2507</v>
      </c>
      <c r="B1413" s="21" t="s">
        <v>2508</v>
      </c>
      <c r="C1413" s="22" t="s">
        <v>1760</v>
      </c>
      <c r="D1413" s="23" t="s">
        <v>1761</v>
      </c>
      <c r="E1413" s="24" t="s">
        <v>354</v>
      </c>
      <c r="F1413" s="28" t="n">
        <f>125</f>
        <v>125.0</v>
      </c>
      <c r="G1413" s="25" t="n">
        <f>73823</f>
        <v>73823.0</v>
      </c>
      <c r="H1413" s="25"/>
      <c r="I1413" s="25" t="str">
        <f>"－"</f>
        <v>－</v>
      </c>
      <c r="J1413" s="25" t="n">
        <f>591</f>
        <v>591.0</v>
      </c>
      <c r="K1413" s="25" t="str">
        <f>"－"</f>
        <v>－</v>
      </c>
      <c r="L1413" s="2" t="s">
        <v>77</v>
      </c>
      <c r="M1413" s="26" t="n">
        <f>9153</f>
        <v>9153.0</v>
      </c>
      <c r="N1413" s="3" t="s">
        <v>117</v>
      </c>
      <c r="O1413" s="27" t="str">
        <f>"－"</f>
        <v>－</v>
      </c>
      <c r="P1413" s="29" t="s">
        <v>2527</v>
      </c>
      <c r="Q1413" s="25"/>
      <c r="R1413" s="29" t="s">
        <v>262</v>
      </c>
      <c r="S1413" s="25" t="n">
        <f>40460312</f>
        <v>4.0460312E7</v>
      </c>
      <c r="T1413" s="25" t="str">
        <f>"－"</f>
        <v>－</v>
      </c>
      <c r="U1413" s="3" t="s">
        <v>137</v>
      </c>
      <c r="V1413" s="27" t="n">
        <f>827055000</f>
        <v>8.27055E8</v>
      </c>
      <c r="W1413" s="3" t="s">
        <v>117</v>
      </c>
      <c r="X1413" s="27" t="str">
        <f>"－"</f>
        <v>－</v>
      </c>
      <c r="Y1413" s="27" t="n">
        <f>5171</f>
        <v>5171.0</v>
      </c>
      <c r="Z1413" s="25" t="str">
        <f>"－"</f>
        <v>－</v>
      </c>
      <c r="AA1413" s="25" t="n">
        <f>21778</f>
        <v>21778.0</v>
      </c>
      <c r="AB1413" s="2" t="s">
        <v>93</v>
      </c>
      <c r="AC1413" s="26" t="n">
        <f>31865</f>
        <v>31865.0</v>
      </c>
      <c r="AD1413" s="3" t="s">
        <v>744</v>
      </c>
      <c r="AE1413" s="27" t="n">
        <f>12382</f>
        <v>12382.0</v>
      </c>
    </row>
    <row r="1414">
      <c r="A1414" s="20" t="s">
        <v>2507</v>
      </c>
      <c r="B1414" s="21" t="s">
        <v>2508</v>
      </c>
      <c r="C1414" s="22" t="s">
        <v>1764</v>
      </c>
      <c r="D1414" s="23" t="s">
        <v>1765</v>
      </c>
      <c r="E1414" s="24" t="s">
        <v>354</v>
      </c>
      <c r="F1414" s="28" t="n">
        <f>125</f>
        <v>125.0</v>
      </c>
      <c r="G1414" s="25" t="n">
        <f>86587</f>
        <v>86587.0</v>
      </c>
      <c r="H1414" s="25"/>
      <c r="I1414" s="25" t="str">
        <f>"－"</f>
        <v>－</v>
      </c>
      <c r="J1414" s="25" t="n">
        <f>693</f>
        <v>693.0</v>
      </c>
      <c r="K1414" s="25" t="str">
        <f>"－"</f>
        <v>－</v>
      </c>
      <c r="L1414" s="2" t="s">
        <v>987</v>
      </c>
      <c r="M1414" s="26" t="n">
        <f>5211</f>
        <v>5211.0</v>
      </c>
      <c r="N1414" s="3" t="s">
        <v>269</v>
      </c>
      <c r="O1414" s="27" t="str">
        <f>"－"</f>
        <v>－</v>
      </c>
      <c r="P1414" s="29" t="s">
        <v>2528</v>
      </c>
      <c r="Q1414" s="25"/>
      <c r="R1414" s="29" t="s">
        <v>262</v>
      </c>
      <c r="S1414" s="25" t="n">
        <f>30518176</f>
        <v>3.0518176E7</v>
      </c>
      <c r="T1414" s="25" t="str">
        <f>"－"</f>
        <v>－</v>
      </c>
      <c r="U1414" s="3" t="s">
        <v>90</v>
      </c>
      <c r="V1414" s="27" t="n">
        <f>580023400</f>
        <v>5.800234E8</v>
      </c>
      <c r="W1414" s="3" t="s">
        <v>269</v>
      </c>
      <c r="X1414" s="27" t="str">
        <f>"－"</f>
        <v>－</v>
      </c>
      <c r="Y1414" s="27" t="n">
        <f>9382</f>
        <v>9382.0</v>
      </c>
      <c r="Z1414" s="25" t="str">
        <f>"－"</f>
        <v>－</v>
      </c>
      <c r="AA1414" s="25" t="n">
        <f>28074</f>
        <v>28074.0</v>
      </c>
      <c r="AB1414" s="2" t="s">
        <v>94</v>
      </c>
      <c r="AC1414" s="26" t="n">
        <f>29835</f>
        <v>29835.0</v>
      </c>
      <c r="AD1414" s="3" t="s">
        <v>141</v>
      </c>
      <c r="AE1414" s="27" t="n">
        <f>4680</f>
        <v>4680.0</v>
      </c>
    </row>
    <row r="1415">
      <c r="A1415" s="20" t="s">
        <v>2507</v>
      </c>
      <c r="B1415" s="21" t="s">
        <v>2508</v>
      </c>
      <c r="C1415" s="22" t="s">
        <v>1768</v>
      </c>
      <c r="D1415" s="23" t="s">
        <v>1769</v>
      </c>
      <c r="E1415" s="24" t="s">
        <v>354</v>
      </c>
      <c r="F1415" s="28" t="n">
        <f>125</f>
        <v>125.0</v>
      </c>
      <c r="G1415" s="25" t="n">
        <f>160410</f>
        <v>160410.0</v>
      </c>
      <c r="H1415" s="25"/>
      <c r="I1415" s="25" t="str">
        <f>"－"</f>
        <v>－</v>
      </c>
      <c r="J1415" s="25" t="n">
        <f>1283</f>
        <v>1283.0</v>
      </c>
      <c r="K1415" s="25" t="str">
        <f>"－"</f>
        <v>－</v>
      </c>
      <c r="L1415" s="2" t="s">
        <v>593</v>
      </c>
      <c r="M1415" s="26" t="n">
        <f>10861</f>
        <v>10861.0</v>
      </c>
      <c r="N1415" s="3" t="s">
        <v>1100</v>
      </c>
      <c r="O1415" s="27" t="n">
        <f>13</f>
        <v>13.0</v>
      </c>
      <c r="P1415" s="29" t="s">
        <v>2529</v>
      </c>
      <c r="Q1415" s="25"/>
      <c r="R1415" s="29" t="s">
        <v>262</v>
      </c>
      <c r="S1415" s="25" t="n">
        <f>70978488</f>
        <v>7.0978488E7</v>
      </c>
      <c r="T1415" s="25" t="str">
        <f>"－"</f>
        <v>－</v>
      </c>
      <c r="U1415" s="3" t="s">
        <v>90</v>
      </c>
      <c r="V1415" s="27" t="n">
        <f>976261900</f>
        <v>9.762619E8</v>
      </c>
      <c r="W1415" s="3" t="s">
        <v>1100</v>
      </c>
      <c r="X1415" s="27" t="n">
        <f>351000</f>
        <v>351000.0</v>
      </c>
      <c r="Y1415" s="27" t="n">
        <f>14553</f>
        <v>14553.0</v>
      </c>
      <c r="Z1415" s="25" t="str">
        <f>"－"</f>
        <v>－</v>
      </c>
      <c r="AA1415" s="25" t="n">
        <f>49852</f>
        <v>49852.0</v>
      </c>
      <c r="AB1415" s="2" t="s">
        <v>93</v>
      </c>
      <c r="AC1415" s="26" t="n">
        <f>61516</f>
        <v>61516.0</v>
      </c>
      <c r="AD1415" s="3" t="s">
        <v>141</v>
      </c>
      <c r="AE1415" s="27" t="n">
        <f>18691</f>
        <v>18691.0</v>
      </c>
    </row>
    <row r="1416">
      <c r="A1416" s="20" t="s">
        <v>2507</v>
      </c>
      <c r="B1416" s="21" t="s">
        <v>2508</v>
      </c>
      <c r="C1416" s="22" t="s">
        <v>1760</v>
      </c>
      <c r="D1416" s="23" t="s">
        <v>1761</v>
      </c>
      <c r="E1416" s="24" t="s">
        <v>357</v>
      </c>
      <c r="F1416" s="28" t="n">
        <f>121</f>
        <v>121.0</v>
      </c>
      <c r="G1416" s="25" t="n">
        <f>44640</f>
        <v>44640.0</v>
      </c>
      <c r="H1416" s="25"/>
      <c r="I1416" s="25" t="str">
        <f>"－"</f>
        <v>－</v>
      </c>
      <c r="J1416" s="25" t="n">
        <f>369</f>
        <v>369.0</v>
      </c>
      <c r="K1416" s="25" t="str">
        <f>"－"</f>
        <v>－</v>
      </c>
      <c r="L1416" s="2" t="s">
        <v>70</v>
      </c>
      <c r="M1416" s="26" t="n">
        <f>2932</f>
        <v>2932.0</v>
      </c>
      <c r="N1416" s="3" t="s">
        <v>873</v>
      </c>
      <c r="O1416" s="27" t="str">
        <f>"－"</f>
        <v>－</v>
      </c>
      <c r="P1416" s="29" t="s">
        <v>2530</v>
      </c>
      <c r="Q1416" s="25"/>
      <c r="R1416" s="29" t="s">
        <v>262</v>
      </c>
      <c r="S1416" s="25" t="n">
        <f>21985250</f>
        <v>2.198525E7</v>
      </c>
      <c r="T1416" s="25" t="str">
        <f>"－"</f>
        <v>－</v>
      </c>
      <c r="U1416" s="3" t="s">
        <v>70</v>
      </c>
      <c r="V1416" s="27" t="n">
        <f>832125500</f>
        <v>8.321255E8</v>
      </c>
      <c r="W1416" s="3" t="s">
        <v>873</v>
      </c>
      <c r="X1416" s="27" t="str">
        <f>"－"</f>
        <v>－</v>
      </c>
      <c r="Y1416" s="27" t="n">
        <f>9091</f>
        <v>9091.0</v>
      </c>
      <c r="Z1416" s="25" t="str">
        <f>"－"</f>
        <v>－</v>
      </c>
      <c r="AA1416" s="25" t="n">
        <f>9396</f>
        <v>9396.0</v>
      </c>
      <c r="AB1416" s="2" t="s">
        <v>706</v>
      </c>
      <c r="AC1416" s="26" t="n">
        <f>22133</f>
        <v>22133.0</v>
      </c>
      <c r="AD1416" s="3" t="s">
        <v>146</v>
      </c>
      <c r="AE1416" s="27" t="n">
        <f>2941</f>
        <v>2941.0</v>
      </c>
    </row>
    <row r="1417">
      <c r="A1417" s="20" t="s">
        <v>2507</v>
      </c>
      <c r="B1417" s="21" t="s">
        <v>2508</v>
      </c>
      <c r="C1417" s="22" t="s">
        <v>1764</v>
      </c>
      <c r="D1417" s="23" t="s">
        <v>1765</v>
      </c>
      <c r="E1417" s="24" t="s">
        <v>357</v>
      </c>
      <c r="F1417" s="28" t="n">
        <f>121</f>
        <v>121.0</v>
      </c>
      <c r="G1417" s="25" t="n">
        <f>102211</f>
        <v>102211.0</v>
      </c>
      <c r="H1417" s="25"/>
      <c r="I1417" s="25" t="str">
        <f>"－"</f>
        <v>－</v>
      </c>
      <c r="J1417" s="25" t="n">
        <f>845</f>
        <v>845.0</v>
      </c>
      <c r="K1417" s="25" t="str">
        <f>"－"</f>
        <v>－</v>
      </c>
      <c r="L1417" s="2" t="s">
        <v>513</v>
      </c>
      <c r="M1417" s="26" t="n">
        <f>12067</f>
        <v>12067.0</v>
      </c>
      <c r="N1417" s="3" t="s">
        <v>1121</v>
      </c>
      <c r="O1417" s="27" t="str">
        <f>"－"</f>
        <v>－</v>
      </c>
      <c r="P1417" s="29" t="s">
        <v>2531</v>
      </c>
      <c r="Q1417" s="25"/>
      <c r="R1417" s="29" t="s">
        <v>262</v>
      </c>
      <c r="S1417" s="25" t="n">
        <f>20775357</f>
        <v>2.0775357E7</v>
      </c>
      <c r="T1417" s="25" t="str">
        <f>"－"</f>
        <v>－</v>
      </c>
      <c r="U1417" s="3" t="s">
        <v>513</v>
      </c>
      <c r="V1417" s="27" t="n">
        <f>216866500</f>
        <v>2.168665E8</v>
      </c>
      <c r="W1417" s="3" t="s">
        <v>1121</v>
      </c>
      <c r="X1417" s="27" t="str">
        <f>"－"</f>
        <v>－</v>
      </c>
      <c r="Y1417" s="27" t="n">
        <f>8593</f>
        <v>8593.0</v>
      </c>
      <c r="Z1417" s="25" t="str">
        <f>"－"</f>
        <v>－</v>
      </c>
      <c r="AA1417" s="25" t="n">
        <f>36545</f>
        <v>36545.0</v>
      </c>
      <c r="AB1417" s="2" t="s">
        <v>739</v>
      </c>
      <c r="AC1417" s="26" t="n">
        <f>36545</f>
        <v>36545.0</v>
      </c>
      <c r="AD1417" s="3" t="s">
        <v>70</v>
      </c>
      <c r="AE1417" s="27" t="n">
        <f>3098</f>
        <v>3098.0</v>
      </c>
    </row>
    <row r="1418">
      <c r="A1418" s="20" t="s">
        <v>2507</v>
      </c>
      <c r="B1418" s="21" t="s">
        <v>2508</v>
      </c>
      <c r="C1418" s="22" t="s">
        <v>1768</v>
      </c>
      <c r="D1418" s="23" t="s">
        <v>1769</v>
      </c>
      <c r="E1418" s="24" t="s">
        <v>357</v>
      </c>
      <c r="F1418" s="28" t="n">
        <f>121</f>
        <v>121.0</v>
      </c>
      <c r="G1418" s="25" t="n">
        <f>146851</f>
        <v>146851.0</v>
      </c>
      <c r="H1418" s="25"/>
      <c r="I1418" s="25" t="str">
        <f>"－"</f>
        <v>－</v>
      </c>
      <c r="J1418" s="25" t="n">
        <f>1214</f>
        <v>1214.0</v>
      </c>
      <c r="K1418" s="25" t="str">
        <f>"－"</f>
        <v>－</v>
      </c>
      <c r="L1418" s="2" t="s">
        <v>513</v>
      </c>
      <c r="M1418" s="26" t="n">
        <f>13153</f>
        <v>13153.0</v>
      </c>
      <c r="N1418" s="3" t="s">
        <v>290</v>
      </c>
      <c r="O1418" s="27" t="n">
        <f>4</f>
        <v>4.0</v>
      </c>
      <c r="P1418" s="29" t="s">
        <v>2532</v>
      </c>
      <c r="Q1418" s="25"/>
      <c r="R1418" s="29" t="s">
        <v>262</v>
      </c>
      <c r="S1418" s="25" t="n">
        <f>42760608</f>
        <v>4.2760608E7</v>
      </c>
      <c r="T1418" s="25" t="str">
        <f>"－"</f>
        <v>－</v>
      </c>
      <c r="U1418" s="3" t="s">
        <v>70</v>
      </c>
      <c r="V1418" s="27" t="n">
        <f>869250000</f>
        <v>8.6925E8</v>
      </c>
      <c r="W1418" s="3" t="s">
        <v>290</v>
      </c>
      <c r="X1418" s="27" t="n">
        <f>160000</f>
        <v>160000.0</v>
      </c>
      <c r="Y1418" s="27" t="n">
        <f>17684</f>
        <v>17684.0</v>
      </c>
      <c r="Z1418" s="25" t="str">
        <f>"－"</f>
        <v>－</v>
      </c>
      <c r="AA1418" s="25" t="n">
        <f>45941</f>
        <v>45941.0</v>
      </c>
      <c r="AB1418" s="2" t="s">
        <v>706</v>
      </c>
      <c r="AC1418" s="26" t="n">
        <f>50796</f>
        <v>50796.0</v>
      </c>
      <c r="AD1418" s="3" t="s">
        <v>70</v>
      </c>
      <c r="AE1418" s="27" t="n">
        <f>8007</f>
        <v>8007.0</v>
      </c>
    </row>
    <row r="1419">
      <c r="A1419" s="20" t="s">
        <v>2507</v>
      </c>
      <c r="B1419" s="21" t="s">
        <v>2508</v>
      </c>
      <c r="C1419" s="22" t="s">
        <v>1760</v>
      </c>
      <c r="D1419" s="23" t="s">
        <v>1761</v>
      </c>
      <c r="E1419" s="24" t="s">
        <v>361</v>
      </c>
      <c r="F1419" s="28" t="n">
        <f>125</f>
        <v>125.0</v>
      </c>
      <c r="G1419" s="25" t="n">
        <f>64378</f>
        <v>64378.0</v>
      </c>
      <c r="H1419" s="25"/>
      <c r="I1419" s="25" t="str">
        <f>"－"</f>
        <v>－</v>
      </c>
      <c r="J1419" s="25" t="n">
        <f>515</f>
        <v>515.0</v>
      </c>
      <c r="K1419" s="25" t="str">
        <f>"－"</f>
        <v>－</v>
      </c>
      <c r="L1419" s="2" t="s">
        <v>549</v>
      </c>
      <c r="M1419" s="26" t="n">
        <f>4332</f>
        <v>4332.0</v>
      </c>
      <c r="N1419" s="3" t="s">
        <v>393</v>
      </c>
      <c r="O1419" s="27" t="str">
        <f>"－"</f>
        <v>－</v>
      </c>
      <c r="P1419" s="29" t="s">
        <v>2533</v>
      </c>
      <c r="Q1419" s="25"/>
      <c r="R1419" s="29" t="s">
        <v>262</v>
      </c>
      <c r="S1419" s="25" t="n">
        <f>16742433</f>
        <v>1.6742433E7</v>
      </c>
      <c r="T1419" s="25" t="str">
        <f>"－"</f>
        <v>－</v>
      </c>
      <c r="U1419" s="3" t="s">
        <v>894</v>
      </c>
      <c r="V1419" s="27" t="n">
        <f>348033750</f>
        <v>3.4803375E8</v>
      </c>
      <c r="W1419" s="3" t="s">
        <v>393</v>
      </c>
      <c r="X1419" s="27" t="str">
        <f>"－"</f>
        <v>－</v>
      </c>
      <c r="Y1419" s="27" t="n">
        <f>13884</f>
        <v>13884.0</v>
      </c>
      <c r="Z1419" s="25" t="str">
        <f>"－"</f>
        <v>－</v>
      </c>
      <c r="AA1419" s="25" t="n">
        <f>22214</f>
        <v>22214.0</v>
      </c>
      <c r="AB1419" s="2" t="s">
        <v>138</v>
      </c>
      <c r="AC1419" s="26" t="n">
        <f>22214</f>
        <v>22214.0</v>
      </c>
      <c r="AD1419" s="3" t="s">
        <v>82</v>
      </c>
      <c r="AE1419" s="27" t="n">
        <f>2469</f>
        <v>2469.0</v>
      </c>
    </row>
    <row r="1420">
      <c r="A1420" s="20" t="s">
        <v>2507</v>
      </c>
      <c r="B1420" s="21" t="s">
        <v>2508</v>
      </c>
      <c r="C1420" s="22" t="s">
        <v>1764</v>
      </c>
      <c r="D1420" s="23" t="s">
        <v>1765</v>
      </c>
      <c r="E1420" s="24" t="s">
        <v>361</v>
      </c>
      <c r="F1420" s="28" t="n">
        <f>125</f>
        <v>125.0</v>
      </c>
      <c r="G1420" s="25" t="n">
        <f>180922</f>
        <v>180922.0</v>
      </c>
      <c r="H1420" s="25"/>
      <c r="I1420" s="25" t="str">
        <f>"－"</f>
        <v>－</v>
      </c>
      <c r="J1420" s="25" t="n">
        <f>1447</f>
        <v>1447.0</v>
      </c>
      <c r="K1420" s="25" t="str">
        <f>"－"</f>
        <v>－</v>
      </c>
      <c r="L1420" s="2" t="s">
        <v>224</v>
      </c>
      <c r="M1420" s="26" t="n">
        <f>25823</f>
        <v>25823.0</v>
      </c>
      <c r="N1420" s="3" t="s">
        <v>295</v>
      </c>
      <c r="O1420" s="27" t="str">
        <f>"－"</f>
        <v>－</v>
      </c>
      <c r="P1420" s="29" t="s">
        <v>2534</v>
      </c>
      <c r="Q1420" s="25"/>
      <c r="R1420" s="29" t="s">
        <v>262</v>
      </c>
      <c r="S1420" s="25" t="n">
        <f>33772420</f>
        <v>3.377242E7</v>
      </c>
      <c r="T1420" s="25" t="str">
        <f>"－"</f>
        <v>－</v>
      </c>
      <c r="U1420" s="3" t="s">
        <v>1185</v>
      </c>
      <c r="V1420" s="27" t="n">
        <f>861999500</f>
        <v>8.619995E8</v>
      </c>
      <c r="W1420" s="3" t="s">
        <v>295</v>
      </c>
      <c r="X1420" s="27" t="str">
        <f>"－"</f>
        <v>－</v>
      </c>
      <c r="Y1420" s="27" t="n">
        <f>2995</f>
        <v>2995.0</v>
      </c>
      <c r="Z1420" s="25" t="str">
        <f>"－"</f>
        <v>－</v>
      </c>
      <c r="AA1420" s="25" t="n">
        <f>23772</f>
        <v>23772.0</v>
      </c>
      <c r="AB1420" s="2" t="s">
        <v>224</v>
      </c>
      <c r="AC1420" s="26" t="n">
        <f>82319</f>
        <v>82319.0</v>
      </c>
      <c r="AD1420" s="3" t="s">
        <v>117</v>
      </c>
      <c r="AE1420" s="27" t="n">
        <f>15419</f>
        <v>15419.0</v>
      </c>
    </row>
    <row r="1421">
      <c r="A1421" s="20" t="s">
        <v>2507</v>
      </c>
      <c r="B1421" s="21" t="s">
        <v>2508</v>
      </c>
      <c r="C1421" s="22" t="s">
        <v>1768</v>
      </c>
      <c r="D1421" s="23" t="s">
        <v>1769</v>
      </c>
      <c r="E1421" s="24" t="s">
        <v>361</v>
      </c>
      <c r="F1421" s="28" t="n">
        <f>125</f>
        <v>125.0</v>
      </c>
      <c r="G1421" s="25" t="n">
        <f>245300</f>
        <v>245300.0</v>
      </c>
      <c r="H1421" s="25"/>
      <c r="I1421" s="25" t="str">
        <f>"－"</f>
        <v>－</v>
      </c>
      <c r="J1421" s="25" t="n">
        <f>1962</f>
        <v>1962.0</v>
      </c>
      <c r="K1421" s="25" t="str">
        <f>"－"</f>
        <v>－</v>
      </c>
      <c r="L1421" s="2" t="s">
        <v>224</v>
      </c>
      <c r="M1421" s="26" t="n">
        <f>26570</f>
        <v>26570.0</v>
      </c>
      <c r="N1421" s="3" t="s">
        <v>295</v>
      </c>
      <c r="O1421" s="27" t="str">
        <f>"－"</f>
        <v>－</v>
      </c>
      <c r="P1421" s="29" t="s">
        <v>2535</v>
      </c>
      <c r="Q1421" s="25"/>
      <c r="R1421" s="29" t="s">
        <v>262</v>
      </c>
      <c r="S1421" s="25" t="n">
        <f>50514853</f>
        <v>5.0514853E7</v>
      </c>
      <c r="T1421" s="25" t="str">
        <f>"－"</f>
        <v>－</v>
      </c>
      <c r="U1421" s="3" t="s">
        <v>1185</v>
      </c>
      <c r="V1421" s="27" t="n">
        <f>862804500</f>
        <v>8.628045E8</v>
      </c>
      <c r="W1421" s="3" t="s">
        <v>295</v>
      </c>
      <c r="X1421" s="27" t="str">
        <f>"－"</f>
        <v>－</v>
      </c>
      <c r="Y1421" s="27" t="n">
        <f>16879</f>
        <v>16879.0</v>
      </c>
      <c r="Z1421" s="25" t="str">
        <f>"－"</f>
        <v>－</v>
      </c>
      <c r="AA1421" s="25" t="n">
        <f>45986</f>
        <v>45986.0</v>
      </c>
      <c r="AB1421" s="2" t="s">
        <v>872</v>
      </c>
      <c r="AC1421" s="26" t="n">
        <f>96033</f>
        <v>96033.0</v>
      </c>
      <c r="AD1421" s="3" t="s">
        <v>82</v>
      </c>
      <c r="AE1421" s="27" t="n">
        <f>20671</f>
        <v>20671.0</v>
      </c>
    </row>
    <row r="1422">
      <c r="A1422" s="20" t="s">
        <v>2507</v>
      </c>
      <c r="B1422" s="21" t="s">
        <v>2508</v>
      </c>
      <c r="C1422" s="22" t="s">
        <v>1760</v>
      </c>
      <c r="D1422" s="23" t="s">
        <v>1761</v>
      </c>
      <c r="E1422" s="24" t="s">
        <v>365</v>
      </c>
      <c r="F1422" s="28" t="n">
        <f>120</f>
        <v>120.0</v>
      </c>
      <c r="G1422" s="25" t="n">
        <f>63305</f>
        <v>63305.0</v>
      </c>
      <c r="H1422" s="25"/>
      <c r="I1422" s="25" t="str">
        <f>"－"</f>
        <v>－</v>
      </c>
      <c r="J1422" s="25" t="n">
        <f>528</f>
        <v>528.0</v>
      </c>
      <c r="K1422" s="25" t="str">
        <f>"－"</f>
        <v>－</v>
      </c>
      <c r="L1422" s="2" t="s">
        <v>171</v>
      </c>
      <c r="M1422" s="26" t="n">
        <f>4737</f>
        <v>4737.0</v>
      </c>
      <c r="N1422" s="3" t="s">
        <v>156</v>
      </c>
      <c r="O1422" s="27" t="str">
        <f>"－"</f>
        <v>－</v>
      </c>
      <c r="P1422" s="29" t="s">
        <v>2536</v>
      </c>
      <c r="Q1422" s="25"/>
      <c r="R1422" s="29" t="s">
        <v>262</v>
      </c>
      <c r="S1422" s="25" t="n">
        <f>13076293</f>
        <v>1.3076293E7</v>
      </c>
      <c r="T1422" s="25" t="str">
        <f>"－"</f>
        <v>－</v>
      </c>
      <c r="U1422" s="3" t="s">
        <v>1091</v>
      </c>
      <c r="V1422" s="27" t="n">
        <f>356738000</f>
        <v>3.56738E8</v>
      </c>
      <c r="W1422" s="3" t="s">
        <v>156</v>
      </c>
      <c r="X1422" s="27" t="str">
        <f>"－"</f>
        <v>－</v>
      </c>
      <c r="Y1422" s="27" t="n">
        <f>8821</f>
        <v>8821.0</v>
      </c>
      <c r="Z1422" s="25" t="str">
        <f>"－"</f>
        <v>－</v>
      </c>
      <c r="AA1422" s="25" t="n">
        <f>18768</f>
        <v>18768.0</v>
      </c>
      <c r="AB1422" s="2" t="s">
        <v>171</v>
      </c>
      <c r="AC1422" s="26" t="n">
        <f>28807</f>
        <v>28807.0</v>
      </c>
      <c r="AD1422" s="3" t="s">
        <v>84</v>
      </c>
      <c r="AE1422" s="27" t="n">
        <f>1035</f>
        <v>1035.0</v>
      </c>
    </row>
    <row r="1423">
      <c r="A1423" s="20" t="s">
        <v>2507</v>
      </c>
      <c r="B1423" s="21" t="s">
        <v>2508</v>
      </c>
      <c r="C1423" s="22" t="s">
        <v>1764</v>
      </c>
      <c r="D1423" s="23" t="s">
        <v>1765</v>
      </c>
      <c r="E1423" s="24" t="s">
        <v>365</v>
      </c>
      <c r="F1423" s="28" t="n">
        <f>120</f>
        <v>120.0</v>
      </c>
      <c r="G1423" s="25" t="n">
        <f>104602</f>
        <v>104602.0</v>
      </c>
      <c r="H1423" s="25"/>
      <c r="I1423" s="25" t="str">
        <f>"－"</f>
        <v>－</v>
      </c>
      <c r="J1423" s="25" t="n">
        <f>872</f>
        <v>872.0</v>
      </c>
      <c r="K1423" s="25" t="str">
        <f>"－"</f>
        <v>－</v>
      </c>
      <c r="L1423" s="2" t="s">
        <v>950</v>
      </c>
      <c r="M1423" s="26" t="n">
        <f>13081</f>
        <v>13081.0</v>
      </c>
      <c r="N1423" s="3" t="s">
        <v>168</v>
      </c>
      <c r="O1423" s="27" t="str">
        <f>"－"</f>
        <v>－</v>
      </c>
      <c r="P1423" s="29" t="s">
        <v>2537</v>
      </c>
      <c r="Q1423" s="25"/>
      <c r="R1423" s="29" t="s">
        <v>262</v>
      </c>
      <c r="S1423" s="25" t="n">
        <f>11141571</f>
        <v>1.1141571E7</v>
      </c>
      <c r="T1423" s="25" t="str">
        <f>"－"</f>
        <v>－</v>
      </c>
      <c r="U1423" s="3" t="s">
        <v>176</v>
      </c>
      <c r="V1423" s="27" t="n">
        <f>80508000</f>
        <v>8.0508E7</v>
      </c>
      <c r="W1423" s="3" t="s">
        <v>168</v>
      </c>
      <c r="X1423" s="27" t="str">
        <f>"－"</f>
        <v>－</v>
      </c>
      <c r="Y1423" s="27" t="n">
        <f>16461</f>
        <v>16461.0</v>
      </c>
      <c r="Z1423" s="25" t="str">
        <f>"－"</f>
        <v>－</v>
      </c>
      <c r="AA1423" s="25" t="n">
        <f>8943</f>
        <v>8943.0</v>
      </c>
      <c r="AB1423" s="2" t="s">
        <v>233</v>
      </c>
      <c r="AC1423" s="26" t="n">
        <f>50683</f>
        <v>50683.0</v>
      </c>
      <c r="AD1423" s="3" t="s">
        <v>84</v>
      </c>
      <c r="AE1423" s="27" t="n">
        <f>4756</f>
        <v>4756.0</v>
      </c>
    </row>
    <row r="1424">
      <c r="A1424" s="20" t="s">
        <v>2507</v>
      </c>
      <c r="B1424" s="21" t="s">
        <v>2508</v>
      </c>
      <c r="C1424" s="22" t="s">
        <v>1768</v>
      </c>
      <c r="D1424" s="23" t="s">
        <v>1769</v>
      </c>
      <c r="E1424" s="24" t="s">
        <v>365</v>
      </c>
      <c r="F1424" s="28" t="n">
        <f>120</f>
        <v>120.0</v>
      </c>
      <c r="G1424" s="25" t="n">
        <f>167907</f>
        <v>167907.0</v>
      </c>
      <c r="H1424" s="25"/>
      <c r="I1424" s="25" t="str">
        <f>"－"</f>
        <v>－</v>
      </c>
      <c r="J1424" s="25" t="n">
        <f>1399</f>
        <v>1399.0</v>
      </c>
      <c r="K1424" s="25" t="str">
        <f>"－"</f>
        <v>－</v>
      </c>
      <c r="L1424" s="2" t="s">
        <v>950</v>
      </c>
      <c r="M1424" s="26" t="n">
        <f>13520</f>
        <v>13520.0</v>
      </c>
      <c r="N1424" s="3" t="s">
        <v>1121</v>
      </c>
      <c r="O1424" s="27" t="n">
        <f>15</f>
        <v>15.0</v>
      </c>
      <c r="P1424" s="29" t="s">
        <v>2538</v>
      </c>
      <c r="Q1424" s="25"/>
      <c r="R1424" s="29" t="s">
        <v>262</v>
      </c>
      <c r="S1424" s="25" t="n">
        <f>24217864</f>
        <v>2.4217864E7</v>
      </c>
      <c r="T1424" s="25" t="str">
        <f>"－"</f>
        <v>－</v>
      </c>
      <c r="U1424" s="3" t="s">
        <v>1091</v>
      </c>
      <c r="V1424" s="27" t="n">
        <f>373897000</f>
        <v>3.73897E8</v>
      </c>
      <c r="W1424" s="3" t="s">
        <v>1121</v>
      </c>
      <c r="X1424" s="27" t="n">
        <f>140000</f>
        <v>140000.0</v>
      </c>
      <c r="Y1424" s="27" t="n">
        <f>25282</f>
        <v>25282.0</v>
      </c>
      <c r="Z1424" s="25" t="str">
        <f>"－"</f>
        <v>－</v>
      </c>
      <c r="AA1424" s="25" t="n">
        <f>27711</f>
        <v>27711.0</v>
      </c>
      <c r="AB1424" s="2" t="s">
        <v>546</v>
      </c>
      <c r="AC1424" s="26" t="n">
        <f>60779</f>
        <v>60779.0</v>
      </c>
      <c r="AD1424" s="3" t="s">
        <v>84</v>
      </c>
      <c r="AE1424" s="27" t="n">
        <f>5791</f>
        <v>5791.0</v>
      </c>
    </row>
    <row r="1425">
      <c r="A1425" s="20" t="s">
        <v>2507</v>
      </c>
      <c r="B1425" s="21" t="s">
        <v>2508</v>
      </c>
      <c r="C1425" s="22" t="s">
        <v>1760</v>
      </c>
      <c r="D1425" s="23" t="s">
        <v>1761</v>
      </c>
      <c r="E1425" s="24" t="s">
        <v>370</v>
      </c>
      <c r="F1425" s="28" t="n">
        <f>126</f>
        <v>126.0</v>
      </c>
      <c r="G1425" s="25" t="n">
        <f>36720</f>
        <v>36720.0</v>
      </c>
      <c r="H1425" s="25"/>
      <c r="I1425" s="25" t="str">
        <f>"－"</f>
        <v>－</v>
      </c>
      <c r="J1425" s="25" t="n">
        <f>291</f>
        <v>291.0</v>
      </c>
      <c r="K1425" s="25" t="str">
        <f>"－"</f>
        <v>－</v>
      </c>
      <c r="L1425" s="2" t="s">
        <v>879</v>
      </c>
      <c r="M1425" s="26" t="n">
        <f>3186</f>
        <v>3186.0</v>
      </c>
      <c r="N1425" s="3" t="s">
        <v>1100</v>
      </c>
      <c r="O1425" s="27" t="str">
        <f>"－"</f>
        <v>－</v>
      </c>
      <c r="P1425" s="29" t="s">
        <v>2539</v>
      </c>
      <c r="Q1425" s="25"/>
      <c r="R1425" s="29" t="s">
        <v>262</v>
      </c>
      <c r="S1425" s="25" t="n">
        <f>5502646</f>
        <v>5502646.0</v>
      </c>
      <c r="T1425" s="25" t="str">
        <f>"－"</f>
        <v>－</v>
      </c>
      <c r="U1425" s="3" t="s">
        <v>976</v>
      </c>
      <c r="V1425" s="27" t="n">
        <f>99685000</f>
        <v>9.9685E7</v>
      </c>
      <c r="W1425" s="3" t="s">
        <v>1100</v>
      </c>
      <c r="X1425" s="27" t="str">
        <f>"－"</f>
        <v>－</v>
      </c>
      <c r="Y1425" s="27" t="n">
        <f>14853</f>
        <v>14853.0</v>
      </c>
      <c r="Z1425" s="25" t="str">
        <f>"－"</f>
        <v>－</v>
      </c>
      <c r="AA1425" s="25" t="n">
        <f>8851</f>
        <v>8851.0</v>
      </c>
      <c r="AB1425" s="2" t="s">
        <v>854</v>
      </c>
      <c r="AC1425" s="26" t="n">
        <f>23094</f>
        <v>23094.0</v>
      </c>
      <c r="AD1425" s="3" t="s">
        <v>473</v>
      </c>
      <c r="AE1425" s="27" t="n">
        <f>965</f>
        <v>965.0</v>
      </c>
    </row>
    <row r="1426">
      <c r="A1426" s="20" t="s">
        <v>2507</v>
      </c>
      <c r="B1426" s="21" t="s">
        <v>2508</v>
      </c>
      <c r="C1426" s="22" t="s">
        <v>1764</v>
      </c>
      <c r="D1426" s="23" t="s">
        <v>1765</v>
      </c>
      <c r="E1426" s="24" t="s">
        <v>370</v>
      </c>
      <c r="F1426" s="28" t="n">
        <f>126</f>
        <v>126.0</v>
      </c>
      <c r="G1426" s="25" t="n">
        <f>99640</f>
        <v>99640.0</v>
      </c>
      <c r="H1426" s="25"/>
      <c r="I1426" s="25" t="str">
        <f>"－"</f>
        <v>－</v>
      </c>
      <c r="J1426" s="25" t="n">
        <f>791</f>
        <v>791.0</v>
      </c>
      <c r="K1426" s="25" t="str">
        <f>"－"</f>
        <v>－</v>
      </c>
      <c r="L1426" s="2" t="s">
        <v>117</v>
      </c>
      <c r="M1426" s="26" t="n">
        <f>10212</f>
        <v>10212.0</v>
      </c>
      <c r="N1426" s="3" t="s">
        <v>362</v>
      </c>
      <c r="O1426" s="27" t="str">
        <f>"－"</f>
        <v>－</v>
      </c>
      <c r="P1426" s="29" t="s">
        <v>2540</v>
      </c>
      <c r="Q1426" s="25"/>
      <c r="R1426" s="29" t="s">
        <v>262</v>
      </c>
      <c r="S1426" s="25" t="n">
        <f>6899890</f>
        <v>6899890.0</v>
      </c>
      <c r="T1426" s="25" t="str">
        <f>"－"</f>
        <v>－</v>
      </c>
      <c r="U1426" s="3" t="s">
        <v>879</v>
      </c>
      <c r="V1426" s="27" t="n">
        <f>248285000</f>
        <v>2.48285E8</v>
      </c>
      <c r="W1426" s="3" t="s">
        <v>362</v>
      </c>
      <c r="X1426" s="27" t="str">
        <f>"－"</f>
        <v>－</v>
      </c>
      <c r="Y1426" s="27" t="n">
        <f>6628</f>
        <v>6628.0</v>
      </c>
      <c r="Z1426" s="25" t="str">
        <f>"－"</f>
        <v>－</v>
      </c>
      <c r="AA1426" s="25" t="n">
        <f>21459</f>
        <v>21459.0</v>
      </c>
      <c r="AB1426" s="2" t="s">
        <v>67</v>
      </c>
      <c r="AC1426" s="26" t="n">
        <f>50183</f>
        <v>50183.0</v>
      </c>
      <c r="AD1426" s="3" t="s">
        <v>53</v>
      </c>
      <c r="AE1426" s="27" t="n">
        <f>6421</f>
        <v>6421.0</v>
      </c>
    </row>
    <row r="1427">
      <c r="A1427" s="20" t="s">
        <v>2507</v>
      </c>
      <c r="B1427" s="21" t="s">
        <v>2508</v>
      </c>
      <c r="C1427" s="22" t="s">
        <v>1768</v>
      </c>
      <c r="D1427" s="23" t="s">
        <v>1769</v>
      </c>
      <c r="E1427" s="24" t="s">
        <v>370</v>
      </c>
      <c r="F1427" s="28" t="n">
        <f>126</f>
        <v>126.0</v>
      </c>
      <c r="G1427" s="25" t="n">
        <f>136360</f>
        <v>136360.0</v>
      </c>
      <c r="H1427" s="25"/>
      <c r="I1427" s="25" t="str">
        <f>"－"</f>
        <v>－</v>
      </c>
      <c r="J1427" s="25" t="n">
        <f>1082</f>
        <v>1082.0</v>
      </c>
      <c r="K1427" s="25" t="str">
        <f>"－"</f>
        <v>－</v>
      </c>
      <c r="L1427" s="2" t="s">
        <v>117</v>
      </c>
      <c r="M1427" s="26" t="n">
        <f>11022</f>
        <v>11022.0</v>
      </c>
      <c r="N1427" s="3" t="s">
        <v>1828</v>
      </c>
      <c r="O1427" s="27" t="str">
        <f>"－"</f>
        <v>－</v>
      </c>
      <c r="P1427" s="29" t="s">
        <v>2541</v>
      </c>
      <c r="Q1427" s="25"/>
      <c r="R1427" s="29" t="s">
        <v>262</v>
      </c>
      <c r="S1427" s="25" t="n">
        <f>12402536</f>
        <v>1.2402536E7</v>
      </c>
      <c r="T1427" s="25" t="str">
        <f>"－"</f>
        <v>－</v>
      </c>
      <c r="U1427" s="3" t="s">
        <v>879</v>
      </c>
      <c r="V1427" s="27" t="n">
        <f>269095000</f>
        <v>2.69095E8</v>
      </c>
      <c r="W1427" s="3" t="s">
        <v>1828</v>
      </c>
      <c r="X1427" s="27" t="str">
        <f>"－"</f>
        <v>－</v>
      </c>
      <c r="Y1427" s="27" t="n">
        <f>21481</f>
        <v>21481.0</v>
      </c>
      <c r="Z1427" s="25" t="str">
        <f>"－"</f>
        <v>－</v>
      </c>
      <c r="AA1427" s="25" t="n">
        <f>30310</f>
        <v>30310.0</v>
      </c>
      <c r="AB1427" s="2" t="s">
        <v>67</v>
      </c>
      <c r="AC1427" s="26" t="n">
        <f>59412</f>
        <v>59412.0</v>
      </c>
      <c r="AD1427" s="3" t="s">
        <v>53</v>
      </c>
      <c r="AE1427" s="27" t="n">
        <f>8871</f>
        <v>8871.0</v>
      </c>
    </row>
    <row r="1428">
      <c r="A1428" s="20" t="s">
        <v>2507</v>
      </c>
      <c r="B1428" s="21" t="s">
        <v>2508</v>
      </c>
      <c r="C1428" s="22" t="s">
        <v>1760</v>
      </c>
      <c r="D1428" s="23" t="s">
        <v>1761</v>
      </c>
      <c r="E1428" s="24" t="s">
        <v>374</v>
      </c>
      <c r="F1428" s="28" t="n">
        <f>121</f>
        <v>121.0</v>
      </c>
      <c r="G1428" s="25" t="n">
        <f>51751</f>
        <v>51751.0</v>
      </c>
      <c r="H1428" s="25"/>
      <c r="I1428" s="25" t="str">
        <f>"－"</f>
        <v>－</v>
      </c>
      <c r="J1428" s="25" t="n">
        <f>428</f>
        <v>428.0</v>
      </c>
      <c r="K1428" s="25" t="str">
        <f>"－"</f>
        <v>－</v>
      </c>
      <c r="L1428" s="2" t="s">
        <v>414</v>
      </c>
      <c r="M1428" s="26" t="n">
        <f>15219</f>
        <v>15219.0</v>
      </c>
      <c r="N1428" s="3" t="s">
        <v>328</v>
      </c>
      <c r="O1428" s="27" t="str">
        <f>"－"</f>
        <v>－</v>
      </c>
      <c r="P1428" s="29" t="s">
        <v>2542</v>
      </c>
      <c r="Q1428" s="25"/>
      <c r="R1428" s="29" t="s">
        <v>262</v>
      </c>
      <c r="S1428" s="25" t="n">
        <f>3263426</f>
        <v>3263426.0</v>
      </c>
      <c r="T1428" s="25" t="str">
        <f>"－"</f>
        <v>－</v>
      </c>
      <c r="U1428" s="3" t="s">
        <v>414</v>
      </c>
      <c r="V1428" s="27" t="n">
        <f>120966550</f>
        <v>1.2096655E8</v>
      </c>
      <c r="W1428" s="3" t="s">
        <v>328</v>
      </c>
      <c r="X1428" s="27" t="str">
        <f>"－"</f>
        <v>－</v>
      </c>
      <c r="Y1428" s="27" t="n">
        <f>10017</f>
        <v>10017.0</v>
      </c>
      <c r="Z1428" s="25" t="str">
        <f>"－"</f>
        <v>－</v>
      </c>
      <c r="AA1428" s="25" t="n">
        <f>22567</f>
        <v>22567.0</v>
      </c>
      <c r="AB1428" s="2" t="s">
        <v>400</v>
      </c>
      <c r="AC1428" s="26" t="n">
        <f>22602</f>
        <v>22602.0</v>
      </c>
      <c r="AD1428" s="3" t="s">
        <v>233</v>
      </c>
      <c r="AE1428" s="27" t="n">
        <f>2860</f>
        <v>2860.0</v>
      </c>
    </row>
    <row r="1429">
      <c r="A1429" s="20" t="s">
        <v>2507</v>
      </c>
      <c r="B1429" s="21" t="s">
        <v>2508</v>
      </c>
      <c r="C1429" s="22" t="s">
        <v>1764</v>
      </c>
      <c r="D1429" s="23" t="s">
        <v>1765</v>
      </c>
      <c r="E1429" s="24" t="s">
        <v>374</v>
      </c>
      <c r="F1429" s="28" t="n">
        <f>121</f>
        <v>121.0</v>
      </c>
      <c r="G1429" s="25" t="n">
        <f>105357</f>
        <v>105357.0</v>
      </c>
      <c r="H1429" s="25"/>
      <c r="I1429" s="25" t="str">
        <f>"－"</f>
        <v>－</v>
      </c>
      <c r="J1429" s="25" t="n">
        <f>871</f>
        <v>871.0</v>
      </c>
      <c r="K1429" s="25" t="str">
        <f>"－"</f>
        <v>－</v>
      </c>
      <c r="L1429" s="2" t="s">
        <v>414</v>
      </c>
      <c r="M1429" s="26" t="n">
        <f>15180</f>
        <v>15180.0</v>
      </c>
      <c r="N1429" s="3" t="s">
        <v>508</v>
      </c>
      <c r="O1429" s="27" t="str">
        <f>"－"</f>
        <v>－</v>
      </c>
      <c r="P1429" s="29" t="s">
        <v>2543</v>
      </c>
      <c r="Q1429" s="25"/>
      <c r="R1429" s="29" t="s">
        <v>262</v>
      </c>
      <c r="S1429" s="25" t="n">
        <f>5625813</f>
        <v>5625813.0</v>
      </c>
      <c r="T1429" s="25" t="str">
        <f>"－"</f>
        <v>－</v>
      </c>
      <c r="U1429" s="3" t="s">
        <v>414</v>
      </c>
      <c r="V1429" s="27" t="n">
        <f>127368600</f>
        <v>1.273686E8</v>
      </c>
      <c r="W1429" s="3" t="s">
        <v>508</v>
      </c>
      <c r="X1429" s="27" t="str">
        <f>"－"</f>
        <v>－</v>
      </c>
      <c r="Y1429" s="27" t="n">
        <f>11625</f>
        <v>11625.0</v>
      </c>
      <c r="Z1429" s="25" t="str">
        <f>"－"</f>
        <v>－</v>
      </c>
      <c r="AA1429" s="25" t="n">
        <f>35109</f>
        <v>35109.0</v>
      </c>
      <c r="AB1429" s="2" t="s">
        <v>101</v>
      </c>
      <c r="AC1429" s="26" t="n">
        <f>37073</f>
        <v>37073.0</v>
      </c>
      <c r="AD1429" s="3" t="s">
        <v>60</v>
      </c>
      <c r="AE1429" s="27" t="n">
        <f>2076</f>
        <v>2076.0</v>
      </c>
    </row>
    <row r="1430">
      <c r="A1430" s="20" t="s">
        <v>2507</v>
      </c>
      <c r="B1430" s="21" t="s">
        <v>2508</v>
      </c>
      <c r="C1430" s="22" t="s">
        <v>1768</v>
      </c>
      <c r="D1430" s="23" t="s">
        <v>1769</v>
      </c>
      <c r="E1430" s="24" t="s">
        <v>374</v>
      </c>
      <c r="F1430" s="28" t="n">
        <f>121</f>
        <v>121.0</v>
      </c>
      <c r="G1430" s="25" t="n">
        <f>157108</f>
        <v>157108.0</v>
      </c>
      <c r="H1430" s="25"/>
      <c r="I1430" s="25" t="str">
        <f>"－"</f>
        <v>－</v>
      </c>
      <c r="J1430" s="25" t="n">
        <f>1298</f>
        <v>1298.0</v>
      </c>
      <c r="K1430" s="25" t="str">
        <f>"－"</f>
        <v>－</v>
      </c>
      <c r="L1430" s="2" t="s">
        <v>414</v>
      </c>
      <c r="M1430" s="26" t="n">
        <f>30399</f>
        <v>30399.0</v>
      </c>
      <c r="N1430" s="3" t="s">
        <v>56</v>
      </c>
      <c r="O1430" s="27" t="str">
        <f>"－"</f>
        <v>－</v>
      </c>
      <c r="P1430" s="29" t="s">
        <v>2544</v>
      </c>
      <c r="Q1430" s="25"/>
      <c r="R1430" s="29" t="s">
        <v>262</v>
      </c>
      <c r="S1430" s="25" t="n">
        <f>8889239</f>
        <v>8889239.0</v>
      </c>
      <c r="T1430" s="25" t="str">
        <f>"－"</f>
        <v>－</v>
      </c>
      <c r="U1430" s="3" t="s">
        <v>414</v>
      </c>
      <c r="V1430" s="27" t="n">
        <f>248335150</f>
        <v>2.4833515E8</v>
      </c>
      <c r="W1430" s="3" t="s">
        <v>56</v>
      </c>
      <c r="X1430" s="27" t="str">
        <f>"－"</f>
        <v>－</v>
      </c>
      <c r="Y1430" s="27" t="n">
        <f>21642</f>
        <v>21642.0</v>
      </c>
      <c r="Z1430" s="25" t="str">
        <f>"－"</f>
        <v>－</v>
      </c>
      <c r="AA1430" s="25" t="n">
        <f>57676</f>
        <v>57676.0</v>
      </c>
      <c r="AB1430" s="2" t="s">
        <v>251</v>
      </c>
      <c r="AC1430" s="26" t="n">
        <f>57676</f>
        <v>57676.0</v>
      </c>
      <c r="AD1430" s="3" t="s">
        <v>60</v>
      </c>
      <c r="AE1430" s="27" t="n">
        <f>5537</f>
        <v>5537.0</v>
      </c>
    </row>
    <row r="1431">
      <c r="A1431" s="20" t="s">
        <v>2507</v>
      </c>
      <c r="B1431" s="21" t="s">
        <v>2508</v>
      </c>
      <c r="C1431" s="22" t="s">
        <v>1760</v>
      </c>
      <c r="D1431" s="23" t="s">
        <v>1761</v>
      </c>
      <c r="E1431" s="24" t="s">
        <v>379</v>
      </c>
      <c r="F1431" s="28" t="n">
        <f>124</f>
        <v>124.0</v>
      </c>
      <c r="G1431" s="25" t="n">
        <f>46057</f>
        <v>46057.0</v>
      </c>
      <c r="H1431" s="25"/>
      <c r="I1431" s="25" t="str">
        <f>"－"</f>
        <v>－</v>
      </c>
      <c r="J1431" s="25" t="n">
        <f>371</f>
        <v>371.0</v>
      </c>
      <c r="K1431" s="25" t="str">
        <f>"－"</f>
        <v>－</v>
      </c>
      <c r="L1431" s="2" t="s">
        <v>332</v>
      </c>
      <c r="M1431" s="26" t="n">
        <f>15555</f>
        <v>15555.0</v>
      </c>
      <c r="N1431" s="3" t="s">
        <v>945</v>
      </c>
      <c r="O1431" s="27" t="str">
        <f>"－"</f>
        <v>－</v>
      </c>
      <c r="P1431" s="29" t="s">
        <v>2545</v>
      </c>
      <c r="Q1431" s="25"/>
      <c r="R1431" s="29" t="s">
        <v>262</v>
      </c>
      <c r="S1431" s="25" t="n">
        <f>3094400</f>
        <v>3094400.0</v>
      </c>
      <c r="T1431" s="25" t="str">
        <f>"－"</f>
        <v>－</v>
      </c>
      <c r="U1431" s="3" t="s">
        <v>332</v>
      </c>
      <c r="V1431" s="27" t="n">
        <f>42308700</f>
        <v>4.23087E7</v>
      </c>
      <c r="W1431" s="3" t="s">
        <v>945</v>
      </c>
      <c r="X1431" s="27" t="str">
        <f>"－"</f>
        <v>－</v>
      </c>
      <c r="Y1431" s="27" t="n">
        <f>4042</f>
        <v>4042.0</v>
      </c>
      <c r="Z1431" s="25" t="str">
        <f>"－"</f>
        <v>－</v>
      </c>
      <c r="AA1431" s="25" t="n">
        <f>5637</f>
        <v>5637.0</v>
      </c>
      <c r="AB1431" s="2" t="s">
        <v>879</v>
      </c>
      <c r="AC1431" s="26" t="n">
        <f>23663</f>
        <v>23663.0</v>
      </c>
      <c r="AD1431" s="3" t="s">
        <v>95</v>
      </c>
      <c r="AE1431" s="27" t="n">
        <f>1622</f>
        <v>1622.0</v>
      </c>
    </row>
    <row r="1432">
      <c r="A1432" s="20" t="s">
        <v>2507</v>
      </c>
      <c r="B1432" s="21" t="s">
        <v>2508</v>
      </c>
      <c r="C1432" s="22" t="s">
        <v>1764</v>
      </c>
      <c r="D1432" s="23" t="s">
        <v>1765</v>
      </c>
      <c r="E1432" s="24" t="s">
        <v>379</v>
      </c>
      <c r="F1432" s="28" t="n">
        <f>124</f>
        <v>124.0</v>
      </c>
      <c r="G1432" s="25" t="n">
        <f>93409</f>
        <v>93409.0</v>
      </c>
      <c r="H1432" s="25"/>
      <c r="I1432" s="25" t="str">
        <f>"－"</f>
        <v>－</v>
      </c>
      <c r="J1432" s="25" t="n">
        <f>753</f>
        <v>753.0</v>
      </c>
      <c r="K1432" s="25" t="str">
        <f>"－"</f>
        <v>－</v>
      </c>
      <c r="L1432" s="2" t="s">
        <v>332</v>
      </c>
      <c r="M1432" s="26" t="n">
        <f>15129</f>
        <v>15129.0</v>
      </c>
      <c r="N1432" s="3" t="s">
        <v>277</v>
      </c>
      <c r="O1432" s="27" t="str">
        <f>"－"</f>
        <v>－</v>
      </c>
      <c r="P1432" s="29" t="s">
        <v>2546</v>
      </c>
      <c r="Q1432" s="25"/>
      <c r="R1432" s="29" t="s">
        <v>262</v>
      </c>
      <c r="S1432" s="25" t="n">
        <f>5070439</f>
        <v>5070439.0</v>
      </c>
      <c r="T1432" s="25" t="str">
        <f>"－"</f>
        <v>－</v>
      </c>
      <c r="U1432" s="3" t="s">
        <v>332</v>
      </c>
      <c r="V1432" s="27" t="n">
        <f>129352950</f>
        <v>1.2935295E8</v>
      </c>
      <c r="W1432" s="3" t="s">
        <v>277</v>
      </c>
      <c r="X1432" s="27" t="str">
        <f>"－"</f>
        <v>－</v>
      </c>
      <c r="Y1432" s="27" t="n">
        <f>15862</f>
        <v>15862.0</v>
      </c>
      <c r="Z1432" s="25" t="str">
        <f>"－"</f>
        <v>－</v>
      </c>
      <c r="AA1432" s="25" t="n">
        <f>10268</f>
        <v>10268.0</v>
      </c>
      <c r="AB1432" s="2" t="s">
        <v>128</v>
      </c>
      <c r="AC1432" s="26" t="n">
        <f>46039</f>
        <v>46039.0</v>
      </c>
      <c r="AD1432" s="3" t="s">
        <v>67</v>
      </c>
      <c r="AE1432" s="27" t="n">
        <f>4340</f>
        <v>4340.0</v>
      </c>
    </row>
    <row r="1433">
      <c r="A1433" s="20" t="s">
        <v>2507</v>
      </c>
      <c r="B1433" s="21" t="s">
        <v>2508</v>
      </c>
      <c r="C1433" s="22" t="s">
        <v>1768</v>
      </c>
      <c r="D1433" s="23" t="s">
        <v>1769</v>
      </c>
      <c r="E1433" s="24" t="s">
        <v>379</v>
      </c>
      <c r="F1433" s="28" t="n">
        <f>124</f>
        <v>124.0</v>
      </c>
      <c r="G1433" s="25" t="n">
        <f>139466</f>
        <v>139466.0</v>
      </c>
      <c r="H1433" s="25"/>
      <c r="I1433" s="25" t="str">
        <f>"－"</f>
        <v>－</v>
      </c>
      <c r="J1433" s="25" t="n">
        <f>1125</f>
        <v>1125.0</v>
      </c>
      <c r="K1433" s="25" t="str">
        <f>"－"</f>
        <v>－</v>
      </c>
      <c r="L1433" s="2" t="s">
        <v>332</v>
      </c>
      <c r="M1433" s="26" t="n">
        <f>30684</f>
        <v>30684.0</v>
      </c>
      <c r="N1433" s="3" t="s">
        <v>1122</v>
      </c>
      <c r="O1433" s="27" t="str">
        <f>"－"</f>
        <v>－</v>
      </c>
      <c r="P1433" s="29" t="s">
        <v>2547</v>
      </c>
      <c r="Q1433" s="25"/>
      <c r="R1433" s="29" t="s">
        <v>262</v>
      </c>
      <c r="S1433" s="25" t="n">
        <f>8164839</f>
        <v>8164839.0</v>
      </c>
      <c r="T1433" s="25" t="str">
        <f>"－"</f>
        <v>－</v>
      </c>
      <c r="U1433" s="3" t="s">
        <v>332</v>
      </c>
      <c r="V1433" s="27" t="n">
        <f>171661650</f>
        <v>1.7166165E8</v>
      </c>
      <c r="W1433" s="3" t="s">
        <v>1122</v>
      </c>
      <c r="X1433" s="27" t="str">
        <f>"－"</f>
        <v>－</v>
      </c>
      <c r="Y1433" s="27" t="n">
        <f>19904</f>
        <v>19904.0</v>
      </c>
      <c r="Z1433" s="25" t="str">
        <f>"－"</f>
        <v>－</v>
      </c>
      <c r="AA1433" s="25" t="n">
        <f>15905</f>
        <v>15905.0</v>
      </c>
      <c r="AB1433" s="2" t="s">
        <v>854</v>
      </c>
      <c r="AC1433" s="26" t="n">
        <f>61327</f>
        <v>61327.0</v>
      </c>
      <c r="AD1433" s="3" t="s">
        <v>67</v>
      </c>
      <c r="AE1433" s="27" t="n">
        <f>7823</f>
        <v>7823.0</v>
      </c>
    </row>
    <row r="1434">
      <c r="A1434" s="20" t="s">
        <v>2507</v>
      </c>
      <c r="B1434" s="21" t="s">
        <v>2508</v>
      </c>
      <c r="C1434" s="22" t="s">
        <v>1760</v>
      </c>
      <c r="D1434" s="23" t="s">
        <v>1761</v>
      </c>
      <c r="E1434" s="24" t="s">
        <v>382</v>
      </c>
      <c r="F1434" s="28" t="n">
        <f>122</f>
        <v>122.0</v>
      </c>
      <c r="G1434" s="25" t="n">
        <f>31382</f>
        <v>31382.0</v>
      </c>
      <c r="H1434" s="25"/>
      <c r="I1434" s="25" t="str">
        <f>"－"</f>
        <v>－</v>
      </c>
      <c r="J1434" s="25" t="n">
        <f>257</f>
        <v>257.0</v>
      </c>
      <c r="K1434" s="25" t="str">
        <f>"－"</f>
        <v>－</v>
      </c>
      <c r="L1434" s="2" t="s">
        <v>1171</v>
      </c>
      <c r="M1434" s="26" t="n">
        <f>2020</f>
        <v>2020.0</v>
      </c>
      <c r="N1434" s="3" t="s">
        <v>448</v>
      </c>
      <c r="O1434" s="27" t="str">
        <f>"－"</f>
        <v>－</v>
      </c>
      <c r="P1434" s="29" t="s">
        <v>2548</v>
      </c>
      <c r="Q1434" s="25"/>
      <c r="R1434" s="29" t="s">
        <v>262</v>
      </c>
      <c r="S1434" s="25" t="n">
        <f>3163262</f>
        <v>3163262.0</v>
      </c>
      <c r="T1434" s="25" t="str">
        <f>"－"</f>
        <v>－</v>
      </c>
      <c r="U1434" s="3" t="s">
        <v>1171</v>
      </c>
      <c r="V1434" s="27" t="n">
        <f>33120000</f>
        <v>3.312E7</v>
      </c>
      <c r="W1434" s="3" t="s">
        <v>448</v>
      </c>
      <c r="X1434" s="27" t="str">
        <f>"－"</f>
        <v>－</v>
      </c>
      <c r="Y1434" s="27" t="n">
        <f>4799</f>
        <v>4799.0</v>
      </c>
      <c r="Z1434" s="25" t="str">
        <f>"－"</f>
        <v>－</v>
      </c>
      <c r="AA1434" s="25" t="n">
        <f>7568</f>
        <v>7568.0</v>
      </c>
      <c r="AB1434" s="2" t="s">
        <v>88</v>
      </c>
      <c r="AC1434" s="26" t="n">
        <f>11231</f>
        <v>11231.0</v>
      </c>
      <c r="AD1434" s="3" t="s">
        <v>134</v>
      </c>
      <c r="AE1434" s="27" t="n">
        <f>1657</f>
        <v>1657.0</v>
      </c>
    </row>
    <row r="1435">
      <c r="A1435" s="20" t="s">
        <v>2507</v>
      </c>
      <c r="B1435" s="21" t="s">
        <v>2508</v>
      </c>
      <c r="C1435" s="22" t="s">
        <v>1764</v>
      </c>
      <c r="D1435" s="23" t="s">
        <v>1765</v>
      </c>
      <c r="E1435" s="24" t="s">
        <v>382</v>
      </c>
      <c r="F1435" s="28" t="n">
        <f>122</f>
        <v>122.0</v>
      </c>
      <c r="G1435" s="25" t="n">
        <f>67602</f>
        <v>67602.0</v>
      </c>
      <c r="H1435" s="25"/>
      <c r="I1435" s="25" t="str">
        <f>"－"</f>
        <v>－</v>
      </c>
      <c r="J1435" s="25" t="n">
        <f>554</f>
        <v>554.0</v>
      </c>
      <c r="K1435" s="25" t="str">
        <f>"－"</f>
        <v>－</v>
      </c>
      <c r="L1435" s="2" t="s">
        <v>1401</v>
      </c>
      <c r="M1435" s="26" t="n">
        <f>23520</f>
        <v>23520.0</v>
      </c>
      <c r="N1435" s="3" t="s">
        <v>422</v>
      </c>
      <c r="O1435" s="27" t="str">
        <f>"－"</f>
        <v>－</v>
      </c>
      <c r="P1435" s="29" t="s">
        <v>2549</v>
      </c>
      <c r="Q1435" s="25"/>
      <c r="R1435" s="29" t="s">
        <v>262</v>
      </c>
      <c r="S1435" s="25" t="n">
        <f>9929287</f>
        <v>9929287.0</v>
      </c>
      <c r="T1435" s="25" t="str">
        <f>"－"</f>
        <v>－</v>
      </c>
      <c r="U1435" s="3" t="s">
        <v>1401</v>
      </c>
      <c r="V1435" s="27" t="n">
        <f>408671500</f>
        <v>4.086715E8</v>
      </c>
      <c r="W1435" s="3" t="s">
        <v>422</v>
      </c>
      <c r="X1435" s="27" t="str">
        <f>"－"</f>
        <v>－</v>
      </c>
      <c r="Y1435" s="27" t="n">
        <f>7740</f>
        <v>7740.0</v>
      </c>
      <c r="Z1435" s="25" t="str">
        <f>"－"</f>
        <v>－</v>
      </c>
      <c r="AA1435" s="25" t="n">
        <f>7989</f>
        <v>7989.0</v>
      </c>
      <c r="AB1435" s="2" t="s">
        <v>1208</v>
      </c>
      <c r="AC1435" s="26" t="n">
        <f>50088</f>
        <v>50088.0</v>
      </c>
      <c r="AD1435" s="3" t="s">
        <v>307</v>
      </c>
      <c r="AE1435" s="27" t="n">
        <f>5970</f>
        <v>5970.0</v>
      </c>
    </row>
    <row r="1436">
      <c r="A1436" s="20" t="s">
        <v>2507</v>
      </c>
      <c r="B1436" s="21" t="s">
        <v>2508</v>
      </c>
      <c r="C1436" s="22" t="s">
        <v>1768</v>
      </c>
      <c r="D1436" s="23" t="s">
        <v>1769</v>
      </c>
      <c r="E1436" s="24" t="s">
        <v>382</v>
      </c>
      <c r="F1436" s="28" t="n">
        <f>122</f>
        <v>122.0</v>
      </c>
      <c r="G1436" s="25" t="n">
        <f>98984</f>
        <v>98984.0</v>
      </c>
      <c r="H1436" s="25"/>
      <c r="I1436" s="25" t="str">
        <f>"－"</f>
        <v>－</v>
      </c>
      <c r="J1436" s="25" t="n">
        <f>811</f>
        <v>811.0</v>
      </c>
      <c r="K1436" s="25" t="str">
        <f>"－"</f>
        <v>－</v>
      </c>
      <c r="L1436" s="2" t="s">
        <v>1401</v>
      </c>
      <c r="M1436" s="26" t="n">
        <f>23770</f>
        <v>23770.0</v>
      </c>
      <c r="N1436" s="3" t="s">
        <v>698</v>
      </c>
      <c r="O1436" s="27" t="str">
        <f>"－"</f>
        <v>－</v>
      </c>
      <c r="P1436" s="29" t="s">
        <v>2550</v>
      </c>
      <c r="Q1436" s="25"/>
      <c r="R1436" s="29" t="s">
        <v>262</v>
      </c>
      <c r="S1436" s="25" t="n">
        <f>13092550</f>
        <v>1.309255E7</v>
      </c>
      <c r="T1436" s="25" t="str">
        <f>"－"</f>
        <v>－</v>
      </c>
      <c r="U1436" s="3" t="s">
        <v>1401</v>
      </c>
      <c r="V1436" s="27" t="n">
        <f>412021500</f>
        <v>4.120215E8</v>
      </c>
      <c r="W1436" s="3" t="s">
        <v>698</v>
      </c>
      <c r="X1436" s="27" t="str">
        <f>"－"</f>
        <v>－</v>
      </c>
      <c r="Y1436" s="27" t="n">
        <f>12539</f>
        <v>12539.0</v>
      </c>
      <c r="Z1436" s="25" t="str">
        <f>"－"</f>
        <v>－</v>
      </c>
      <c r="AA1436" s="25" t="n">
        <f>15557</f>
        <v>15557.0</v>
      </c>
      <c r="AB1436" s="2" t="s">
        <v>1943</v>
      </c>
      <c r="AC1436" s="26" t="n">
        <f>60890</f>
        <v>60890.0</v>
      </c>
      <c r="AD1436" s="3" t="s">
        <v>307</v>
      </c>
      <c r="AE1436" s="27" t="n">
        <f>9127</f>
        <v>9127.0</v>
      </c>
    </row>
    <row r="1437">
      <c r="A1437" s="20" t="s">
        <v>2507</v>
      </c>
      <c r="B1437" s="21" t="s">
        <v>2508</v>
      </c>
      <c r="C1437" s="22" t="s">
        <v>1760</v>
      </c>
      <c r="D1437" s="23" t="s">
        <v>1761</v>
      </c>
      <c r="E1437" s="24" t="s">
        <v>385</v>
      </c>
      <c r="F1437" s="28" t="n">
        <f>124</f>
        <v>124.0</v>
      </c>
      <c r="G1437" s="25" t="n">
        <f>41462</f>
        <v>41462.0</v>
      </c>
      <c r="H1437" s="25"/>
      <c r="I1437" s="25" t="str">
        <f>"－"</f>
        <v>－</v>
      </c>
      <c r="J1437" s="25" t="n">
        <f>334</f>
        <v>334.0</v>
      </c>
      <c r="K1437" s="25" t="str">
        <f>"－"</f>
        <v>－</v>
      </c>
      <c r="L1437" s="2" t="s">
        <v>1015</v>
      </c>
      <c r="M1437" s="26" t="n">
        <f>15704</f>
        <v>15704.0</v>
      </c>
      <c r="N1437" s="3" t="s">
        <v>68</v>
      </c>
      <c r="O1437" s="27" t="str">
        <f>"－"</f>
        <v>－</v>
      </c>
      <c r="P1437" s="29" t="s">
        <v>2551</v>
      </c>
      <c r="Q1437" s="25"/>
      <c r="R1437" s="29" t="s">
        <v>262</v>
      </c>
      <c r="S1437" s="25" t="n">
        <f>9484610</f>
        <v>9484610.0</v>
      </c>
      <c r="T1437" s="25" t="str">
        <f>"－"</f>
        <v>－</v>
      </c>
      <c r="U1437" s="3" t="s">
        <v>1015</v>
      </c>
      <c r="V1437" s="27" t="n">
        <f>815874000</f>
        <v>8.15874E8</v>
      </c>
      <c r="W1437" s="3" t="s">
        <v>68</v>
      </c>
      <c r="X1437" s="27" t="str">
        <f>"－"</f>
        <v>－</v>
      </c>
      <c r="Y1437" s="27" t="n">
        <f>3067</f>
        <v>3067.0</v>
      </c>
      <c r="Z1437" s="25" t="str">
        <f>"－"</f>
        <v>－</v>
      </c>
      <c r="AA1437" s="25" t="n">
        <f>21417</f>
        <v>21417.0</v>
      </c>
      <c r="AB1437" s="2" t="s">
        <v>137</v>
      </c>
      <c r="AC1437" s="26" t="n">
        <f>22149</f>
        <v>22149.0</v>
      </c>
      <c r="AD1437" s="3" t="s">
        <v>125</v>
      </c>
      <c r="AE1437" s="27" t="n">
        <f>720</f>
        <v>720.0</v>
      </c>
    </row>
    <row r="1438">
      <c r="A1438" s="20" t="s">
        <v>2507</v>
      </c>
      <c r="B1438" s="21" t="s">
        <v>2508</v>
      </c>
      <c r="C1438" s="22" t="s">
        <v>1764</v>
      </c>
      <c r="D1438" s="23" t="s">
        <v>1765</v>
      </c>
      <c r="E1438" s="24" t="s">
        <v>385</v>
      </c>
      <c r="F1438" s="28" t="n">
        <f>124</f>
        <v>124.0</v>
      </c>
      <c r="G1438" s="25" t="n">
        <f>34036</f>
        <v>34036.0</v>
      </c>
      <c r="H1438" s="25"/>
      <c r="I1438" s="25" t="str">
        <f>"－"</f>
        <v>－</v>
      </c>
      <c r="J1438" s="25" t="n">
        <f>274</f>
        <v>274.0</v>
      </c>
      <c r="K1438" s="25" t="str">
        <f>"－"</f>
        <v>－</v>
      </c>
      <c r="L1438" s="2" t="s">
        <v>1015</v>
      </c>
      <c r="M1438" s="26" t="n">
        <f>15699</f>
        <v>15699.0</v>
      </c>
      <c r="N1438" s="3" t="s">
        <v>225</v>
      </c>
      <c r="O1438" s="27" t="str">
        <f>"－"</f>
        <v>－</v>
      </c>
      <c r="P1438" s="29" t="s">
        <v>2552</v>
      </c>
      <c r="Q1438" s="25"/>
      <c r="R1438" s="29" t="s">
        <v>262</v>
      </c>
      <c r="S1438" s="25" t="n">
        <f>9117895</f>
        <v>9117895.0</v>
      </c>
      <c r="T1438" s="25" t="str">
        <f>"－"</f>
        <v>－</v>
      </c>
      <c r="U1438" s="3" t="s">
        <v>1015</v>
      </c>
      <c r="V1438" s="27" t="n">
        <f>871215500</f>
        <v>8.712155E8</v>
      </c>
      <c r="W1438" s="3" t="s">
        <v>225</v>
      </c>
      <c r="X1438" s="27" t="str">
        <f>"－"</f>
        <v>－</v>
      </c>
      <c r="Y1438" s="27" t="n">
        <f>4590</f>
        <v>4590.0</v>
      </c>
      <c r="Z1438" s="25" t="str">
        <f>"－"</f>
        <v>－</v>
      </c>
      <c r="AA1438" s="25" t="n">
        <f>18639</f>
        <v>18639.0</v>
      </c>
      <c r="AB1438" s="2" t="s">
        <v>1408</v>
      </c>
      <c r="AC1438" s="26" t="n">
        <f>21454</f>
        <v>21454.0</v>
      </c>
      <c r="AD1438" s="3" t="s">
        <v>125</v>
      </c>
      <c r="AE1438" s="27" t="n">
        <f>1944</f>
        <v>1944.0</v>
      </c>
    </row>
    <row r="1439">
      <c r="A1439" s="20" t="s">
        <v>2507</v>
      </c>
      <c r="B1439" s="21" t="s">
        <v>2508</v>
      </c>
      <c r="C1439" s="22" t="s">
        <v>1768</v>
      </c>
      <c r="D1439" s="23" t="s">
        <v>1769</v>
      </c>
      <c r="E1439" s="24" t="s">
        <v>385</v>
      </c>
      <c r="F1439" s="28" t="n">
        <f>124</f>
        <v>124.0</v>
      </c>
      <c r="G1439" s="25" t="n">
        <f>75498</f>
        <v>75498.0</v>
      </c>
      <c r="H1439" s="25"/>
      <c r="I1439" s="25" t="str">
        <f>"－"</f>
        <v>－</v>
      </c>
      <c r="J1439" s="25" t="n">
        <f>609</f>
        <v>609.0</v>
      </c>
      <c r="K1439" s="25" t="str">
        <f>"－"</f>
        <v>－</v>
      </c>
      <c r="L1439" s="2" t="s">
        <v>1015</v>
      </c>
      <c r="M1439" s="26" t="n">
        <f>31403</f>
        <v>31403.0</v>
      </c>
      <c r="N1439" s="3" t="s">
        <v>198</v>
      </c>
      <c r="O1439" s="27" t="str">
        <f>"－"</f>
        <v>－</v>
      </c>
      <c r="P1439" s="29" t="s">
        <v>2553</v>
      </c>
      <c r="Q1439" s="25"/>
      <c r="R1439" s="29" t="s">
        <v>262</v>
      </c>
      <c r="S1439" s="25" t="n">
        <f>18602505</f>
        <v>1.8602505E7</v>
      </c>
      <c r="T1439" s="25" t="str">
        <f>"－"</f>
        <v>－</v>
      </c>
      <c r="U1439" s="3" t="s">
        <v>1015</v>
      </c>
      <c r="V1439" s="27" t="n">
        <f>1687089500</f>
        <v>1.6870895E9</v>
      </c>
      <c r="W1439" s="3" t="s">
        <v>198</v>
      </c>
      <c r="X1439" s="27" t="str">
        <f>"－"</f>
        <v>－</v>
      </c>
      <c r="Y1439" s="27" t="n">
        <f>7657</f>
        <v>7657.0</v>
      </c>
      <c r="Z1439" s="25" t="str">
        <f>"－"</f>
        <v>－</v>
      </c>
      <c r="AA1439" s="25" t="n">
        <f>40056</f>
        <v>40056.0</v>
      </c>
      <c r="AB1439" s="2" t="s">
        <v>137</v>
      </c>
      <c r="AC1439" s="26" t="n">
        <f>41898</f>
        <v>41898.0</v>
      </c>
      <c r="AD1439" s="3" t="s">
        <v>125</v>
      </c>
      <c r="AE1439" s="27" t="n">
        <f>2664</f>
        <v>2664.0</v>
      </c>
    </row>
    <row r="1440">
      <c r="A1440" s="20" t="s">
        <v>2507</v>
      </c>
      <c r="B1440" s="21" t="s">
        <v>2508</v>
      </c>
      <c r="C1440" s="22" t="s">
        <v>1760</v>
      </c>
      <c r="D1440" s="23" t="s">
        <v>1761</v>
      </c>
      <c r="E1440" s="24" t="s">
        <v>389</v>
      </c>
      <c r="F1440" s="28" t="n">
        <f>121</f>
        <v>121.0</v>
      </c>
      <c r="G1440" s="25" t="n">
        <f>79635</f>
        <v>79635.0</v>
      </c>
      <c r="H1440" s="25"/>
      <c r="I1440" s="25" t="str">
        <f>"－"</f>
        <v>－</v>
      </c>
      <c r="J1440" s="25" t="n">
        <f>658</f>
        <v>658.0</v>
      </c>
      <c r="K1440" s="25" t="str">
        <f>"－"</f>
        <v>－</v>
      </c>
      <c r="L1440" s="2" t="s">
        <v>74</v>
      </c>
      <c r="M1440" s="26" t="n">
        <f>29536</f>
        <v>29536.0</v>
      </c>
      <c r="N1440" s="3" t="s">
        <v>120</v>
      </c>
      <c r="O1440" s="27" t="str">
        <f>"－"</f>
        <v>－</v>
      </c>
      <c r="P1440" s="29" t="s">
        <v>2554</v>
      </c>
      <c r="Q1440" s="25"/>
      <c r="R1440" s="29" t="s">
        <v>262</v>
      </c>
      <c r="S1440" s="25" t="n">
        <f>4878254</f>
        <v>4878254.0</v>
      </c>
      <c r="T1440" s="25" t="str">
        <f>"－"</f>
        <v>－</v>
      </c>
      <c r="U1440" s="3" t="s">
        <v>74</v>
      </c>
      <c r="V1440" s="27" t="n">
        <f>223970000</f>
        <v>2.2397E8</v>
      </c>
      <c r="W1440" s="3" t="s">
        <v>120</v>
      </c>
      <c r="X1440" s="27" t="str">
        <f>"－"</f>
        <v>－</v>
      </c>
      <c r="Y1440" s="27" t="n">
        <f>1840</f>
        <v>1840.0</v>
      </c>
      <c r="Z1440" s="25" t="str">
        <f>"－"</f>
        <v>－</v>
      </c>
      <c r="AA1440" s="25" t="n">
        <f>4825</f>
        <v>4825.0</v>
      </c>
      <c r="AB1440" s="2" t="s">
        <v>863</v>
      </c>
      <c r="AC1440" s="26" t="n">
        <f>23203</f>
        <v>23203.0</v>
      </c>
      <c r="AD1440" s="3" t="s">
        <v>88</v>
      </c>
      <c r="AE1440" s="27" t="n">
        <f>2601</f>
        <v>2601.0</v>
      </c>
    </row>
    <row r="1441">
      <c r="A1441" s="20" t="s">
        <v>2507</v>
      </c>
      <c r="B1441" s="21" t="s">
        <v>2508</v>
      </c>
      <c r="C1441" s="22" t="s">
        <v>1764</v>
      </c>
      <c r="D1441" s="23" t="s">
        <v>1765</v>
      </c>
      <c r="E1441" s="24" t="s">
        <v>389</v>
      </c>
      <c r="F1441" s="28" t="n">
        <f>121</f>
        <v>121.0</v>
      </c>
      <c r="G1441" s="25" t="n">
        <f>59813</f>
        <v>59813.0</v>
      </c>
      <c r="H1441" s="25"/>
      <c r="I1441" s="25" t="str">
        <f>"－"</f>
        <v>－</v>
      </c>
      <c r="J1441" s="25" t="n">
        <f>494</f>
        <v>494.0</v>
      </c>
      <c r="K1441" s="25" t="str">
        <f>"－"</f>
        <v>－</v>
      </c>
      <c r="L1441" s="2" t="s">
        <v>74</v>
      </c>
      <c r="M1441" s="26" t="n">
        <f>29536</f>
        <v>29536.0</v>
      </c>
      <c r="N1441" s="3" t="s">
        <v>156</v>
      </c>
      <c r="O1441" s="27" t="str">
        <f>"－"</f>
        <v>－</v>
      </c>
      <c r="P1441" s="29" t="s">
        <v>2555</v>
      </c>
      <c r="Q1441" s="25"/>
      <c r="R1441" s="29" t="s">
        <v>262</v>
      </c>
      <c r="S1441" s="25" t="n">
        <f>20189727</f>
        <v>2.0189727E7</v>
      </c>
      <c r="T1441" s="25" t="str">
        <f>"－"</f>
        <v>－</v>
      </c>
      <c r="U1441" s="3" t="s">
        <v>74</v>
      </c>
      <c r="V1441" s="27" t="n">
        <f>1652917000</f>
        <v>1.652917E9</v>
      </c>
      <c r="W1441" s="3" t="s">
        <v>156</v>
      </c>
      <c r="X1441" s="27" t="str">
        <f>"－"</f>
        <v>－</v>
      </c>
      <c r="Y1441" s="27" t="n">
        <f>1933</f>
        <v>1933.0</v>
      </c>
      <c r="Z1441" s="25" t="str">
        <f>"－"</f>
        <v>－</v>
      </c>
      <c r="AA1441" s="25" t="n">
        <f>5563</f>
        <v>5563.0</v>
      </c>
      <c r="AB1441" s="2" t="s">
        <v>863</v>
      </c>
      <c r="AC1441" s="26" t="n">
        <f>19378</f>
        <v>19378.0</v>
      </c>
      <c r="AD1441" s="3" t="s">
        <v>88</v>
      </c>
      <c r="AE1441" s="27" t="n">
        <f>1922</f>
        <v>1922.0</v>
      </c>
    </row>
    <row r="1442">
      <c r="A1442" s="20" t="s">
        <v>2507</v>
      </c>
      <c r="B1442" s="21" t="s">
        <v>2508</v>
      </c>
      <c r="C1442" s="22" t="s">
        <v>1768</v>
      </c>
      <c r="D1442" s="23" t="s">
        <v>1769</v>
      </c>
      <c r="E1442" s="24" t="s">
        <v>389</v>
      </c>
      <c r="F1442" s="28" t="n">
        <f>121</f>
        <v>121.0</v>
      </c>
      <c r="G1442" s="25" t="n">
        <f>139448</f>
        <v>139448.0</v>
      </c>
      <c r="H1442" s="25"/>
      <c r="I1442" s="25" t="str">
        <f>"－"</f>
        <v>－</v>
      </c>
      <c r="J1442" s="25" t="n">
        <f>1152</f>
        <v>1152.0</v>
      </c>
      <c r="K1442" s="25" t="str">
        <f>"－"</f>
        <v>－</v>
      </c>
      <c r="L1442" s="2" t="s">
        <v>74</v>
      </c>
      <c r="M1442" s="26" t="n">
        <f>59072</f>
        <v>59072.0</v>
      </c>
      <c r="N1442" s="3" t="s">
        <v>773</v>
      </c>
      <c r="O1442" s="27" t="str">
        <f>"－"</f>
        <v>－</v>
      </c>
      <c r="P1442" s="29" t="s">
        <v>2556</v>
      </c>
      <c r="Q1442" s="25"/>
      <c r="R1442" s="29" t="s">
        <v>262</v>
      </c>
      <c r="S1442" s="25" t="n">
        <f>25067981</f>
        <v>2.5067981E7</v>
      </c>
      <c r="T1442" s="25" t="str">
        <f>"－"</f>
        <v>－</v>
      </c>
      <c r="U1442" s="3" t="s">
        <v>74</v>
      </c>
      <c r="V1442" s="27" t="n">
        <f>1876887000</f>
        <v>1.876887E9</v>
      </c>
      <c r="W1442" s="3" t="s">
        <v>773</v>
      </c>
      <c r="X1442" s="27" t="str">
        <f>"－"</f>
        <v>－</v>
      </c>
      <c r="Y1442" s="27" t="n">
        <f>3773</f>
        <v>3773.0</v>
      </c>
      <c r="Z1442" s="25" t="str">
        <f>"－"</f>
        <v>－</v>
      </c>
      <c r="AA1442" s="25" t="n">
        <f>10388</f>
        <v>10388.0</v>
      </c>
      <c r="AB1442" s="2" t="s">
        <v>863</v>
      </c>
      <c r="AC1442" s="26" t="n">
        <f>42581</f>
        <v>42581.0</v>
      </c>
      <c r="AD1442" s="3" t="s">
        <v>88</v>
      </c>
      <c r="AE1442" s="27" t="n">
        <f>4523</f>
        <v>4523.0</v>
      </c>
    </row>
    <row r="1443">
      <c r="A1443" s="20" t="s">
        <v>2507</v>
      </c>
      <c r="B1443" s="21" t="s">
        <v>2508</v>
      </c>
      <c r="C1443" s="22" t="s">
        <v>1760</v>
      </c>
      <c r="D1443" s="23" t="s">
        <v>1761</v>
      </c>
      <c r="E1443" s="24" t="s">
        <v>392</v>
      </c>
      <c r="F1443" s="28" t="n">
        <f>124</f>
        <v>124.0</v>
      </c>
      <c r="G1443" s="25" t="n">
        <f>46725</f>
        <v>46725.0</v>
      </c>
      <c r="H1443" s="25"/>
      <c r="I1443" s="25" t="str">
        <f>"－"</f>
        <v>－</v>
      </c>
      <c r="J1443" s="25" t="n">
        <f>377</f>
        <v>377.0</v>
      </c>
      <c r="K1443" s="25" t="str">
        <f>"－"</f>
        <v>－</v>
      </c>
      <c r="L1443" s="2" t="s">
        <v>192</v>
      </c>
      <c r="M1443" s="26" t="n">
        <f>3650</f>
        <v>3650.0</v>
      </c>
      <c r="N1443" s="3" t="s">
        <v>321</v>
      </c>
      <c r="O1443" s="27" t="str">
        <f>"－"</f>
        <v>－</v>
      </c>
      <c r="P1443" s="29" t="s">
        <v>2557</v>
      </c>
      <c r="Q1443" s="25"/>
      <c r="R1443" s="29" t="s">
        <v>262</v>
      </c>
      <c r="S1443" s="25" t="n">
        <f>4113594</f>
        <v>4113594.0</v>
      </c>
      <c r="T1443" s="25" t="str">
        <f>"－"</f>
        <v>－</v>
      </c>
      <c r="U1443" s="3" t="s">
        <v>192</v>
      </c>
      <c r="V1443" s="27" t="n">
        <f>34845500</f>
        <v>3.48455E7</v>
      </c>
      <c r="W1443" s="3" t="s">
        <v>321</v>
      </c>
      <c r="X1443" s="27" t="str">
        <f>"－"</f>
        <v>－</v>
      </c>
      <c r="Y1443" s="27" t="n">
        <f>1867</f>
        <v>1867.0</v>
      </c>
      <c r="Z1443" s="25" t="str">
        <f>"－"</f>
        <v>－</v>
      </c>
      <c r="AA1443" s="25" t="n">
        <f>9146</f>
        <v>9146.0</v>
      </c>
      <c r="AB1443" s="2" t="s">
        <v>77</v>
      </c>
      <c r="AC1443" s="26" t="n">
        <f>11250</f>
        <v>11250.0</v>
      </c>
      <c r="AD1443" s="3" t="s">
        <v>972</v>
      </c>
      <c r="AE1443" s="27" t="n">
        <f>1497</f>
        <v>1497.0</v>
      </c>
    </row>
    <row r="1444">
      <c r="A1444" s="20" t="s">
        <v>2507</v>
      </c>
      <c r="B1444" s="21" t="s">
        <v>2508</v>
      </c>
      <c r="C1444" s="22" t="s">
        <v>1764</v>
      </c>
      <c r="D1444" s="23" t="s">
        <v>1765</v>
      </c>
      <c r="E1444" s="24" t="s">
        <v>392</v>
      </c>
      <c r="F1444" s="28" t="n">
        <f>124</f>
        <v>124.0</v>
      </c>
      <c r="G1444" s="25" t="n">
        <f>15625</f>
        <v>15625.0</v>
      </c>
      <c r="H1444" s="25"/>
      <c r="I1444" s="25" t="str">
        <f>"－"</f>
        <v>－</v>
      </c>
      <c r="J1444" s="25" t="n">
        <f>126</f>
        <v>126.0</v>
      </c>
      <c r="K1444" s="25" t="str">
        <f>"－"</f>
        <v>－</v>
      </c>
      <c r="L1444" s="2" t="s">
        <v>1008</v>
      </c>
      <c r="M1444" s="26" t="n">
        <f>1550</f>
        <v>1550.0</v>
      </c>
      <c r="N1444" s="3" t="s">
        <v>254</v>
      </c>
      <c r="O1444" s="27" t="str">
        <f>"－"</f>
        <v>－</v>
      </c>
      <c r="P1444" s="29" t="s">
        <v>2558</v>
      </c>
      <c r="Q1444" s="25"/>
      <c r="R1444" s="29" t="s">
        <v>262</v>
      </c>
      <c r="S1444" s="25" t="n">
        <f>891621</f>
        <v>891621.0</v>
      </c>
      <c r="T1444" s="25" t="str">
        <f>"－"</f>
        <v>－</v>
      </c>
      <c r="U1444" s="3" t="s">
        <v>1024</v>
      </c>
      <c r="V1444" s="27" t="n">
        <f>14138000</f>
        <v>1.4138E7</v>
      </c>
      <c r="W1444" s="3" t="s">
        <v>254</v>
      </c>
      <c r="X1444" s="27" t="str">
        <f>"－"</f>
        <v>－</v>
      </c>
      <c r="Y1444" s="27" t="n">
        <f>9630</f>
        <v>9630.0</v>
      </c>
      <c r="Z1444" s="25" t="str">
        <f>"－"</f>
        <v>－</v>
      </c>
      <c r="AA1444" s="25" t="n">
        <f>2760</f>
        <v>2760.0</v>
      </c>
      <c r="AB1444" s="2" t="s">
        <v>947</v>
      </c>
      <c r="AC1444" s="26" t="n">
        <f>6146</f>
        <v>6146.0</v>
      </c>
      <c r="AD1444" s="3" t="s">
        <v>232</v>
      </c>
      <c r="AE1444" s="27" t="n">
        <f>1759</f>
        <v>1759.0</v>
      </c>
    </row>
    <row r="1445">
      <c r="A1445" s="20" t="s">
        <v>2507</v>
      </c>
      <c r="B1445" s="21" t="s">
        <v>2508</v>
      </c>
      <c r="C1445" s="22" t="s">
        <v>1768</v>
      </c>
      <c r="D1445" s="23" t="s">
        <v>1769</v>
      </c>
      <c r="E1445" s="24" t="s">
        <v>392</v>
      </c>
      <c r="F1445" s="28" t="n">
        <f>124</f>
        <v>124.0</v>
      </c>
      <c r="G1445" s="25" t="n">
        <f>62350</f>
        <v>62350.0</v>
      </c>
      <c r="H1445" s="25"/>
      <c r="I1445" s="25" t="str">
        <f>"－"</f>
        <v>－</v>
      </c>
      <c r="J1445" s="25" t="n">
        <f>503</f>
        <v>503.0</v>
      </c>
      <c r="K1445" s="25" t="str">
        <f>"－"</f>
        <v>－</v>
      </c>
      <c r="L1445" s="2" t="s">
        <v>192</v>
      </c>
      <c r="M1445" s="26" t="n">
        <f>4575</f>
        <v>4575.0</v>
      </c>
      <c r="N1445" s="3" t="s">
        <v>858</v>
      </c>
      <c r="O1445" s="27" t="str">
        <f>"－"</f>
        <v>－</v>
      </c>
      <c r="P1445" s="29" t="s">
        <v>2559</v>
      </c>
      <c r="Q1445" s="25"/>
      <c r="R1445" s="29" t="s">
        <v>262</v>
      </c>
      <c r="S1445" s="25" t="n">
        <f>5005215</f>
        <v>5005215.0</v>
      </c>
      <c r="T1445" s="25" t="str">
        <f>"－"</f>
        <v>－</v>
      </c>
      <c r="U1445" s="3" t="s">
        <v>192</v>
      </c>
      <c r="V1445" s="27" t="n">
        <f>42728000</f>
        <v>4.2728E7</v>
      </c>
      <c r="W1445" s="3" t="s">
        <v>858</v>
      </c>
      <c r="X1445" s="27" t="str">
        <f>"－"</f>
        <v>－</v>
      </c>
      <c r="Y1445" s="27" t="n">
        <f>11497</f>
        <v>11497.0</v>
      </c>
      <c r="Z1445" s="25" t="str">
        <f>"－"</f>
        <v>－</v>
      </c>
      <c r="AA1445" s="25" t="n">
        <f>11906</f>
        <v>11906.0</v>
      </c>
      <c r="AB1445" s="2" t="s">
        <v>137</v>
      </c>
      <c r="AC1445" s="26" t="n">
        <f>16016</f>
        <v>16016.0</v>
      </c>
      <c r="AD1445" s="3" t="s">
        <v>388</v>
      </c>
      <c r="AE1445" s="27" t="n">
        <f>3676</f>
        <v>3676.0</v>
      </c>
    </row>
    <row r="1446">
      <c r="A1446" s="20" t="s">
        <v>2507</v>
      </c>
      <c r="B1446" s="21" t="s">
        <v>2508</v>
      </c>
      <c r="C1446" s="22" t="s">
        <v>1760</v>
      </c>
      <c r="D1446" s="23" t="s">
        <v>1761</v>
      </c>
      <c r="E1446" s="24" t="s">
        <v>396</v>
      </c>
      <c r="F1446" s="28" t="n">
        <f>123</f>
        <v>123.0</v>
      </c>
      <c r="G1446" s="25" t="n">
        <f>49694</f>
        <v>49694.0</v>
      </c>
      <c r="H1446" s="25"/>
      <c r="I1446" s="25" t="str">
        <f>"－"</f>
        <v>－</v>
      </c>
      <c r="J1446" s="25" t="n">
        <f>404</f>
        <v>404.0</v>
      </c>
      <c r="K1446" s="25" t="str">
        <f>"－"</f>
        <v>－</v>
      </c>
      <c r="L1446" s="2" t="s">
        <v>427</v>
      </c>
      <c r="M1446" s="26" t="n">
        <f>5547</f>
        <v>5547.0</v>
      </c>
      <c r="N1446" s="3" t="s">
        <v>265</v>
      </c>
      <c r="O1446" s="27" t="str">
        <f>"－"</f>
        <v>－</v>
      </c>
      <c r="P1446" s="29" t="s">
        <v>2560</v>
      </c>
      <c r="Q1446" s="25"/>
      <c r="R1446" s="29" t="s">
        <v>262</v>
      </c>
      <c r="S1446" s="25" t="n">
        <f>7607984</f>
        <v>7607984.0</v>
      </c>
      <c r="T1446" s="25" t="str">
        <f>"－"</f>
        <v>－</v>
      </c>
      <c r="U1446" s="3" t="s">
        <v>427</v>
      </c>
      <c r="V1446" s="27" t="n">
        <f>187076500</f>
        <v>1.870765E8</v>
      </c>
      <c r="W1446" s="3" t="s">
        <v>265</v>
      </c>
      <c r="X1446" s="27" t="str">
        <f>"－"</f>
        <v>－</v>
      </c>
      <c r="Y1446" s="27" t="n">
        <f>5482</f>
        <v>5482.0</v>
      </c>
      <c r="Z1446" s="25" t="str">
        <f>"－"</f>
        <v>－</v>
      </c>
      <c r="AA1446" s="25" t="n">
        <f>7768</f>
        <v>7768.0</v>
      </c>
      <c r="AB1446" s="2" t="s">
        <v>1016</v>
      </c>
      <c r="AC1446" s="26" t="n">
        <f>12986</f>
        <v>12986.0</v>
      </c>
      <c r="AD1446" s="3" t="s">
        <v>74</v>
      </c>
      <c r="AE1446" s="27" t="n">
        <f>992</f>
        <v>992.0</v>
      </c>
    </row>
    <row r="1447">
      <c r="A1447" s="20" t="s">
        <v>2507</v>
      </c>
      <c r="B1447" s="21" t="s">
        <v>2508</v>
      </c>
      <c r="C1447" s="22" t="s">
        <v>1764</v>
      </c>
      <c r="D1447" s="23" t="s">
        <v>1765</v>
      </c>
      <c r="E1447" s="24" t="s">
        <v>396</v>
      </c>
      <c r="F1447" s="28" t="n">
        <f>123</f>
        <v>123.0</v>
      </c>
      <c r="G1447" s="25" t="n">
        <f>18385</f>
        <v>18385.0</v>
      </c>
      <c r="H1447" s="25"/>
      <c r="I1447" s="25" t="str">
        <f>"－"</f>
        <v>－</v>
      </c>
      <c r="J1447" s="25" t="n">
        <f>149</f>
        <v>149.0</v>
      </c>
      <c r="K1447" s="25" t="str">
        <f>"－"</f>
        <v>－</v>
      </c>
      <c r="L1447" s="2" t="s">
        <v>773</v>
      </c>
      <c r="M1447" s="26" t="n">
        <f>3050</f>
        <v>3050.0</v>
      </c>
      <c r="N1447" s="3" t="s">
        <v>156</v>
      </c>
      <c r="O1447" s="27" t="str">
        <f>"－"</f>
        <v>－</v>
      </c>
      <c r="P1447" s="29" t="s">
        <v>2561</v>
      </c>
      <c r="Q1447" s="25"/>
      <c r="R1447" s="29" t="s">
        <v>262</v>
      </c>
      <c r="S1447" s="25" t="n">
        <f>1529047</f>
        <v>1529047.0</v>
      </c>
      <c r="T1447" s="25" t="str">
        <f>"－"</f>
        <v>－</v>
      </c>
      <c r="U1447" s="3" t="s">
        <v>1132</v>
      </c>
      <c r="V1447" s="27" t="n">
        <f>31673000</f>
        <v>3.1673E7</v>
      </c>
      <c r="W1447" s="3" t="s">
        <v>156</v>
      </c>
      <c r="X1447" s="27" t="str">
        <f>"－"</f>
        <v>－</v>
      </c>
      <c r="Y1447" s="27" t="n">
        <f>8368</f>
        <v>8368.0</v>
      </c>
      <c r="Z1447" s="25" t="str">
        <f>"－"</f>
        <v>－</v>
      </c>
      <c r="AA1447" s="25" t="n">
        <f>3332</f>
        <v>3332.0</v>
      </c>
      <c r="AB1447" s="2" t="s">
        <v>1631</v>
      </c>
      <c r="AC1447" s="26" t="n">
        <f>7992</f>
        <v>7992.0</v>
      </c>
      <c r="AD1447" s="3" t="s">
        <v>74</v>
      </c>
      <c r="AE1447" s="27" t="n">
        <f>1084</f>
        <v>1084.0</v>
      </c>
    </row>
    <row r="1448">
      <c r="A1448" s="20" t="s">
        <v>2507</v>
      </c>
      <c r="B1448" s="21" t="s">
        <v>2508</v>
      </c>
      <c r="C1448" s="22" t="s">
        <v>1768</v>
      </c>
      <c r="D1448" s="23" t="s">
        <v>1769</v>
      </c>
      <c r="E1448" s="24" t="s">
        <v>396</v>
      </c>
      <c r="F1448" s="28" t="n">
        <f>123</f>
        <v>123.0</v>
      </c>
      <c r="G1448" s="25" t="n">
        <f>68079</f>
        <v>68079.0</v>
      </c>
      <c r="H1448" s="25"/>
      <c r="I1448" s="25" t="str">
        <f>"－"</f>
        <v>－</v>
      </c>
      <c r="J1448" s="25" t="n">
        <f>553</f>
        <v>553.0</v>
      </c>
      <c r="K1448" s="25" t="str">
        <f>"－"</f>
        <v>－</v>
      </c>
      <c r="L1448" s="2" t="s">
        <v>773</v>
      </c>
      <c r="M1448" s="26" t="n">
        <f>6050</f>
        <v>6050.0</v>
      </c>
      <c r="N1448" s="3" t="s">
        <v>265</v>
      </c>
      <c r="O1448" s="27" t="str">
        <f>"－"</f>
        <v>－</v>
      </c>
      <c r="P1448" s="29" t="s">
        <v>2562</v>
      </c>
      <c r="Q1448" s="25"/>
      <c r="R1448" s="29" t="s">
        <v>262</v>
      </c>
      <c r="S1448" s="25" t="n">
        <f>9137031</f>
        <v>9137031.0</v>
      </c>
      <c r="T1448" s="25" t="str">
        <f>"－"</f>
        <v>－</v>
      </c>
      <c r="U1448" s="3" t="s">
        <v>427</v>
      </c>
      <c r="V1448" s="27" t="n">
        <f>187076500</f>
        <v>1.870765E8</v>
      </c>
      <c r="W1448" s="3" t="s">
        <v>265</v>
      </c>
      <c r="X1448" s="27" t="str">
        <f>"－"</f>
        <v>－</v>
      </c>
      <c r="Y1448" s="27" t="n">
        <f>13850</f>
        <v>13850.0</v>
      </c>
      <c r="Z1448" s="25" t="str">
        <f>"－"</f>
        <v>－</v>
      </c>
      <c r="AA1448" s="25" t="n">
        <f>11100</f>
        <v>11100.0</v>
      </c>
      <c r="AB1448" s="2" t="s">
        <v>1631</v>
      </c>
      <c r="AC1448" s="26" t="n">
        <f>20978</f>
        <v>20978.0</v>
      </c>
      <c r="AD1448" s="3" t="s">
        <v>74</v>
      </c>
      <c r="AE1448" s="27" t="n">
        <f>2076</f>
        <v>2076.0</v>
      </c>
    </row>
    <row r="1449">
      <c r="A1449" s="20" t="s">
        <v>2507</v>
      </c>
      <c r="B1449" s="21" t="s">
        <v>2508</v>
      </c>
      <c r="C1449" s="22" t="s">
        <v>1760</v>
      </c>
      <c r="D1449" s="23" t="s">
        <v>1761</v>
      </c>
      <c r="E1449" s="24" t="s">
        <v>401</v>
      </c>
      <c r="F1449" s="28" t="n">
        <f>125</f>
        <v>125.0</v>
      </c>
      <c r="G1449" s="25" t="n">
        <f>73193</f>
        <v>73193.0</v>
      </c>
      <c r="H1449" s="25"/>
      <c r="I1449" s="25" t="str">
        <f>"－"</f>
        <v>－</v>
      </c>
      <c r="J1449" s="25" t="n">
        <f>586</f>
        <v>586.0</v>
      </c>
      <c r="K1449" s="25" t="str">
        <f>"－"</f>
        <v>－</v>
      </c>
      <c r="L1449" s="2" t="s">
        <v>1024</v>
      </c>
      <c r="M1449" s="26" t="n">
        <f>5572</f>
        <v>5572.0</v>
      </c>
      <c r="N1449" s="3" t="s">
        <v>986</v>
      </c>
      <c r="O1449" s="27" t="str">
        <f>"－"</f>
        <v>－</v>
      </c>
      <c r="P1449" s="29" t="s">
        <v>2563</v>
      </c>
      <c r="Q1449" s="25"/>
      <c r="R1449" s="29" t="s">
        <v>262</v>
      </c>
      <c r="S1449" s="25" t="n">
        <f>6722605</f>
        <v>6722605.0</v>
      </c>
      <c r="T1449" s="25" t="str">
        <f>"－"</f>
        <v>－</v>
      </c>
      <c r="U1449" s="3" t="s">
        <v>1024</v>
      </c>
      <c r="V1449" s="27" t="n">
        <f>112451000</f>
        <v>1.12451E8</v>
      </c>
      <c r="W1449" s="3" t="s">
        <v>986</v>
      </c>
      <c r="X1449" s="27" t="str">
        <f>"－"</f>
        <v>－</v>
      </c>
      <c r="Y1449" s="27" t="n">
        <f>4170</f>
        <v>4170.0</v>
      </c>
      <c r="Z1449" s="25" t="str">
        <f>"－"</f>
        <v>－</v>
      </c>
      <c r="AA1449" s="25" t="n">
        <f>21614</f>
        <v>21614.0</v>
      </c>
      <c r="AB1449" s="2" t="s">
        <v>320</v>
      </c>
      <c r="AC1449" s="26" t="n">
        <f>22944</f>
        <v>22944.0</v>
      </c>
      <c r="AD1449" s="3" t="s">
        <v>744</v>
      </c>
      <c r="AE1449" s="27" t="n">
        <f>5256</f>
        <v>5256.0</v>
      </c>
    </row>
    <row r="1450">
      <c r="A1450" s="20" t="s">
        <v>2507</v>
      </c>
      <c r="B1450" s="21" t="s">
        <v>2508</v>
      </c>
      <c r="C1450" s="22" t="s">
        <v>1764</v>
      </c>
      <c r="D1450" s="23" t="s">
        <v>1765</v>
      </c>
      <c r="E1450" s="24" t="s">
        <v>401</v>
      </c>
      <c r="F1450" s="28" t="n">
        <f>125</f>
        <v>125.0</v>
      </c>
      <c r="G1450" s="25" t="n">
        <f>49604</f>
        <v>49604.0</v>
      </c>
      <c r="H1450" s="25"/>
      <c r="I1450" s="25" t="str">
        <f>"－"</f>
        <v>－</v>
      </c>
      <c r="J1450" s="25" t="n">
        <f>397</f>
        <v>397.0</v>
      </c>
      <c r="K1450" s="25" t="str">
        <f>"－"</f>
        <v>－</v>
      </c>
      <c r="L1450" s="2" t="s">
        <v>82</v>
      </c>
      <c r="M1450" s="26" t="n">
        <f>5862</f>
        <v>5862.0</v>
      </c>
      <c r="N1450" s="3" t="s">
        <v>225</v>
      </c>
      <c r="O1450" s="27" t="str">
        <f>"－"</f>
        <v>－</v>
      </c>
      <c r="P1450" s="29" t="s">
        <v>2564</v>
      </c>
      <c r="Q1450" s="25"/>
      <c r="R1450" s="29" t="s">
        <v>262</v>
      </c>
      <c r="S1450" s="25" t="n">
        <f>3737661</f>
        <v>3737661.0</v>
      </c>
      <c r="T1450" s="25" t="str">
        <f>"－"</f>
        <v>－</v>
      </c>
      <c r="U1450" s="3" t="s">
        <v>1024</v>
      </c>
      <c r="V1450" s="27" t="n">
        <f>96598500</f>
        <v>9.65985E7</v>
      </c>
      <c r="W1450" s="3" t="s">
        <v>225</v>
      </c>
      <c r="X1450" s="27" t="str">
        <f>"－"</f>
        <v>－</v>
      </c>
      <c r="Y1450" s="27" t="n">
        <f>7042</f>
        <v>7042.0</v>
      </c>
      <c r="Z1450" s="25" t="str">
        <f>"－"</f>
        <v>－</v>
      </c>
      <c r="AA1450" s="25" t="n">
        <f>17814</f>
        <v>17814.0</v>
      </c>
      <c r="AB1450" s="2" t="s">
        <v>197</v>
      </c>
      <c r="AC1450" s="26" t="n">
        <f>22775</f>
        <v>22775.0</v>
      </c>
      <c r="AD1450" s="3" t="s">
        <v>744</v>
      </c>
      <c r="AE1450" s="27" t="n">
        <f>1540</f>
        <v>1540.0</v>
      </c>
    </row>
    <row r="1451">
      <c r="A1451" s="20" t="s">
        <v>2507</v>
      </c>
      <c r="B1451" s="21" t="s">
        <v>2508</v>
      </c>
      <c r="C1451" s="22" t="s">
        <v>1768</v>
      </c>
      <c r="D1451" s="23" t="s">
        <v>1769</v>
      </c>
      <c r="E1451" s="24" t="s">
        <v>401</v>
      </c>
      <c r="F1451" s="28" t="n">
        <f>125</f>
        <v>125.0</v>
      </c>
      <c r="G1451" s="25" t="n">
        <f>122797</f>
        <v>122797.0</v>
      </c>
      <c r="H1451" s="25"/>
      <c r="I1451" s="25" t="str">
        <f>"－"</f>
        <v>－</v>
      </c>
      <c r="J1451" s="25" t="n">
        <f>982</f>
        <v>982.0</v>
      </c>
      <c r="K1451" s="25" t="str">
        <f>"－"</f>
        <v>－</v>
      </c>
      <c r="L1451" s="2" t="s">
        <v>1024</v>
      </c>
      <c r="M1451" s="26" t="n">
        <f>9066</f>
        <v>9066.0</v>
      </c>
      <c r="N1451" s="3" t="s">
        <v>671</v>
      </c>
      <c r="O1451" s="27" t="str">
        <f>"－"</f>
        <v>－</v>
      </c>
      <c r="P1451" s="29" t="s">
        <v>2565</v>
      </c>
      <c r="Q1451" s="25"/>
      <c r="R1451" s="29" t="s">
        <v>262</v>
      </c>
      <c r="S1451" s="25" t="n">
        <f>10460266</f>
        <v>1.0460266E7</v>
      </c>
      <c r="T1451" s="25" t="str">
        <f>"－"</f>
        <v>－</v>
      </c>
      <c r="U1451" s="3" t="s">
        <v>1024</v>
      </c>
      <c r="V1451" s="27" t="n">
        <f>209049500</f>
        <v>2.090495E8</v>
      </c>
      <c r="W1451" s="3" t="s">
        <v>671</v>
      </c>
      <c r="X1451" s="27" t="str">
        <f>"－"</f>
        <v>－</v>
      </c>
      <c r="Y1451" s="27" t="n">
        <f>11212</f>
        <v>11212.0</v>
      </c>
      <c r="Z1451" s="25" t="str">
        <f>"－"</f>
        <v>－</v>
      </c>
      <c r="AA1451" s="25" t="n">
        <f>39428</f>
        <v>39428.0</v>
      </c>
      <c r="AB1451" s="2" t="s">
        <v>320</v>
      </c>
      <c r="AC1451" s="26" t="n">
        <f>44339</f>
        <v>44339.0</v>
      </c>
      <c r="AD1451" s="3" t="s">
        <v>744</v>
      </c>
      <c r="AE1451" s="27" t="n">
        <f>6796</f>
        <v>6796.0</v>
      </c>
    </row>
    <row r="1452">
      <c r="A1452" s="20" t="s">
        <v>2507</v>
      </c>
      <c r="B1452" s="21" t="s">
        <v>2508</v>
      </c>
      <c r="C1452" s="22" t="s">
        <v>1760</v>
      </c>
      <c r="D1452" s="23" t="s">
        <v>1761</v>
      </c>
      <c r="E1452" s="24" t="s">
        <v>404</v>
      </c>
      <c r="F1452" s="28" t="n">
        <f>121</f>
        <v>121.0</v>
      </c>
      <c r="G1452" s="25" t="n">
        <f>55858</f>
        <v>55858.0</v>
      </c>
      <c r="H1452" s="25"/>
      <c r="I1452" s="25" t="n">
        <f>300</f>
        <v>300.0</v>
      </c>
      <c r="J1452" s="25" t="n">
        <f>462</f>
        <v>462.0</v>
      </c>
      <c r="K1452" s="25" t="n">
        <f>2</f>
        <v>2.0</v>
      </c>
      <c r="L1452" s="2" t="s">
        <v>411</v>
      </c>
      <c r="M1452" s="26" t="n">
        <f>3475</f>
        <v>3475.0</v>
      </c>
      <c r="N1452" s="3" t="s">
        <v>876</v>
      </c>
      <c r="O1452" s="27" t="str">
        <f>"－"</f>
        <v>－</v>
      </c>
      <c r="P1452" s="29" t="s">
        <v>2566</v>
      </c>
      <c r="Q1452" s="25"/>
      <c r="R1452" s="29" t="s">
        <v>2567</v>
      </c>
      <c r="S1452" s="25" t="n">
        <f>4080912</f>
        <v>4080912.0</v>
      </c>
      <c r="T1452" s="25" t="n">
        <f>24793</f>
        <v>24793.0</v>
      </c>
      <c r="U1452" s="3" t="s">
        <v>84</v>
      </c>
      <c r="V1452" s="27" t="n">
        <f>57660000</f>
        <v>5.766E7</v>
      </c>
      <c r="W1452" s="3" t="s">
        <v>876</v>
      </c>
      <c r="X1452" s="27" t="str">
        <f>"－"</f>
        <v>－</v>
      </c>
      <c r="Y1452" s="27" t="n">
        <f>7757</f>
        <v>7757.0</v>
      </c>
      <c r="Z1452" s="25" t="str">
        <f>"－"</f>
        <v>－</v>
      </c>
      <c r="AA1452" s="25" t="n">
        <f>10600</f>
        <v>10600.0</v>
      </c>
      <c r="AB1452" s="2" t="s">
        <v>706</v>
      </c>
      <c r="AC1452" s="26" t="n">
        <f>23823</f>
        <v>23823.0</v>
      </c>
      <c r="AD1452" s="3" t="s">
        <v>70</v>
      </c>
      <c r="AE1452" s="27" t="n">
        <f>1254</f>
        <v>1254.0</v>
      </c>
    </row>
    <row r="1453">
      <c r="A1453" s="20" t="s">
        <v>2507</v>
      </c>
      <c r="B1453" s="21" t="s">
        <v>2508</v>
      </c>
      <c r="C1453" s="22" t="s">
        <v>1764</v>
      </c>
      <c r="D1453" s="23" t="s">
        <v>1765</v>
      </c>
      <c r="E1453" s="24" t="s">
        <v>404</v>
      </c>
      <c r="F1453" s="28" t="n">
        <f>121</f>
        <v>121.0</v>
      </c>
      <c r="G1453" s="25" t="n">
        <f>39764</f>
        <v>39764.0</v>
      </c>
      <c r="H1453" s="25"/>
      <c r="I1453" s="25" t="n">
        <f>200</f>
        <v>200.0</v>
      </c>
      <c r="J1453" s="25" t="n">
        <f>329</f>
        <v>329.0</v>
      </c>
      <c r="K1453" s="25" t="n">
        <f>2</f>
        <v>2.0</v>
      </c>
      <c r="L1453" s="2" t="s">
        <v>1292</v>
      </c>
      <c r="M1453" s="26" t="n">
        <f>5520</f>
        <v>5520.0</v>
      </c>
      <c r="N1453" s="3" t="s">
        <v>156</v>
      </c>
      <c r="O1453" s="27" t="str">
        <f>"－"</f>
        <v>－</v>
      </c>
      <c r="P1453" s="29" t="s">
        <v>2568</v>
      </c>
      <c r="Q1453" s="25"/>
      <c r="R1453" s="29" t="s">
        <v>2569</v>
      </c>
      <c r="S1453" s="25" t="n">
        <f>2850419</f>
        <v>2850419.0</v>
      </c>
      <c r="T1453" s="25" t="n">
        <f>37190</f>
        <v>37190.0</v>
      </c>
      <c r="U1453" s="3" t="s">
        <v>1292</v>
      </c>
      <c r="V1453" s="27" t="n">
        <f>77280000</f>
        <v>7.728E7</v>
      </c>
      <c r="W1453" s="3" t="s">
        <v>156</v>
      </c>
      <c r="X1453" s="27" t="str">
        <f>"－"</f>
        <v>－</v>
      </c>
      <c r="Y1453" s="27" t="n">
        <f>8414</f>
        <v>8414.0</v>
      </c>
      <c r="Z1453" s="25" t="str">
        <f>"－"</f>
        <v>－</v>
      </c>
      <c r="AA1453" s="25" t="n">
        <f>10664</f>
        <v>10664.0</v>
      </c>
      <c r="AB1453" s="2" t="s">
        <v>193</v>
      </c>
      <c r="AC1453" s="26" t="n">
        <f>19676</f>
        <v>19676.0</v>
      </c>
      <c r="AD1453" s="3" t="s">
        <v>70</v>
      </c>
      <c r="AE1453" s="27" t="n">
        <f>1934</f>
        <v>1934.0</v>
      </c>
    </row>
    <row r="1454">
      <c r="A1454" s="20" t="s">
        <v>2507</v>
      </c>
      <c r="B1454" s="21" t="s">
        <v>2508</v>
      </c>
      <c r="C1454" s="22" t="s">
        <v>1768</v>
      </c>
      <c r="D1454" s="23" t="s">
        <v>1769</v>
      </c>
      <c r="E1454" s="24" t="s">
        <v>404</v>
      </c>
      <c r="F1454" s="28" t="n">
        <f>121</f>
        <v>121.0</v>
      </c>
      <c r="G1454" s="25" t="n">
        <f>95622</f>
        <v>95622.0</v>
      </c>
      <c r="H1454" s="25"/>
      <c r="I1454" s="25" t="n">
        <f>500</f>
        <v>500.0</v>
      </c>
      <c r="J1454" s="25" t="n">
        <f>790</f>
        <v>790.0</v>
      </c>
      <c r="K1454" s="25" t="n">
        <f>4</f>
        <v>4.0</v>
      </c>
      <c r="L1454" s="2" t="s">
        <v>1292</v>
      </c>
      <c r="M1454" s="26" t="n">
        <f>5520</f>
        <v>5520.0</v>
      </c>
      <c r="N1454" s="3" t="s">
        <v>876</v>
      </c>
      <c r="O1454" s="27" t="str">
        <f>"－"</f>
        <v>－</v>
      </c>
      <c r="P1454" s="29" t="s">
        <v>2570</v>
      </c>
      <c r="Q1454" s="25"/>
      <c r="R1454" s="29" t="s">
        <v>1599</v>
      </c>
      <c r="S1454" s="25" t="n">
        <f>6931331</f>
        <v>6931331.0</v>
      </c>
      <c r="T1454" s="25" t="n">
        <f>61983</f>
        <v>61983.0</v>
      </c>
      <c r="U1454" s="3" t="s">
        <v>1292</v>
      </c>
      <c r="V1454" s="27" t="n">
        <f>77280000</f>
        <v>7.728E7</v>
      </c>
      <c r="W1454" s="3" t="s">
        <v>876</v>
      </c>
      <c r="X1454" s="27" t="str">
        <f>"－"</f>
        <v>－</v>
      </c>
      <c r="Y1454" s="27" t="n">
        <f>16171</f>
        <v>16171.0</v>
      </c>
      <c r="Z1454" s="25" t="str">
        <f>"－"</f>
        <v>－</v>
      </c>
      <c r="AA1454" s="25" t="n">
        <f>21264</f>
        <v>21264.0</v>
      </c>
      <c r="AB1454" s="2" t="s">
        <v>706</v>
      </c>
      <c r="AC1454" s="26" t="n">
        <f>43098</f>
        <v>43098.0</v>
      </c>
      <c r="AD1454" s="3" t="s">
        <v>70</v>
      </c>
      <c r="AE1454" s="27" t="n">
        <f>3188</f>
        <v>3188.0</v>
      </c>
    </row>
    <row r="1455">
      <c r="A1455" s="20" t="s">
        <v>2507</v>
      </c>
      <c r="B1455" s="21" t="s">
        <v>2508</v>
      </c>
      <c r="C1455" s="22" t="s">
        <v>1760</v>
      </c>
      <c r="D1455" s="23" t="s">
        <v>1761</v>
      </c>
      <c r="E1455" s="24" t="s">
        <v>407</v>
      </c>
      <c r="F1455" s="28" t="n">
        <f>124</f>
        <v>124.0</v>
      </c>
      <c r="G1455" s="25" t="n">
        <f>28984</f>
        <v>28984.0</v>
      </c>
      <c r="H1455" s="25"/>
      <c r="I1455" s="25" t="n">
        <f>640</f>
        <v>640.0</v>
      </c>
      <c r="J1455" s="25" t="n">
        <f>234</f>
        <v>234.0</v>
      </c>
      <c r="K1455" s="25" t="n">
        <f>5</f>
        <v>5.0</v>
      </c>
      <c r="L1455" s="2" t="s">
        <v>693</v>
      </c>
      <c r="M1455" s="26" t="n">
        <f>3423</f>
        <v>3423.0</v>
      </c>
      <c r="N1455" s="3" t="s">
        <v>215</v>
      </c>
      <c r="O1455" s="27" t="str">
        <f>"－"</f>
        <v>－</v>
      </c>
      <c r="P1455" s="29" t="s">
        <v>2571</v>
      </c>
      <c r="Q1455" s="25"/>
      <c r="R1455" s="29" t="s">
        <v>2572</v>
      </c>
      <c r="S1455" s="25" t="n">
        <f>2822460</f>
        <v>2822460.0</v>
      </c>
      <c r="T1455" s="25" t="n">
        <f>47274</f>
        <v>47274.0</v>
      </c>
      <c r="U1455" s="3" t="s">
        <v>320</v>
      </c>
      <c r="V1455" s="27" t="n">
        <f>130486500</f>
        <v>1.304865E8</v>
      </c>
      <c r="W1455" s="3" t="s">
        <v>215</v>
      </c>
      <c r="X1455" s="27" t="str">
        <f>"－"</f>
        <v>－</v>
      </c>
      <c r="Y1455" s="27" t="n">
        <f>7584</f>
        <v>7584.0</v>
      </c>
      <c r="Z1455" s="25" t="str">
        <f>"－"</f>
        <v>－</v>
      </c>
      <c r="AA1455" s="25" t="n">
        <f>4393</f>
        <v>4393.0</v>
      </c>
      <c r="AB1455" s="2" t="s">
        <v>1445</v>
      </c>
      <c r="AC1455" s="26" t="n">
        <f>11851</f>
        <v>11851.0</v>
      </c>
      <c r="AD1455" s="3" t="s">
        <v>103</v>
      </c>
      <c r="AE1455" s="27" t="n">
        <f>309</f>
        <v>309.0</v>
      </c>
    </row>
    <row r="1456">
      <c r="A1456" s="20" t="s">
        <v>2507</v>
      </c>
      <c r="B1456" s="21" t="s">
        <v>2508</v>
      </c>
      <c r="C1456" s="22" t="s">
        <v>1764</v>
      </c>
      <c r="D1456" s="23" t="s">
        <v>1765</v>
      </c>
      <c r="E1456" s="24" t="s">
        <v>407</v>
      </c>
      <c r="F1456" s="28" t="n">
        <f>124</f>
        <v>124.0</v>
      </c>
      <c r="G1456" s="25" t="n">
        <f>20843</f>
        <v>20843.0</v>
      </c>
      <c r="H1456" s="25"/>
      <c r="I1456" s="25" t="n">
        <f>2000</f>
        <v>2000.0</v>
      </c>
      <c r="J1456" s="25" t="n">
        <f>168</f>
        <v>168.0</v>
      </c>
      <c r="K1456" s="25" t="n">
        <f>16</f>
        <v>16.0</v>
      </c>
      <c r="L1456" s="2" t="s">
        <v>854</v>
      </c>
      <c r="M1456" s="26" t="n">
        <f>5520</f>
        <v>5520.0</v>
      </c>
      <c r="N1456" s="3" t="s">
        <v>215</v>
      </c>
      <c r="O1456" s="27" t="str">
        <f>"－"</f>
        <v>－</v>
      </c>
      <c r="P1456" s="29" t="s">
        <v>2573</v>
      </c>
      <c r="Q1456" s="25"/>
      <c r="R1456" s="29" t="s">
        <v>2574</v>
      </c>
      <c r="S1456" s="25" t="n">
        <f>879345</f>
        <v>879345.0</v>
      </c>
      <c r="T1456" s="25" t="n">
        <f>283065</f>
        <v>283065.0</v>
      </c>
      <c r="U1456" s="3" t="s">
        <v>103</v>
      </c>
      <c r="V1456" s="27" t="n">
        <f>34555000</f>
        <v>3.4555E7</v>
      </c>
      <c r="W1456" s="3" t="s">
        <v>215</v>
      </c>
      <c r="X1456" s="27" t="str">
        <f>"－"</f>
        <v>－</v>
      </c>
      <c r="Y1456" s="27" t="n">
        <f>1768</f>
        <v>1768.0</v>
      </c>
      <c r="Z1456" s="25" t="str">
        <f>"－"</f>
        <v>－</v>
      </c>
      <c r="AA1456" s="25" t="n">
        <f>2088</f>
        <v>2088.0</v>
      </c>
      <c r="AB1456" s="2" t="s">
        <v>321</v>
      </c>
      <c r="AC1456" s="26" t="n">
        <f>10689</f>
        <v>10689.0</v>
      </c>
      <c r="AD1456" s="3" t="s">
        <v>197</v>
      </c>
      <c r="AE1456" s="27" t="n">
        <f>987</f>
        <v>987.0</v>
      </c>
    </row>
    <row r="1457">
      <c r="A1457" s="20" t="s">
        <v>2507</v>
      </c>
      <c r="B1457" s="21" t="s">
        <v>2508</v>
      </c>
      <c r="C1457" s="22" t="s">
        <v>1768</v>
      </c>
      <c r="D1457" s="23" t="s">
        <v>1769</v>
      </c>
      <c r="E1457" s="24" t="s">
        <v>407</v>
      </c>
      <c r="F1457" s="28" t="n">
        <f>124</f>
        <v>124.0</v>
      </c>
      <c r="G1457" s="25" t="n">
        <f>49827</f>
        <v>49827.0</v>
      </c>
      <c r="H1457" s="25"/>
      <c r="I1457" s="25" t="n">
        <f>2640</f>
        <v>2640.0</v>
      </c>
      <c r="J1457" s="25" t="n">
        <f>402</f>
        <v>402.0</v>
      </c>
      <c r="K1457" s="25" t="n">
        <f>21</f>
        <v>21.0</v>
      </c>
      <c r="L1457" s="2" t="s">
        <v>854</v>
      </c>
      <c r="M1457" s="26" t="n">
        <f>5525</f>
        <v>5525.0</v>
      </c>
      <c r="N1457" s="3" t="s">
        <v>215</v>
      </c>
      <c r="O1457" s="27" t="str">
        <f>"－"</f>
        <v>－</v>
      </c>
      <c r="P1457" s="29" t="s">
        <v>2575</v>
      </c>
      <c r="Q1457" s="25"/>
      <c r="R1457" s="29" t="s">
        <v>2576</v>
      </c>
      <c r="S1457" s="25" t="n">
        <f>3701805</f>
        <v>3701805.0</v>
      </c>
      <c r="T1457" s="25" t="n">
        <f>330339</f>
        <v>330339.0</v>
      </c>
      <c r="U1457" s="3" t="s">
        <v>320</v>
      </c>
      <c r="V1457" s="27" t="n">
        <f>130486500</f>
        <v>1.304865E8</v>
      </c>
      <c r="W1457" s="3" t="s">
        <v>215</v>
      </c>
      <c r="X1457" s="27" t="str">
        <f>"－"</f>
        <v>－</v>
      </c>
      <c r="Y1457" s="27" t="n">
        <f>9352</f>
        <v>9352.0</v>
      </c>
      <c r="Z1457" s="25" t="str">
        <f>"－"</f>
        <v>－</v>
      </c>
      <c r="AA1457" s="25" t="n">
        <f>6481</f>
        <v>6481.0</v>
      </c>
      <c r="AB1457" s="2" t="s">
        <v>321</v>
      </c>
      <c r="AC1457" s="26" t="n">
        <f>21505</f>
        <v>21505.0</v>
      </c>
      <c r="AD1457" s="3" t="s">
        <v>82</v>
      </c>
      <c r="AE1457" s="27" t="n">
        <f>1653</f>
        <v>1653.0</v>
      </c>
    </row>
    <row r="1458">
      <c r="A1458" s="20" t="s">
        <v>2507</v>
      </c>
      <c r="B1458" s="21" t="s">
        <v>2508</v>
      </c>
      <c r="C1458" s="22" t="s">
        <v>1760</v>
      </c>
      <c r="D1458" s="23" t="s">
        <v>1761</v>
      </c>
      <c r="E1458" s="24" t="s">
        <v>410</v>
      </c>
      <c r="F1458" s="28" t="n">
        <f>121</f>
        <v>121.0</v>
      </c>
      <c r="G1458" s="25" t="n">
        <f>15577</f>
        <v>15577.0</v>
      </c>
      <c r="H1458" s="25"/>
      <c r="I1458" s="25" t="n">
        <f>6818</f>
        <v>6818.0</v>
      </c>
      <c r="J1458" s="25" t="n">
        <f>129</f>
        <v>129.0</v>
      </c>
      <c r="K1458" s="25" t="n">
        <f>56</f>
        <v>56.0</v>
      </c>
      <c r="L1458" s="2" t="s">
        <v>61</v>
      </c>
      <c r="M1458" s="26" t="n">
        <f>1193</f>
        <v>1193.0</v>
      </c>
      <c r="N1458" s="3" t="s">
        <v>156</v>
      </c>
      <c r="O1458" s="27" t="str">
        <f>"－"</f>
        <v>－</v>
      </c>
      <c r="P1458" s="29" t="s">
        <v>2577</v>
      </c>
      <c r="Q1458" s="25"/>
      <c r="R1458" s="29" t="s">
        <v>2578</v>
      </c>
      <c r="S1458" s="25" t="n">
        <f>776846</f>
        <v>776846.0</v>
      </c>
      <c r="T1458" s="25" t="n">
        <f>287318</f>
        <v>287318.0</v>
      </c>
      <c r="U1458" s="3" t="s">
        <v>60</v>
      </c>
      <c r="V1458" s="27" t="n">
        <f>13412500</f>
        <v>1.34125E7</v>
      </c>
      <c r="W1458" s="3" t="s">
        <v>156</v>
      </c>
      <c r="X1458" s="27" t="str">
        <f>"－"</f>
        <v>－</v>
      </c>
      <c r="Y1458" s="27" t="n">
        <f>4159</f>
        <v>4159.0</v>
      </c>
      <c r="Z1458" s="25" t="str">
        <f>"－"</f>
        <v>－</v>
      </c>
      <c r="AA1458" s="25" t="n">
        <f>4596</f>
        <v>4596.0</v>
      </c>
      <c r="AB1458" s="2" t="s">
        <v>171</v>
      </c>
      <c r="AC1458" s="26" t="n">
        <f>5280</f>
        <v>5280.0</v>
      </c>
      <c r="AD1458" s="3" t="s">
        <v>855</v>
      </c>
      <c r="AE1458" s="27" t="n">
        <f>10</f>
        <v>10.0</v>
      </c>
    </row>
    <row r="1459">
      <c r="A1459" s="20" t="s">
        <v>2507</v>
      </c>
      <c r="B1459" s="21" t="s">
        <v>2508</v>
      </c>
      <c r="C1459" s="22" t="s">
        <v>1764</v>
      </c>
      <c r="D1459" s="23" t="s">
        <v>1765</v>
      </c>
      <c r="E1459" s="24" t="s">
        <v>410</v>
      </c>
      <c r="F1459" s="28" t="n">
        <f>121</f>
        <v>121.0</v>
      </c>
      <c r="G1459" s="25" t="n">
        <f>13069</f>
        <v>13069.0</v>
      </c>
      <c r="H1459" s="25"/>
      <c r="I1459" s="25" t="n">
        <f>793</f>
        <v>793.0</v>
      </c>
      <c r="J1459" s="25" t="n">
        <f>108</f>
        <v>108.0</v>
      </c>
      <c r="K1459" s="25" t="n">
        <f>7</f>
        <v>7.0</v>
      </c>
      <c r="L1459" s="2" t="s">
        <v>1016</v>
      </c>
      <c r="M1459" s="26" t="n">
        <f>1644</f>
        <v>1644.0</v>
      </c>
      <c r="N1459" s="3" t="s">
        <v>156</v>
      </c>
      <c r="O1459" s="27" t="str">
        <f>"－"</f>
        <v>－</v>
      </c>
      <c r="P1459" s="29" t="s">
        <v>2579</v>
      </c>
      <c r="Q1459" s="25"/>
      <c r="R1459" s="29" t="s">
        <v>2580</v>
      </c>
      <c r="S1459" s="25" t="n">
        <f>528690</f>
        <v>528690.0</v>
      </c>
      <c r="T1459" s="25" t="n">
        <f>50998</f>
        <v>50998.0</v>
      </c>
      <c r="U1459" s="3" t="s">
        <v>1016</v>
      </c>
      <c r="V1459" s="27" t="n">
        <f>7206500</f>
        <v>7206500.0</v>
      </c>
      <c r="W1459" s="3" t="s">
        <v>156</v>
      </c>
      <c r="X1459" s="27" t="str">
        <f>"－"</f>
        <v>－</v>
      </c>
      <c r="Y1459" s="27" t="n">
        <f>1161</f>
        <v>1161.0</v>
      </c>
      <c r="Z1459" s="25" t="str">
        <f>"－"</f>
        <v>－</v>
      </c>
      <c r="AA1459" s="25" t="n">
        <f>2342</f>
        <v>2342.0</v>
      </c>
      <c r="AB1459" s="2" t="s">
        <v>97</v>
      </c>
      <c r="AC1459" s="26" t="n">
        <f>3968</f>
        <v>3968.0</v>
      </c>
      <c r="AD1459" s="3" t="s">
        <v>189</v>
      </c>
      <c r="AE1459" s="27" t="n">
        <f>242</f>
        <v>242.0</v>
      </c>
    </row>
    <row r="1460">
      <c r="A1460" s="20" t="s">
        <v>2507</v>
      </c>
      <c r="B1460" s="21" t="s">
        <v>2508</v>
      </c>
      <c r="C1460" s="22" t="s">
        <v>1768</v>
      </c>
      <c r="D1460" s="23" t="s">
        <v>1769</v>
      </c>
      <c r="E1460" s="24" t="s">
        <v>410</v>
      </c>
      <c r="F1460" s="28" t="n">
        <f>121</f>
        <v>121.0</v>
      </c>
      <c r="G1460" s="25" t="n">
        <f>28646</f>
        <v>28646.0</v>
      </c>
      <c r="H1460" s="25"/>
      <c r="I1460" s="25" t="n">
        <f>7611</f>
        <v>7611.0</v>
      </c>
      <c r="J1460" s="25" t="n">
        <f>237</f>
        <v>237.0</v>
      </c>
      <c r="K1460" s="25" t="n">
        <f>63</f>
        <v>63.0</v>
      </c>
      <c r="L1460" s="2" t="s">
        <v>1016</v>
      </c>
      <c r="M1460" s="26" t="n">
        <f>2139</f>
        <v>2139.0</v>
      </c>
      <c r="N1460" s="3" t="s">
        <v>156</v>
      </c>
      <c r="O1460" s="27" t="str">
        <f>"－"</f>
        <v>－</v>
      </c>
      <c r="P1460" s="29" t="s">
        <v>2581</v>
      </c>
      <c r="Q1460" s="25"/>
      <c r="R1460" s="29" t="s">
        <v>2582</v>
      </c>
      <c r="S1460" s="25" t="n">
        <f>1305536</f>
        <v>1305536.0</v>
      </c>
      <c r="T1460" s="25" t="n">
        <f>338316</f>
        <v>338316.0</v>
      </c>
      <c r="U1460" s="3" t="s">
        <v>60</v>
      </c>
      <c r="V1460" s="27" t="n">
        <f>14137500</f>
        <v>1.41375E7</v>
      </c>
      <c r="W1460" s="3" t="s">
        <v>156</v>
      </c>
      <c r="X1460" s="27" t="str">
        <f>"－"</f>
        <v>－</v>
      </c>
      <c r="Y1460" s="27" t="n">
        <f>5320</f>
        <v>5320.0</v>
      </c>
      <c r="Z1460" s="25" t="str">
        <f>"－"</f>
        <v>－</v>
      </c>
      <c r="AA1460" s="25" t="n">
        <f>6938</f>
        <v>6938.0</v>
      </c>
      <c r="AB1460" s="2" t="s">
        <v>101</v>
      </c>
      <c r="AC1460" s="26" t="n">
        <f>7691</f>
        <v>7691.0</v>
      </c>
      <c r="AD1460" s="3" t="s">
        <v>153</v>
      </c>
      <c r="AE1460" s="27" t="n">
        <f>699</f>
        <v>699.0</v>
      </c>
    </row>
    <row r="1461">
      <c r="A1461" s="20" t="s">
        <v>2507</v>
      </c>
      <c r="B1461" s="21" t="s">
        <v>2508</v>
      </c>
      <c r="C1461" s="22" t="s">
        <v>1760</v>
      </c>
      <c r="D1461" s="23" t="s">
        <v>1761</v>
      </c>
      <c r="E1461" s="24" t="s">
        <v>415</v>
      </c>
      <c r="F1461" s="28" t="n">
        <f>124</f>
        <v>124.0</v>
      </c>
      <c r="G1461" s="25" t="n">
        <f>48453</f>
        <v>48453.0</v>
      </c>
      <c r="H1461" s="25"/>
      <c r="I1461" s="25" t="n">
        <f>14348</f>
        <v>14348.0</v>
      </c>
      <c r="J1461" s="25" t="n">
        <f>391</f>
        <v>391.0</v>
      </c>
      <c r="K1461" s="25" t="n">
        <f>116</f>
        <v>116.0</v>
      </c>
      <c r="L1461" s="2" t="s">
        <v>288</v>
      </c>
      <c r="M1461" s="26" t="n">
        <f>17800</f>
        <v>17800.0</v>
      </c>
      <c r="N1461" s="3" t="s">
        <v>68</v>
      </c>
      <c r="O1461" s="27" t="str">
        <f>"－"</f>
        <v>－</v>
      </c>
      <c r="P1461" s="29" t="s">
        <v>2583</v>
      </c>
      <c r="Q1461" s="25"/>
      <c r="R1461" s="29" t="s">
        <v>2584</v>
      </c>
      <c r="S1461" s="25" t="n">
        <f>1755813</f>
        <v>1755813.0</v>
      </c>
      <c r="T1461" s="25" t="n">
        <f>264204</f>
        <v>264204.0</v>
      </c>
      <c r="U1461" s="3" t="s">
        <v>498</v>
      </c>
      <c r="V1461" s="27" t="n">
        <f>50300000</f>
        <v>5.03E7</v>
      </c>
      <c r="W1461" s="3" t="s">
        <v>68</v>
      </c>
      <c r="X1461" s="27" t="str">
        <f>"－"</f>
        <v>－</v>
      </c>
      <c r="Y1461" s="27" t="n">
        <f>1322</f>
        <v>1322.0</v>
      </c>
      <c r="Z1461" s="25" t="str">
        <f>"－"</f>
        <v>－</v>
      </c>
      <c r="AA1461" s="25" t="n">
        <f>40803</f>
        <v>40803.0</v>
      </c>
      <c r="AB1461" s="2" t="s">
        <v>129</v>
      </c>
      <c r="AC1461" s="26" t="n">
        <f>40803</f>
        <v>40803.0</v>
      </c>
      <c r="AD1461" s="3" t="s">
        <v>95</v>
      </c>
      <c r="AE1461" s="27" t="n">
        <f>5</f>
        <v>5.0</v>
      </c>
    </row>
    <row r="1462">
      <c r="A1462" s="20" t="s">
        <v>2507</v>
      </c>
      <c r="B1462" s="21" t="s">
        <v>2508</v>
      </c>
      <c r="C1462" s="22" t="s">
        <v>1764</v>
      </c>
      <c r="D1462" s="23" t="s">
        <v>1765</v>
      </c>
      <c r="E1462" s="24" t="s">
        <v>415</v>
      </c>
      <c r="F1462" s="28" t="n">
        <f>124</f>
        <v>124.0</v>
      </c>
      <c r="G1462" s="25" t="n">
        <f>11157</f>
        <v>11157.0</v>
      </c>
      <c r="H1462" s="25"/>
      <c r="I1462" s="25" t="n">
        <f>628</f>
        <v>628.0</v>
      </c>
      <c r="J1462" s="25" t="n">
        <f>90</f>
        <v>90.0</v>
      </c>
      <c r="K1462" s="25" t="n">
        <f>5</f>
        <v>5.0</v>
      </c>
      <c r="L1462" s="2" t="s">
        <v>53</v>
      </c>
      <c r="M1462" s="26" t="n">
        <f>1827</f>
        <v>1827.0</v>
      </c>
      <c r="N1462" s="3" t="s">
        <v>633</v>
      </c>
      <c r="O1462" s="27" t="str">
        <f>"－"</f>
        <v>－</v>
      </c>
      <c r="P1462" s="29" t="s">
        <v>2585</v>
      </c>
      <c r="Q1462" s="25"/>
      <c r="R1462" s="29" t="s">
        <v>2586</v>
      </c>
      <c r="S1462" s="25" t="n">
        <f>366138</f>
        <v>366138.0</v>
      </c>
      <c r="T1462" s="25" t="n">
        <f>9330</f>
        <v>9330.0</v>
      </c>
      <c r="U1462" s="3" t="s">
        <v>67</v>
      </c>
      <c r="V1462" s="27" t="n">
        <f>7143000</f>
        <v>7143000.0</v>
      </c>
      <c r="W1462" s="3" t="s">
        <v>633</v>
      </c>
      <c r="X1462" s="27" t="str">
        <f>"－"</f>
        <v>－</v>
      </c>
      <c r="Y1462" s="27" t="n">
        <f>381</f>
        <v>381.0</v>
      </c>
      <c r="Z1462" s="25" t="str">
        <f>"－"</f>
        <v>－</v>
      </c>
      <c r="AA1462" s="25" t="n">
        <f>3825</f>
        <v>3825.0</v>
      </c>
      <c r="AB1462" s="2" t="s">
        <v>1063</v>
      </c>
      <c r="AC1462" s="26" t="n">
        <f>3825</f>
        <v>3825.0</v>
      </c>
      <c r="AD1462" s="3" t="s">
        <v>95</v>
      </c>
      <c r="AE1462" s="27" t="n">
        <f>426</f>
        <v>426.0</v>
      </c>
    </row>
    <row r="1463">
      <c r="A1463" s="20" t="s">
        <v>2507</v>
      </c>
      <c r="B1463" s="21" t="s">
        <v>2508</v>
      </c>
      <c r="C1463" s="22" t="s">
        <v>1768</v>
      </c>
      <c r="D1463" s="23" t="s">
        <v>1769</v>
      </c>
      <c r="E1463" s="24" t="s">
        <v>415</v>
      </c>
      <c r="F1463" s="28" t="n">
        <f>124</f>
        <v>124.0</v>
      </c>
      <c r="G1463" s="25" t="n">
        <f>59610</f>
        <v>59610.0</v>
      </c>
      <c r="H1463" s="25"/>
      <c r="I1463" s="25" t="n">
        <f>14976</f>
        <v>14976.0</v>
      </c>
      <c r="J1463" s="25" t="n">
        <f>481</f>
        <v>481.0</v>
      </c>
      <c r="K1463" s="25" t="n">
        <f>121</f>
        <v>121.0</v>
      </c>
      <c r="L1463" s="2" t="s">
        <v>288</v>
      </c>
      <c r="M1463" s="26" t="n">
        <f>17800</f>
        <v>17800.0</v>
      </c>
      <c r="N1463" s="3" t="s">
        <v>879</v>
      </c>
      <c r="O1463" s="27" t="str">
        <f>"－"</f>
        <v>－</v>
      </c>
      <c r="P1463" s="29" t="s">
        <v>2587</v>
      </c>
      <c r="Q1463" s="25"/>
      <c r="R1463" s="29" t="s">
        <v>2588</v>
      </c>
      <c r="S1463" s="25" t="n">
        <f>2121950</f>
        <v>2121950.0</v>
      </c>
      <c r="T1463" s="25" t="n">
        <f>273534</f>
        <v>273534.0</v>
      </c>
      <c r="U1463" s="3" t="s">
        <v>498</v>
      </c>
      <c r="V1463" s="27" t="n">
        <f>50300000</f>
        <v>5.03E7</v>
      </c>
      <c r="W1463" s="3" t="s">
        <v>879</v>
      </c>
      <c r="X1463" s="27" t="str">
        <f>"－"</f>
        <v>－</v>
      </c>
      <c r="Y1463" s="27" t="n">
        <f>1703</f>
        <v>1703.0</v>
      </c>
      <c r="Z1463" s="25" t="str">
        <f>"－"</f>
        <v>－</v>
      </c>
      <c r="AA1463" s="25" t="n">
        <f>44628</f>
        <v>44628.0</v>
      </c>
      <c r="AB1463" s="2" t="s">
        <v>129</v>
      </c>
      <c r="AC1463" s="26" t="n">
        <f>44628</f>
        <v>44628.0</v>
      </c>
      <c r="AD1463" s="3" t="s">
        <v>95</v>
      </c>
      <c r="AE1463" s="27" t="n">
        <f>431</f>
        <v>431.0</v>
      </c>
    </row>
    <row r="1464">
      <c r="A1464" s="20" t="s">
        <v>2507</v>
      </c>
      <c r="B1464" s="21" t="s">
        <v>2508</v>
      </c>
      <c r="C1464" s="22" t="s">
        <v>1760</v>
      </c>
      <c r="D1464" s="23" t="s">
        <v>1761</v>
      </c>
      <c r="E1464" s="24" t="s">
        <v>418</v>
      </c>
      <c r="F1464" s="28" t="n">
        <f>120</f>
        <v>120.0</v>
      </c>
      <c r="G1464" s="25" t="n">
        <f>200854</f>
        <v>200854.0</v>
      </c>
      <c r="H1464" s="25"/>
      <c r="I1464" s="25" t="n">
        <f>3833</f>
        <v>3833.0</v>
      </c>
      <c r="J1464" s="25" t="n">
        <f>1674</f>
        <v>1674.0</v>
      </c>
      <c r="K1464" s="25" t="n">
        <f>32</f>
        <v>32.0</v>
      </c>
      <c r="L1464" s="2" t="s">
        <v>1326</v>
      </c>
      <c r="M1464" s="26" t="n">
        <f>21004</f>
        <v>21004.0</v>
      </c>
      <c r="N1464" s="3" t="s">
        <v>328</v>
      </c>
      <c r="O1464" s="27" t="str">
        <f>"－"</f>
        <v>－</v>
      </c>
      <c r="P1464" s="29" t="s">
        <v>2589</v>
      </c>
      <c r="Q1464" s="25"/>
      <c r="R1464" s="29" t="s">
        <v>2590</v>
      </c>
      <c r="S1464" s="25" t="n">
        <f>8924795</f>
        <v>8924795.0</v>
      </c>
      <c r="T1464" s="25" t="n">
        <f>246331</f>
        <v>246331.0</v>
      </c>
      <c r="U1464" s="3" t="s">
        <v>134</v>
      </c>
      <c r="V1464" s="27" t="n">
        <f>187655000</f>
        <v>1.87655E8</v>
      </c>
      <c r="W1464" s="3" t="s">
        <v>328</v>
      </c>
      <c r="X1464" s="27" t="str">
        <f>"－"</f>
        <v>－</v>
      </c>
      <c r="Y1464" s="27" t="n">
        <f>25455</f>
        <v>25455.0</v>
      </c>
      <c r="Z1464" s="25" t="str">
        <f>"－"</f>
        <v>－</v>
      </c>
      <c r="AA1464" s="25" t="n">
        <f>90481</f>
        <v>90481.0</v>
      </c>
      <c r="AB1464" s="2" t="s">
        <v>61</v>
      </c>
      <c r="AC1464" s="26" t="n">
        <f>90481</f>
        <v>90481.0</v>
      </c>
      <c r="AD1464" s="3" t="s">
        <v>290</v>
      </c>
      <c r="AE1464" s="27" t="n">
        <f>2610</f>
        <v>2610.0</v>
      </c>
    </row>
    <row r="1465">
      <c r="A1465" s="20" t="s">
        <v>2507</v>
      </c>
      <c r="B1465" s="21" t="s">
        <v>2508</v>
      </c>
      <c r="C1465" s="22" t="s">
        <v>1764</v>
      </c>
      <c r="D1465" s="23" t="s">
        <v>1765</v>
      </c>
      <c r="E1465" s="24" t="s">
        <v>418</v>
      </c>
      <c r="F1465" s="28" t="n">
        <f>120</f>
        <v>120.0</v>
      </c>
      <c r="G1465" s="25" t="n">
        <f>58722</f>
        <v>58722.0</v>
      </c>
      <c r="H1465" s="25"/>
      <c r="I1465" s="25" t="n">
        <f>2823</f>
        <v>2823.0</v>
      </c>
      <c r="J1465" s="25" t="n">
        <f>489</f>
        <v>489.0</v>
      </c>
      <c r="K1465" s="25" t="n">
        <f>24</f>
        <v>24.0</v>
      </c>
      <c r="L1465" s="2" t="s">
        <v>698</v>
      </c>
      <c r="M1465" s="26" t="n">
        <f>10650</f>
        <v>10650.0</v>
      </c>
      <c r="N1465" s="3" t="s">
        <v>147</v>
      </c>
      <c r="O1465" s="27" t="str">
        <f>"－"</f>
        <v>－</v>
      </c>
      <c r="P1465" s="29" t="s">
        <v>2591</v>
      </c>
      <c r="Q1465" s="25"/>
      <c r="R1465" s="29" t="s">
        <v>2592</v>
      </c>
      <c r="S1465" s="25" t="n">
        <f>2567784</f>
        <v>2567784.0</v>
      </c>
      <c r="T1465" s="25" t="n">
        <f>275656</f>
        <v>275656.0</v>
      </c>
      <c r="U1465" s="3" t="s">
        <v>1326</v>
      </c>
      <c r="V1465" s="27" t="n">
        <f>57125000</f>
        <v>5.7125E7</v>
      </c>
      <c r="W1465" s="3" t="s">
        <v>147</v>
      </c>
      <c r="X1465" s="27" t="str">
        <f>"－"</f>
        <v>－</v>
      </c>
      <c r="Y1465" s="27" t="n">
        <f>9525</f>
        <v>9525.0</v>
      </c>
      <c r="Z1465" s="25" t="str">
        <f>"－"</f>
        <v>－</v>
      </c>
      <c r="AA1465" s="25" t="n">
        <f>265</f>
        <v>265.0</v>
      </c>
      <c r="AB1465" s="2" t="s">
        <v>291</v>
      </c>
      <c r="AC1465" s="26" t="n">
        <f>24936</f>
        <v>24936.0</v>
      </c>
      <c r="AD1465" s="3" t="s">
        <v>101</v>
      </c>
      <c r="AE1465" s="27" t="n">
        <f>65</f>
        <v>65.0</v>
      </c>
    </row>
    <row r="1466">
      <c r="A1466" s="20" t="s">
        <v>2507</v>
      </c>
      <c r="B1466" s="21" t="s">
        <v>2508</v>
      </c>
      <c r="C1466" s="22" t="s">
        <v>1768</v>
      </c>
      <c r="D1466" s="23" t="s">
        <v>1769</v>
      </c>
      <c r="E1466" s="24" t="s">
        <v>418</v>
      </c>
      <c r="F1466" s="28" t="n">
        <f>120</f>
        <v>120.0</v>
      </c>
      <c r="G1466" s="25" t="n">
        <f>259576</f>
        <v>259576.0</v>
      </c>
      <c r="H1466" s="25"/>
      <c r="I1466" s="25" t="n">
        <f>6656</f>
        <v>6656.0</v>
      </c>
      <c r="J1466" s="25" t="n">
        <f>2163</f>
        <v>2163.0</v>
      </c>
      <c r="K1466" s="25" t="n">
        <f>55</f>
        <v>55.0</v>
      </c>
      <c r="L1466" s="2" t="s">
        <v>1326</v>
      </c>
      <c r="M1466" s="26" t="n">
        <f>24454</f>
        <v>24454.0</v>
      </c>
      <c r="N1466" s="3" t="s">
        <v>328</v>
      </c>
      <c r="O1466" s="27" t="str">
        <f>"－"</f>
        <v>－</v>
      </c>
      <c r="P1466" s="29" t="s">
        <v>2593</v>
      </c>
      <c r="Q1466" s="25"/>
      <c r="R1466" s="29" t="s">
        <v>2594</v>
      </c>
      <c r="S1466" s="25" t="n">
        <f>11492579</f>
        <v>1.1492579E7</v>
      </c>
      <c r="T1466" s="25" t="n">
        <f>521988</f>
        <v>521988.0</v>
      </c>
      <c r="U1466" s="3" t="s">
        <v>134</v>
      </c>
      <c r="V1466" s="27" t="n">
        <f>206655000</f>
        <v>2.06655E8</v>
      </c>
      <c r="W1466" s="3" t="s">
        <v>328</v>
      </c>
      <c r="X1466" s="27" t="str">
        <f>"－"</f>
        <v>－</v>
      </c>
      <c r="Y1466" s="27" t="n">
        <f>34980</f>
        <v>34980.0</v>
      </c>
      <c r="Z1466" s="25" t="str">
        <f>"－"</f>
        <v>－</v>
      </c>
      <c r="AA1466" s="25" t="n">
        <f>90746</f>
        <v>90746.0</v>
      </c>
      <c r="AB1466" s="2" t="s">
        <v>291</v>
      </c>
      <c r="AC1466" s="26" t="n">
        <f>93862</f>
        <v>93862.0</v>
      </c>
      <c r="AD1466" s="3" t="s">
        <v>290</v>
      </c>
      <c r="AE1466" s="27" t="n">
        <f>7796</f>
        <v>7796.0</v>
      </c>
    </row>
    <row r="1467">
      <c r="A1467" s="20" t="s">
        <v>2507</v>
      </c>
      <c r="B1467" s="21" t="s">
        <v>2508</v>
      </c>
      <c r="C1467" s="22" t="s">
        <v>1760</v>
      </c>
      <c r="D1467" s="23" t="s">
        <v>1761</v>
      </c>
      <c r="E1467" s="24" t="s">
        <v>423</v>
      </c>
      <c r="F1467" s="28" t="n">
        <f>123</f>
        <v>123.0</v>
      </c>
      <c r="G1467" s="25" t="n">
        <f>261264</f>
        <v>261264.0</v>
      </c>
      <c r="H1467" s="25"/>
      <c r="I1467" s="25" t="n">
        <f>156832</f>
        <v>156832.0</v>
      </c>
      <c r="J1467" s="25" t="n">
        <f>2124</f>
        <v>2124.0</v>
      </c>
      <c r="K1467" s="25" t="n">
        <f>1275</f>
        <v>1275.0</v>
      </c>
      <c r="L1467" s="2" t="s">
        <v>125</v>
      </c>
      <c r="M1467" s="26" t="n">
        <f>50700</f>
        <v>50700.0</v>
      </c>
      <c r="N1467" s="3" t="s">
        <v>68</v>
      </c>
      <c r="O1467" s="27" t="str">
        <f>"－"</f>
        <v>－</v>
      </c>
      <c r="P1467" s="29" t="s">
        <v>2595</v>
      </c>
      <c r="Q1467" s="25"/>
      <c r="R1467" s="29" t="s">
        <v>2596</v>
      </c>
      <c r="S1467" s="25" t="n">
        <f>19358094</f>
        <v>1.9358094E7</v>
      </c>
      <c r="T1467" s="25" t="n">
        <f>16036190</f>
        <v>1.603619E7</v>
      </c>
      <c r="U1467" s="3" t="s">
        <v>49</v>
      </c>
      <c r="V1467" s="27" t="n">
        <f>752683500</f>
        <v>7.526835E8</v>
      </c>
      <c r="W1467" s="3" t="s">
        <v>68</v>
      </c>
      <c r="X1467" s="27" t="str">
        <f>"－"</f>
        <v>－</v>
      </c>
      <c r="Y1467" s="27" t="n">
        <f>11084</f>
        <v>11084.0</v>
      </c>
      <c r="Z1467" s="25" t="n">
        <f>425</f>
        <v>425.0</v>
      </c>
      <c r="AA1467" s="25" t="n">
        <f>70457</f>
        <v>70457.0</v>
      </c>
      <c r="AB1467" s="2" t="s">
        <v>240</v>
      </c>
      <c r="AC1467" s="26" t="n">
        <f>93622</f>
        <v>93622.0</v>
      </c>
      <c r="AD1467" s="3" t="s">
        <v>524</v>
      </c>
      <c r="AE1467" s="27" t="n">
        <f>38290</f>
        <v>38290.0</v>
      </c>
    </row>
    <row r="1468">
      <c r="A1468" s="20" t="s">
        <v>2507</v>
      </c>
      <c r="B1468" s="21" t="s">
        <v>2508</v>
      </c>
      <c r="C1468" s="22" t="s">
        <v>1764</v>
      </c>
      <c r="D1468" s="23" t="s">
        <v>1765</v>
      </c>
      <c r="E1468" s="24" t="s">
        <v>423</v>
      </c>
      <c r="F1468" s="28" t="n">
        <f>123</f>
        <v>123.0</v>
      </c>
      <c r="G1468" s="25" t="n">
        <f>141973</f>
        <v>141973.0</v>
      </c>
      <c r="H1468" s="25"/>
      <c r="I1468" s="25" t="n">
        <f>89912</f>
        <v>89912.0</v>
      </c>
      <c r="J1468" s="25" t="n">
        <f>1154</f>
        <v>1154.0</v>
      </c>
      <c r="K1468" s="25" t="n">
        <f>731</f>
        <v>731.0</v>
      </c>
      <c r="L1468" s="2" t="s">
        <v>720</v>
      </c>
      <c r="M1468" s="26" t="n">
        <f>22500</f>
        <v>22500.0</v>
      </c>
      <c r="N1468" s="3" t="s">
        <v>68</v>
      </c>
      <c r="O1468" s="27" t="str">
        <f>"－"</f>
        <v>－</v>
      </c>
      <c r="P1468" s="29" t="s">
        <v>2597</v>
      </c>
      <c r="Q1468" s="25"/>
      <c r="R1468" s="29" t="s">
        <v>2598</v>
      </c>
      <c r="S1468" s="25" t="n">
        <f>4458230</f>
        <v>4458230.0</v>
      </c>
      <c r="T1468" s="25" t="n">
        <f>3410840</f>
        <v>3410840.0</v>
      </c>
      <c r="U1468" s="3" t="s">
        <v>1415</v>
      </c>
      <c r="V1468" s="27" t="n">
        <f>66100000</f>
        <v>6.61E7</v>
      </c>
      <c r="W1468" s="3" t="s">
        <v>68</v>
      </c>
      <c r="X1468" s="27" t="str">
        <f>"－"</f>
        <v>－</v>
      </c>
      <c r="Y1468" s="27" t="n">
        <f>4481</f>
        <v>4481.0</v>
      </c>
      <c r="Z1468" s="25" t="n">
        <f>425</f>
        <v>425.0</v>
      </c>
      <c r="AA1468" s="25" t="n">
        <f>33883</f>
        <v>33883.0</v>
      </c>
      <c r="AB1468" s="2" t="s">
        <v>137</v>
      </c>
      <c r="AC1468" s="26" t="n">
        <f>48969</f>
        <v>48969.0</v>
      </c>
      <c r="AD1468" s="3" t="s">
        <v>854</v>
      </c>
      <c r="AE1468" s="27" t="n">
        <f>65</f>
        <v>65.0</v>
      </c>
    </row>
    <row r="1469">
      <c r="A1469" s="20" t="s">
        <v>2507</v>
      </c>
      <c r="B1469" s="21" t="s">
        <v>2508</v>
      </c>
      <c r="C1469" s="22" t="s">
        <v>1768</v>
      </c>
      <c r="D1469" s="23" t="s">
        <v>1769</v>
      </c>
      <c r="E1469" s="24" t="s">
        <v>423</v>
      </c>
      <c r="F1469" s="28" t="n">
        <f>123</f>
        <v>123.0</v>
      </c>
      <c r="G1469" s="25" t="n">
        <f>403237</f>
        <v>403237.0</v>
      </c>
      <c r="H1469" s="25"/>
      <c r="I1469" s="25" t="n">
        <f>246744</f>
        <v>246744.0</v>
      </c>
      <c r="J1469" s="25" t="n">
        <f>3278</f>
        <v>3278.0</v>
      </c>
      <c r="K1469" s="25" t="n">
        <f>2006</f>
        <v>2006.0</v>
      </c>
      <c r="L1469" s="2" t="s">
        <v>125</v>
      </c>
      <c r="M1469" s="26" t="n">
        <f>51200</f>
        <v>51200.0</v>
      </c>
      <c r="N1469" s="3" t="s">
        <v>68</v>
      </c>
      <c r="O1469" s="27" t="str">
        <f>"－"</f>
        <v>－</v>
      </c>
      <c r="P1469" s="29" t="s">
        <v>2599</v>
      </c>
      <c r="Q1469" s="25"/>
      <c r="R1469" s="29" t="s">
        <v>2600</v>
      </c>
      <c r="S1469" s="25" t="n">
        <f>23816324</f>
        <v>2.3816324E7</v>
      </c>
      <c r="T1469" s="25" t="n">
        <f>19447030</f>
        <v>1.944703E7</v>
      </c>
      <c r="U1469" s="3" t="s">
        <v>49</v>
      </c>
      <c r="V1469" s="27" t="n">
        <f>755379000</f>
        <v>7.55379E8</v>
      </c>
      <c r="W1469" s="3" t="s">
        <v>68</v>
      </c>
      <c r="X1469" s="27" t="str">
        <f>"－"</f>
        <v>－</v>
      </c>
      <c r="Y1469" s="27" t="n">
        <f>15565</f>
        <v>15565.0</v>
      </c>
      <c r="Z1469" s="25" t="n">
        <f>850</f>
        <v>850.0</v>
      </c>
      <c r="AA1469" s="25" t="n">
        <f>104340</f>
        <v>104340.0</v>
      </c>
      <c r="AB1469" s="2" t="s">
        <v>891</v>
      </c>
      <c r="AC1469" s="26" t="n">
        <f>113805</f>
        <v>113805.0</v>
      </c>
      <c r="AD1469" s="3" t="s">
        <v>295</v>
      </c>
      <c r="AE1469" s="27" t="n">
        <f>64274</f>
        <v>64274.0</v>
      </c>
    </row>
    <row r="1470">
      <c r="A1470" s="20" t="s">
        <v>2507</v>
      </c>
      <c r="B1470" s="21" t="s">
        <v>2508</v>
      </c>
      <c r="C1470" s="22" t="s">
        <v>1760</v>
      </c>
      <c r="D1470" s="23" t="s">
        <v>1761</v>
      </c>
      <c r="E1470" s="24" t="s">
        <v>426</v>
      </c>
      <c r="F1470" s="28" t="n">
        <f>121</f>
        <v>121.0</v>
      </c>
      <c r="G1470" s="25" t="n">
        <f>175947</f>
        <v>175947.0</v>
      </c>
      <c r="H1470" s="25"/>
      <c r="I1470" s="25" t="n">
        <f>175416</f>
        <v>175416.0</v>
      </c>
      <c r="J1470" s="25" t="n">
        <f>1454</f>
        <v>1454.0</v>
      </c>
      <c r="K1470" s="25" t="n">
        <f>1450</f>
        <v>1450.0</v>
      </c>
      <c r="L1470" s="2" t="s">
        <v>520</v>
      </c>
      <c r="M1470" s="26" t="n">
        <f>31800</f>
        <v>31800.0</v>
      </c>
      <c r="N1470" s="3" t="s">
        <v>156</v>
      </c>
      <c r="O1470" s="27" t="str">
        <f>"－"</f>
        <v>－</v>
      </c>
      <c r="P1470" s="29" t="s">
        <v>2601</v>
      </c>
      <c r="Q1470" s="25"/>
      <c r="R1470" s="29" t="s">
        <v>2602</v>
      </c>
      <c r="S1470" s="25" t="n">
        <f>21767590</f>
        <v>2.176759E7</v>
      </c>
      <c r="T1470" s="25" t="n">
        <f>21716525</f>
        <v>2.1716525E7</v>
      </c>
      <c r="U1470" s="3" t="s">
        <v>146</v>
      </c>
      <c r="V1470" s="27" t="n">
        <f>664760000</f>
        <v>6.6476E8</v>
      </c>
      <c r="W1470" s="3" t="s">
        <v>156</v>
      </c>
      <c r="X1470" s="27" t="str">
        <f>"－"</f>
        <v>－</v>
      </c>
      <c r="Y1470" s="27" t="n">
        <f>3572</f>
        <v>3572.0</v>
      </c>
      <c r="Z1470" s="25" t="str">
        <f>"－"</f>
        <v>－</v>
      </c>
      <c r="AA1470" s="25" t="n">
        <f>31361</f>
        <v>31361.0</v>
      </c>
      <c r="AB1470" s="2" t="s">
        <v>188</v>
      </c>
      <c r="AC1470" s="26" t="n">
        <f>71435</f>
        <v>71435.0</v>
      </c>
      <c r="AD1470" s="3" t="s">
        <v>101</v>
      </c>
      <c r="AE1470" s="27" t="n">
        <f>27302</f>
        <v>27302.0</v>
      </c>
    </row>
    <row r="1471">
      <c r="A1471" s="20" t="s">
        <v>2507</v>
      </c>
      <c r="B1471" s="21" t="s">
        <v>2508</v>
      </c>
      <c r="C1471" s="22" t="s">
        <v>1764</v>
      </c>
      <c r="D1471" s="23" t="s">
        <v>1765</v>
      </c>
      <c r="E1471" s="24" t="s">
        <v>426</v>
      </c>
      <c r="F1471" s="28" t="n">
        <f>121</f>
        <v>121.0</v>
      </c>
      <c r="G1471" s="25" t="n">
        <f>115793</f>
        <v>115793.0</v>
      </c>
      <c r="H1471" s="25"/>
      <c r="I1471" s="25" t="n">
        <f>114202</f>
        <v>114202.0</v>
      </c>
      <c r="J1471" s="25" t="n">
        <f>957</f>
        <v>957.0</v>
      </c>
      <c r="K1471" s="25" t="n">
        <f>944</f>
        <v>944.0</v>
      </c>
      <c r="L1471" s="2" t="s">
        <v>963</v>
      </c>
      <c r="M1471" s="26" t="n">
        <f>21360</f>
        <v>21360.0</v>
      </c>
      <c r="N1471" s="3" t="s">
        <v>328</v>
      </c>
      <c r="O1471" s="27" t="str">
        <f>"－"</f>
        <v>－</v>
      </c>
      <c r="P1471" s="29" t="s">
        <v>2603</v>
      </c>
      <c r="Q1471" s="25"/>
      <c r="R1471" s="29" t="s">
        <v>2604</v>
      </c>
      <c r="S1471" s="25" t="n">
        <f>4706515</f>
        <v>4706515.0</v>
      </c>
      <c r="T1471" s="25" t="n">
        <f>4623961</f>
        <v>4623961.0</v>
      </c>
      <c r="U1471" s="3" t="s">
        <v>963</v>
      </c>
      <c r="V1471" s="27" t="n">
        <f>76548000</f>
        <v>7.6548E7</v>
      </c>
      <c r="W1471" s="3" t="s">
        <v>328</v>
      </c>
      <c r="X1471" s="27" t="str">
        <f>"－"</f>
        <v>－</v>
      </c>
      <c r="Y1471" s="27" t="n">
        <f>27864</f>
        <v>27864.0</v>
      </c>
      <c r="Z1471" s="25" t="n">
        <f>30</f>
        <v>30.0</v>
      </c>
      <c r="AA1471" s="25" t="n">
        <f>33197</f>
        <v>33197.0</v>
      </c>
      <c r="AB1471" s="2" t="s">
        <v>312</v>
      </c>
      <c r="AC1471" s="26" t="n">
        <f>44323</f>
        <v>44323.0</v>
      </c>
      <c r="AD1471" s="3" t="s">
        <v>134</v>
      </c>
      <c r="AE1471" s="27" t="n">
        <f>4213</f>
        <v>4213.0</v>
      </c>
    </row>
    <row r="1472">
      <c r="A1472" s="20" t="s">
        <v>2507</v>
      </c>
      <c r="B1472" s="21" t="s">
        <v>2508</v>
      </c>
      <c r="C1472" s="22" t="s">
        <v>1768</v>
      </c>
      <c r="D1472" s="23" t="s">
        <v>1769</v>
      </c>
      <c r="E1472" s="24" t="s">
        <v>426</v>
      </c>
      <c r="F1472" s="28" t="n">
        <f>121</f>
        <v>121.0</v>
      </c>
      <c r="G1472" s="25" t="n">
        <f>291740</f>
        <v>291740.0</v>
      </c>
      <c r="H1472" s="25"/>
      <c r="I1472" s="25" t="n">
        <f>289618</f>
        <v>289618.0</v>
      </c>
      <c r="J1472" s="25" t="n">
        <f>2411</f>
        <v>2411.0</v>
      </c>
      <c r="K1472" s="25" t="n">
        <f>2394</f>
        <v>2394.0</v>
      </c>
      <c r="L1472" s="2" t="s">
        <v>520</v>
      </c>
      <c r="M1472" s="26" t="n">
        <f>32800</f>
        <v>32800.0</v>
      </c>
      <c r="N1472" s="3" t="s">
        <v>1027</v>
      </c>
      <c r="O1472" s="27" t="str">
        <f>"－"</f>
        <v>－</v>
      </c>
      <c r="P1472" s="29" t="s">
        <v>2605</v>
      </c>
      <c r="Q1472" s="25"/>
      <c r="R1472" s="29" t="s">
        <v>2606</v>
      </c>
      <c r="S1472" s="25" t="n">
        <f>26474105</f>
        <v>2.6474105E7</v>
      </c>
      <c r="T1472" s="25" t="n">
        <f>26340486</f>
        <v>2.6340486E7</v>
      </c>
      <c r="U1472" s="3" t="s">
        <v>146</v>
      </c>
      <c r="V1472" s="27" t="n">
        <f>664760000</f>
        <v>6.6476E8</v>
      </c>
      <c r="W1472" s="3" t="s">
        <v>1027</v>
      </c>
      <c r="X1472" s="27" t="str">
        <f>"－"</f>
        <v>－</v>
      </c>
      <c r="Y1472" s="27" t="n">
        <f>31436</f>
        <v>31436.0</v>
      </c>
      <c r="Z1472" s="25" t="n">
        <f>30</f>
        <v>30.0</v>
      </c>
      <c r="AA1472" s="25" t="n">
        <f>64558</f>
        <v>64558.0</v>
      </c>
      <c r="AB1472" s="2" t="s">
        <v>328</v>
      </c>
      <c r="AC1472" s="26" t="n">
        <f>106685</f>
        <v>106685.0</v>
      </c>
      <c r="AD1472" s="3" t="s">
        <v>134</v>
      </c>
      <c r="AE1472" s="27" t="n">
        <f>39071</f>
        <v>39071.0</v>
      </c>
    </row>
    <row r="1473">
      <c r="A1473" s="20" t="s">
        <v>2507</v>
      </c>
      <c r="B1473" s="21" t="s">
        <v>2508</v>
      </c>
      <c r="C1473" s="22" t="s">
        <v>1760</v>
      </c>
      <c r="D1473" s="23" t="s">
        <v>1761</v>
      </c>
      <c r="E1473" s="24" t="s">
        <v>430</v>
      </c>
      <c r="F1473" s="28" t="n">
        <f>124</f>
        <v>124.0</v>
      </c>
      <c r="G1473" s="25" t="n">
        <f>67432</f>
        <v>67432.0</v>
      </c>
      <c r="H1473" s="25"/>
      <c r="I1473" s="25" t="n">
        <f>64848</f>
        <v>64848.0</v>
      </c>
      <c r="J1473" s="25" t="n">
        <f>544</f>
        <v>544.0</v>
      </c>
      <c r="K1473" s="25" t="n">
        <f>523</f>
        <v>523.0</v>
      </c>
      <c r="L1473" s="2" t="s">
        <v>285</v>
      </c>
      <c r="M1473" s="26" t="n">
        <f>13735</f>
        <v>13735.0</v>
      </c>
      <c r="N1473" s="3" t="s">
        <v>68</v>
      </c>
      <c r="O1473" s="27" t="str">
        <f>"－"</f>
        <v>－</v>
      </c>
      <c r="P1473" s="29" t="s">
        <v>2607</v>
      </c>
      <c r="Q1473" s="25"/>
      <c r="R1473" s="29" t="s">
        <v>2608</v>
      </c>
      <c r="S1473" s="25" t="n">
        <f>6929051</f>
        <v>6929051.0</v>
      </c>
      <c r="T1473" s="25" t="n">
        <f>6687523</f>
        <v>6687523.0</v>
      </c>
      <c r="U1473" s="3" t="s">
        <v>321</v>
      </c>
      <c r="V1473" s="27" t="n">
        <f>411571000</f>
        <v>4.11571E8</v>
      </c>
      <c r="W1473" s="3" t="s">
        <v>68</v>
      </c>
      <c r="X1473" s="27" t="str">
        <f>"－"</f>
        <v>－</v>
      </c>
      <c r="Y1473" s="27" t="n">
        <f>1815</f>
        <v>1815.0</v>
      </c>
      <c r="Z1473" s="25" t="n">
        <f>17752</f>
        <v>17752.0</v>
      </c>
      <c r="AA1473" s="25" t="n">
        <f>5396</f>
        <v>5396.0</v>
      </c>
      <c r="AB1473" s="2" t="s">
        <v>68</v>
      </c>
      <c r="AC1473" s="26" t="n">
        <f>31597</f>
        <v>31597.0</v>
      </c>
      <c r="AD1473" s="3" t="s">
        <v>81</v>
      </c>
      <c r="AE1473" s="27" t="n">
        <f>133</f>
        <v>133.0</v>
      </c>
    </row>
    <row r="1474">
      <c r="A1474" s="20" t="s">
        <v>2507</v>
      </c>
      <c r="B1474" s="21" t="s">
        <v>2508</v>
      </c>
      <c r="C1474" s="22" t="s">
        <v>1764</v>
      </c>
      <c r="D1474" s="23" t="s">
        <v>1765</v>
      </c>
      <c r="E1474" s="24" t="s">
        <v>430</v>
      </c>
      <c r="F1474" s="28" t="n">
        <f>124</f>
        <v>124.0</v>
      </c>
      <c r="G1474" s="25" t="n">
        <f>475769</f>
        <v>475769.0</v>
      </c>
      <c r="H1474" s="25"/>
      <c r="I1474" s="25" t="n">
        <f>471500</f>
        <v>471500.0</v>
      </c>
      <c r="J1474" s="25" t="n">
        <f>3837</f>
        <v>3837.0</v>
      </c>
      <c r="K1474" s="25" t="n">
        <f>3802</f>
        <v>3802.0</v>
      </c>
      <c r="L1474" s="2" t="s">
        <v>1011</v>
      </c>
      <c r="M1474" s="26" t="n">
        <f>143779</f>
        <v>143779.0</v>
      </c>
      <c r="N1474" s="3" t="s">
        <v>68</v>
      </c>
      <c r="O1474" s="27" t="str">
        <f>"－"</f>
        <v>－</v>
      </c>
      <c r="P1474" s="29" t="s">
        <v>2609</v>
      </c>
      <c r="Q1474" s="25"/>
      <c r="R1474" s="29" t="s">
        <v>2610</v>
      </c>
      <c r="S1474" s="25" t="n">
        <f>12039533</f>
        <v>1.2039533E7</v>
      </c>
      <c r="T1474" s="25" t="n">
        <f>11760490</f>
        <v>1.176049E7</v>
      </c>
      <c r="U1474" s="3" t="s">
        <v>1011</v>
      </c>
      <c r="V1474" s="27" t="n">
        <f>263861483</f>
        <v>2.63861483E8</v>
      </c>
      <c r="W1474" s="3" t="s">
        <v>68</v>
      </c>
      <c r="X1474" s="27" t="str">
        <f>"－"</f>
        <v>－</v>
      </c>
      <c r="Y1474" s="27" t="n">
        <f>39190</f>
        <v>39190.0</v>
      </c>
      <c r="Z1474" s="25" t="n">
        <f>237678</f>
        <v>237678.0</v>
      </c>
      <c r="AA1474" s="25" t="n">
        <f>293820</f>
        <v>293820.0</v>
      </c>
      <c r="AB1474" s="2" t="s">
        <v>128</v>
      </c>
      <c r="AC1474" s="26" t="n">
        <f>327783</f>
        <v>327783.0</v>
      </c>
      <c r="AD1474" s="3" t="s">
        <v>879</v>
      </c>
      <c r="AE1474" s="27" t="n">
        <f>3317</f>
        <v>3317.0</v>
      </c>
    </row>
    <row r="1475">
      <c r="A1475" s="20" t="s">
        <v>2507</v>
      </c>
      <c r="B1475" s="21" t="s">
        <v>2508</v>
      </c>
      <c r="C1475" s="22" t="s">
        <v>1768</v>
      </c>
      <c r="D1475" s="23" t="s">
        <v>1769</v>
      </c>
      <c r="E1475" s="24" t="s">
        <v>430</v>
      </c>
      <c r="F1475" s="28" t="n">
        <f>124</f>
        <v>124.0</v>
      </c>
      <c r="G1475" s="25" t="n">
        <f>543201</f>
        <v>543201.0</v>
      </c>
      <c r="H1475" s="25"/>
      <c r="I1475" s="25" t="n">
        <f>536348</f>
        <v>536348.0</v>
      </c>
      <c r="J1475" s="25" t="n">
        <f>4381</f>
        <v>4381.0</v>
      </c>
      <c r="K1475" s="25" t="n">
        <f>4325</f>
        <v>4325.0</v>
      </c>
      <c r="L1475" s="2" t="s">
        <v>1011</v>
      </c>
      <c r="M1475" s="26" t="n">
        <f>147021</f>
        <v>147021.0</v>
      </c>
      <c r="N1475" s="3" t="s">
        <v>68</v>
      </c>
      <c r="O1475" s="27" t="str">
        <f>"－"</f>
        <v>－</v>
      </c>
      <c r="P1475" s="29" t="s">
        <v>2611</v>
      </c>
      <c r="Q1475" s="25"/>
      <c r="R1475" s="29" t="s">
        <v>2612</v>
      </c>
      <c r="S1475" s="25" t="n">
        <f>18968585</f>
        <v>1.8968585E7</v>
      </c>
      <c r="T1475" s="25" t="n">
        <f>18448013</f>
        <v>1.8448013E7</v>
      </c>
      <c r="U1475" s="3" t="s">
        <v>321</v>
      </c>
      <c r="V1475" s="27" t="n">
        <f>419741000</f>
        <v>4.19741E8</v>
      </c>
      <c r="W1475" s="3" t="s">
        <v>68</v>
      </c>
      <c r="X1475" s="27" t="str">
        <f>"－"</f>
        <v>－</v>
      </c>
      <c r="Y1475" s="27" t="n">
        <f>41005</f>
        <v>41005.0</v>
      </c>
      <c r="Z1475" s="25" t="n">
        <f>255430</f>
        <v>255430.0</v>
      </c>
      <c r="AA1475" s="25" t="n">
        <f>299216</f>
        <v>299216.0</v>
      </c>
      <c r="AB1475" s="2" t="s">
        <v>128</v>
      </c>
      <c r="AC1475" s="26" t="n">
        <f>356644</f>
        <v>356644.0</v>
      </c>
      <c r="AD1475" s="3" t="s">
        <v>879</v>
      </c>
      <c r="AE1475" s="27" t="n">
        <f>15917</f>
        <v>15917.0</v>
      </c>
    </row>
    <row r="1476">
      <c r="A1476" s="20" t="s">
        <v>2507</v>
      </c>
      <c r="B1476" s="21" t="s">
        <v>2508</v>
      </c>
      <c r="C1476" s="22" t="s">
        <v>1760</v>
      </c>
      <c r="D1476" s="23" t="s">
        <v>1761</v>
      </c>
      <c r="E1476" s="24" t="s">
        <v>433</v>
      </c>
      <c r="F1476" s="28" t="n">
        <f>121</f>
        <v>121.0</v>
      </c>
      <c r="G1476" s="25" t="n">
        <f>44286</f>
        <v>44286.0</v>
      </c>
      <c r="H1476" s="25"/>
      <c r="I1476" s="25" t="n">
        <f>29314</f>
        <v>29314.0</v>
      </c>
      <c r="J1476" s="25" t="n">
        <f>366</f>
        <v>366.0</v>
      </c>
      <c r="K1476" s="25" t="n">
        <f>242</f>
        <v>242.0</v>
      </c>
      <c r="L1476" s="2" t="s">
        <v>698</v>
      </c>
      <c r="M1476" s="26" t="n">
        <f>3511</f>
        <v>3511.0</v>
      </c>
      <c r="N1476" s="3" t="s">
        <v>147</v>
      </c>
      <c r="O1476" s="27" t="str">
        <f>"－"</f>
        <v>－</v>
      </c>
      <c r="P1476" s="29" t="s">
        <v>2613</v>
      </c>
      <c r="Q1476" s="25"/>
      <c r="R1476" s="29" t="s">
        <v>2614</v>
      </c>
      <c r="S1476" s="25" t="n">
        <f>2878603</f>
        <v>2878603.0</v>
      </c>
      <c r="T1476" s="25" t="n">
        <f>2008095</f>
        <v>2008095.0</v>
      </c>
      <c r="U1476" s="3" t="s">
        <v>743</v>
      </c>
      <c r="V1476" s="27" t="n">
        <f>36968900</f>
        <v>3.69689E7</v>
      </c>
      <c r="W1476" s="3" t="s">
        <v>147</v>
      </c>
      <c r="X1476" s="27" t="str">
        <f>"－"</f>
        <v>－</v>
      </c>
      <c r="Y1476" s="27" t="n">
        <f>5531</f>
        <v>5531.0</v>
      </c>
      <c r="Z1476" s="25" t="n">
        <f>7022</f>
        <v>7022.0</v>
      </c>
      <c r="AA1476" s="25" t="n">
        <f>7506</f>
        <v>7506.0</v>
      </c>
      <c r="AB1476" s="2" t="s">
        <v>411</v>
      </c>
      <c r="AC1476" s="26" t="n">
        <f>11993</f>
        <v>11993.0</v>
      </c>
      <c r="AD1476" s="3" t="s">
        <v>56</v>
      </c>
      <c r="AE1476" s="27" t="n">
        <f>857</f>
        <v>857.0</v>
      </c>
    </row>
    <row r="1477">
      <c r="A1477" s="20" t="s">
        <v>2507</v>
      </c>
      <c r="B1477" s="21" t="s">
        <v>2508</v>
      </c>
      <c r="C1477" s="22" t="s">
        <v>1764</v>
      </c>
      <c r="D1477" s="23" t="s">
        <v>1765</v>
      </c>
      <c r="E1477" s="24" t="s">
        <v>433</v>
      </c>
      <c r="F1477" s="28" t="n">
        <f>121</f>
        <v>121.0</v>
      </c>
      <c r="G1477" s="25" t="n">
        <f>369950</f>
        <v>369950.0</v>
      </c>
      <c r="H1477" s="25"/>
      <c r="I1477" s="25" t="n">
        <f>342878</f>
        <v>342878.0</v>
      </c>
      <c r="J1477" s="25" t="n">
        <f>3057</f>
        <v>3057.0</v>
      </c>
      <c r="K1477" s="25" t="n">
        <f>2834</f>
        <v>2834.0</v>
      </c>
      <c r="L1477" s="2" t="s">
        <v>188</v>
      </c>
      <c r="M1477" s="26" t="n">
        <f>116762</f>
        <v>116762.0</v>
      </c>
      <c r="N1477" s="3" t="s">
        <v>375</v>
      </c>
      <c r="O1477" s="27" t="str">
        <f>"－"</f>
        <v>－</v>
      </c>
      <c r="P1477" s="29" t="s">
        <v>2615</v>
      </c>
      <c r="Q1477" s="25"/>
      <c r="R1477" s="29" t="s">
        <v>2616</v>
      </c>
      <c r="S1477" s="25" t="n">
        <f>14543927</f>
        <v>1.4543927E7</v>
      </c>
      <c r="T1477" s="25" t="n">
        <f>13304306</f>
        <v>1.3304306E7</v>
      </c>
      <c r="U1477" s="3" t="s">
        <v>188</v>
      </c>
      <c r="V1477" s="27" t="n">
        <f>328185000</f>
        <v>3.28185E8</v>
      </c>
      <c r="W1477" s="3" t="s">
        <v>375</v>
      </c>
      <c r="X1477" s="27" t="str">
        <f>"－"</f>
        <v>－</v>
      </c>
      <c r="Y1477" s="27" t="n">
        <f>182510</f>
        <v>182510.0</v>
      </c>
      <c r="Z1477" s="25" t="n">
        <f>255048</f>
        <v>255048.0</v>
      </c>
      <c r="AA1477" s="25" t="n">
        <f>15309</f>
        <v>15309.0</v>
      </c>
      <c r="AB1477" s="2" t="s">
        <v>74</v>
      </c>
      <c r="AC1477" s="26" t="n">
        <f>355978</f>
        <v>355978.0</v>
      </c>
      <c r="AD1477" s="3" t="s">
        <v>88</v>
      </c>
      <c r="AE1477" s="27" t="n">
        <f>6014</f>
        <v>6014.0</v>
      </c>
    </row>
    <row r="1478">
      <c r="A1478" s="20" t="s">
        <v>2507</v>
      </c>
      <c r="B1478" s="21" t="s">
        <v>2508</v>
      </c>
      <c r="C1478" s="22" t="s">
        <v>1768</v>
      </c>
      <c r="D1478" s="23" t="s">
        <v>1769</v>
      </c>
      <c r="E1478" s="24" t="s">
        <v>433</v>
      </c>
      <c r="F1478" s="28" t="n">
        <f>121</f>
        <v>121.0</v>
      </c>
      <c r="G1478" s="25" t="n">
        <f>414236</f>
        <v>414236.0</v>
      </c>
      <c r="H1478" s="25"/>
      <c r="I1478" s="25" t="n">
        <f>372192</f>
        <v>372192.0</v>
      </c>
      <c r="J1478" s="25" t="n">
        <f>3423</f>
        <v>3423.0</v>
      </c>
      <c r="K1478" s="25" t="n">
        <f>3076</f>
        <v>3076.0</v>
      </c>
      <c r="L1478" s="2" t="s">
        <v>188</v>
      </c>
      <c r="M1478" s="26" t="n">
        <f>116862</f>
        <v>116862.0</v>
      </c>
      <c r="N1478" s="3" t="s">
        <v>375</v>
      </c>
      <c r="O1478" s="27" t="str">
        <f>"－"</f>
        <v>－</v>
      </c>
      <c r="P1478" s="29" t="s">
        <v>2617</v>
      </c>
      <c r="Q1478" s="25"/>
      <c r="R1478" s="29" t="s">
        <v>2618</v>
      </c>
      <c r="S1478" s="25" t="n">
        <f>17422531</f>
        <v>1.7422531E7</v>
      </c>
      <c r="T1478" s="25" t="n">
        <f>15312401</f>
        <v>1.5312401E7</v>
      </c>
      <c r="U1478" s="3" t="s">
        <v>1401</v>
      </c>
      <c r="V1478" s="27" t="n">
        <f>330723860</f>
        <v>3.3072386E8</v>
      </c>
      <c r="W1478" s="3" t="s">
        <v>375</v>
      </c>
      <c r="X1478" s="27" t="str">
        <f>"－"</f>
        <v>－</v>
      </c>
      <c r="Y1478" s="27" t="n">
        <f>188041</f>
        <v>188041.0</v>
      </c>
      <c r="Z1478" s="25" t="n">
        <f>262070</f>
        <v>262070.0</v>
      </c>
      <c r="AA1478" s="25" t="n">
        <f>22815</f>
        <v>22815.0</v>
      </c>
      <c r="AB1478" s="2" t="s">
        <v>74</v>
      </c>
      <c r="AC1478" s="26" t="n">
        <f>367349</f>
        <v>367349.0</v>
      </c>
      <c r="AD1478" s="3" t="s">
        <v>88</v>
      </c>
      <c r="AE1478" s="27" t="n">
        <f>9546</f>
        <v>9546.0</v>
      </c>
    </row>
    <row r="1479">
      <c r="A1479" s="20" t="s">
        <v>2507</v>
      </c>
      <c r="B1479" s="21" t="s">
        <v>2508</v>
      </c>
      <c r="C1479" s="22" t="s">
        <v>1760</v>
      </c>
      <c r="D1479" s="23" t="s">
        <v>1761</v>
      </c>
      <c r="E1479" s="24" t="s">
        <v>437</v>
      </c>
      <c r="F1479" s="28" t="n">
        <f>124</f>
        <v>124.0</v>
      </c>
      <c r="G1479" s="25" t="n">
        <f>67806</f>
        <v>67806.0</v>
      </c>
      <c r="H1479" s="25"/>
      <c r="I1479" s="25" t="n">
        <f>28258</f>
        <v>28258.0</v>
      </c>
      <c r="J1479" s="25" t="n">
        <f>547</f>
        <v>547.0</v>
      </c>
      <c r="K1479" s="25" t="n">
        <f>228</f>
        <v>228.0</v>
      </c>
      <c r="L1479" s="2" t="s">
        <v>720</v>
      </c>
      <c r="M1479" s="26" t="n">
        <f>3200</f>
        <v>3200.0</v>
      </c>
      <c r="N1479" s="3" t="s">
        <v>947</v>
      </c>
      <c r="O1479" s="27" t="str">
        <f>"－"</f>
        <v>－</v>
      </c>
      <c r="P1479" s="29" t="s">
        <v>2619</v>
      </c>
      <c r="Q1479" s="25"/>
      <c r="R1479" s="29" t="s">
        <v>2620</v>
      </c>
      <c r="S1479" s="25" t="n">
        <f>5675053</f>
        <v>5675053.0</v>
      </c>
      <c r="T1479" s="25" t="n">
        <f>3700653</f>
        <v>3700653.0</v>
      </c>
      <c r="U1479" s="3" t="s">
        <v>1015</v>
      </c>
      <c r="V1479" s="27" t="n">
        <f>63351400</f>
        <v>6.33514E7</v>
      </c>
      <c r="W1479" s="3" t="s">
        <v>947</v>
      </c>
      <c r="X1479" s="27" t="str">
        <f>"－"</f>
        <v>－</v>
      </c>
      <c r="Y1479" s="27" t="n">
        <f>19245</f>
        <v>19245.0</v>
      </c>
      <c r="Z1479" s="25" t="n">
        <f>2334</f>
        <v>2334.0</v>
      </c>
      <c r="AA1479" s="25" t="n">
        <f>10236</f>
        <v>10236.0</v>
      </c>
      <c r="AB1479" s="2" t="s">
        <v>872</v>
      </c>
      <c r="AC1479" s="26" t="n">
        <f>16598</f>
        <v>16598.0</v>
      </c>
      <c r="AD1479" s="3" t="s">
        <v>972</v>
      </c>
      <c r="AE1479" s="27" t="n">
        <f>4602</f>
        <v>4602.0</v>
      </c>
    </row>
    <row r="1480">
      <c r="A1480" s="20" t="s">
        <v>2507</v>
      </c>
      <c r="B1480" s="21" t="s">
        <v>2508</v>
      </c>
      <c r="C1480" s="22" t="s">
        <v>1764</v>
      </c>
      <c r="D1480" s="23" t="s">
        <v>1765</v>
      </c>
      <c r="E1480" s="24" t="s">
        <v>437</v>
      </c>
      <c r="F1480" s="28" t="n">
        <f>124</f>
        <v>124.0</v>
      </c>
      <c r="G1480" s="25" t="n">
        <f>119114</f>
        <v>119114.0</v>
      </c>
      <c r="H1480" s="25"/>
      <c r="I1480" s="25" t="n">
        <f>74478</f>
        <v>74478.0</v>
      </c>
      <c r="J1480" s="25" t="n">
        <f>961</f>
        <v>961.0</v>
      </c>
      <c r="K1480" s="25" t="n">
        <f>601</f>
        <v>601.0</v>
      </c>
      <c r="L1480" s="2" t="s">
        <v>141</v>
      </c>
      <c r="M1480" s="26" t="n">
        <f>10540</f>
        <v>10540.0</v>
      </c>
      <c r="N1480" s="3" t="s">
        <v>542</v>
      </c>
      <c r="O1480" s="27" t="str">
        <f>"－"</f>
        <v>－</v>
      </c>
      <c r="P1480" s="29" t="s">
        <v>2621</v>
      </c>
      <c r="Q1480" s="25"/>
      <c r="R1480" s="29" t="s">
        <v>2622</v>
      </c>
      <c r="S1480" s="25" t="n">
        <f>8074913</f>
        <v>8074913.0</v>
      </c>
      <c r="T1480" s="25" t="n">
        <f>6176819</f>
        <v>6176819.0</v>
      </c>
      <c r="U1480" s="3" t="s">
        <v>141</v>
      </c>
      <c r="V1480" s="27" t="n">
        <f>69935750</f>
        <v>6.993575E7</v>
      </c>
      <c r="W1480" s="3" t="s">
        <v>542</v>
      </c>
      <c r="X1480" s="27" t="str">
        <f>"－"</f>
        <v>－</v>
      </c>
      <c r="Y1480" s="27" t="n">
        <f>18234</f>
        <v>18234.0</v>
      </c>
      <c r="Z1480" s="25" t="n">
        <f>5855</f>
        <v>5855.0</v>
      </c>
      <c r="AA1480" s="25" t="n">
        <f>20329</f>
        <v>20329.0</v>
      </c>
      <c r="AB1480" s="2" t="s">
        <v>137</v>
      </c>
      <c r="AC1480" s="26" t="n">
        <f>51877</f>
        <v>51877.0</v>
      </c>
      <c r="AD1480" s="3" t="s">
        <v>972</v>
      </c>
      <c r="AE1480" s="27" t="n">
        <f>9455</f>
        <v>9455.0</v>
      </c>
    </row>
    <row r="1481">
      <c r="A1481" s="20" t="s">
        <v>2507</v>
      </c>
      <c r="B1481" s="21" t="s">
        <v>2508</v>
      </c>
      <c r="C1481" s="22" t="s">
        <v>1768</v>
      </c>
      <c r="D1481" s="23" t="s">
        <v>1769</v>
      </c>
      <c r="E1481" s="24" t="s">
        <v>437</v>
      </c>
      <c r="F1481" s="28" t="n">
        <f>124</f>
        <v>124.0</v>
      </c>
      <c r="G1481" s="25" t="n">
        <f>186920</f>
        <v>186920.0</v>
      </c>
      <c r="H1481" s="25"/>
      <c r="I1481" s="25" t="n">
        <f>102736</f>
        <v>102736.0</v>
      </c>
      <c r="J1481" s="25" t="n">
        <f>1507</f>
        <v>1507.0</v>
      </c>
      <c r="K1481" s="25" t="n">
        <f>829</f>
        <v>829.0</v>
      </c>
      <c r="L1481" s="2" t="s">
        <v>141</v>
      </c>
      <c r="M1481" s="26" t="n">
        <f>10575</f>
        <v>10575.0</v>
      </c>
      <c r="N1481" s="3" t="s">
        <v>64</v>
      </c>
      <c r="O1481" s="27" t="n">
        <f>8</f>
        <v>8.0</v>
      </c>
      <c r="P1481" s="29" t="s">
        <v>2623</v>
      </c>
      <c r="Q1481" s="25"/>
      <c r="R1481" s="29" t="s">
        <v>2624</v>
      </c>
      <c r="S1481" s="25" t="n">
        <f>13749966</f>
        <v>1.3749966E7</v>
      </c>
      <c r="T1481" s="25" t="n">
        <f>9877471</f>
        <v>9877471.0</v>
      </c>
      <c r="U1481" s="3" t="s">
        <v>750</v>
      </c>
      <c r="V1481" s="27" t="n">
        <f>95384373</f>
        <v>9.5384373E7</v>
      </c>
      <c r="W1481" s="3" t="s">
        <v>64</v>
      </c>
      <c r="X1481" s="27" t="n">
        <f>8795</f>
        <v>8795.0</v>
      </c>
      <c r="Y1481" s="27" t="n">
        <f>37479</f>
        <v>37479.0</v>
      </c>
      <c r="Z1481" s="25" t="n">
        <f>8189</f>
        <v>8189.0</v>
      </c>
      <c r="AA1481" s="25" t="n">
        <f>30565</f>
        <v>30565.0</v>
      </c>
      <c r="AB1481" s="2" t="s">
        <v>181</v>
      </c>
      <c r="AC1481" s="26" t="n">
        <f>64507</f>
        <v>64507.0</v>
      </c>
      <c r="AD1481" s="3" t="s">
        <v>972</v>
      </c>
      <c r="AE1481" s="27" t="n">
        <f>14057</f>
        <v>14057.0</v>
      </c>
    </row>
    <row r="1482">
      <c r="A1482" s="20" t="s">
        <v>2507</v>
      </c>
      <c r="B1482" s="21" t="s">
        <v>2508</v>
      </c>
      <c r="C1482" s="22" t="s">
        <v>1760</v>
      </c>
      <c r="D1482" s="23" t="s">
        <v>1761</v>
      </c>
      <c r="E1482" s="24" t="s">
        <v>440</v>
      </c>
      <c r="F1482" s="28" t="n">
        <f>123</f>
        <v>123.0</v>
      </c>
      <c r="G1482" s="25" t="n">
        <f>66940</f>
        <v>66940.0</v>
      </c>
      <c r="H1482" s="25"/>
      <c r="I1482" s="25" t="n">
        <f>21077</f>
        <v>21077.0</v>
      </c>
      <c r="J1482" s="25" t="n">
        <f>544</f>
        <v>544.0</v>
      </c>
      <c r="K1482" s="25" t="n">
        <f>171</f>
        <v>171.0</v>
      </c>
      <c r="L1482" s="2" t="s">
        <v>1363</v>
      </c>
      <c r="M1482" s="26" t="n">
        <f>6305</f>
        <v>6305.0</v>
      </c>
      <c r="N1482" s="3" t="s">
        <v>1027</v>
      </c>
      <c r="O1482" s="27" t="str">
        <f>"－"</f>
        <v>－</v>
      </c>
      <c r="P1482" s="29" t="s">
        <v>2625</v>
      </c>
      <c r="Q1482" s="25"/>
      <c r="R1482" s="29" t="s">
        <v>2626</v>
      </c>
      <c r="S1482" s="25" t="n">
        <f>2922002</f>
        <v>2922002.0</v>
      </c>
      <c r="T1482" s="25" t="n">
        <f>777427</f>
        <v>777427.0</v>
      </c>
      <c r="U1482" s="3" t="s">
        <v>1363</v>
      </c>
      <c r="V1482" s="27" t="n">
        <f>54835481</f>
        <v>5.4835481E7</v>
      </c>
      <c r="W1482" s="3" t="s">
        <v>1027</v>
      </c>
      <c r="X1482" s="27" t="str">
        <f>"－"</f>
        <v>－</v>
      </c>
      <c r="Y1482" s="27" t="n">
        <f>8503</f>
        <v>8503.0</v>
      </c>
      <c r="Z1482" s="25" t="n">
        <f>102</f>
        <v>102.0</v>
      </c>
      <c r="AA1482" s="25" t="n">
        <f>31909</f>
        <v>31909.0</v>
      </c>
      <c r="AB1482" s="2" t="s">
        <v>131</v>
      </c>
      <c r="AC1482" s="26" t="n">
        <f>31954</f>
        <v>31954.0</v>
      </c>
      <c r="AD1482" s="3" t="s">
        <v>70</v>
      </c>
      <c r="AE1482" s="27" t="n">
        <f>5108</f>
        <v>5108.0</v>
      </c>
    </row>
    <row r="1483">
      <c r="A1483" s="20" t="s">
        <v>2507</v>
      </c>
      <c r="B1483" s="21" t="s">
        <v>2508</v>
      </c>
      <c r="C1483" s="22" t="s">
        <v>1764</v>
      </c>
      <c r="D1483" s="23" t="s">
        <v>1765</v>
      </c>
      <c r="E1483" s="24" t="s">
        <v>440</v>
      </c>
      <c r="F1483" s="28" t="n">
        <f>123</f>
        <v>123.0</v>
      </c>
      <c r="G1483" s="25" t="n">
        <f>153453</f>
        <v>153453.0</v>
      </c>
      <c r="H1483" s="25"/>
      <c r="I1483" s="25" t="n">
        <f>104988</f>
        <v>104988.0</v>
      </c>
      <c r="J1483" s="25" t="n">
        <f>1248</f>
        <v>1248.0</v>
      </c>
      <c r="K1483" s="25" t="n">
        <f>854</f>
        <v>854.0</v>
      </c>
      <c r="L1483" s="2" t="s">
        <v>85</v>
      </c>
      <c r="M1483" s="26" t="n">
        <f>11420</f>
        <v>11420.0</v>
      </c>
      <c r="N1483" s="3" t="s">
        <v>243</v>
      </c>
      <c r="O1483" s="27" t="str">
        <f>"－"</f>
        <v>－</v>
      </c>
      <c r="P1483" s="29" t="s">
        <v>2627</v>
      </c>
      <c r="Q1483" s="25"/>
      <c r="R1483" s="29" t="s">
        <v>2628</v>
      </c>
      <c r="S1483" s="25" t="n">
        <f>7151316</f>
        <v>7151316.0</v>
      </c>
      <c r="T1483" s="25" t="n">
        <f>4502449</f>
        <v>4502449.0</v>
      </c>
      <c r="U1483" s="3" t="s">
        <v>85</v>
      </c>
      <c r="V1483" s="27" t="n">
        <f>63358450</f>
        <v>6.335845E7</v>
      </c>
      <c r="W1483" s="3" t="s">
        <v>243</v>
      </c>
      <c r="X1483" s="27" t="str">
        <f>"－"</f>
        <v>－</v>
      </c>
      <c r="Y1483" s="27" t="n">
        <f>26481</f>
        <v>26481.0</v>
      </c>
      <c r="Z1483" s="25" t="n">
        <f>9409</f>
        <v>9409.0</v>
      </c>
      <c r="AA1483" s="25" t="n">
        <f>52144</f>
        <v>52144.0</v>
      </c>
      <c r="AB1483" s="2" t="s">
        <v>411</v>
      </c>
      <c r="AC1483" s="26" t="n">
        <f>57449</f>
        <v>57449.0</v>
      </c>
      <c r="AD1483" s="3" t="s">
        <v>70</v>
      </c>
      <c r="AE1483" s="27" t="n">
        <f>15614</f>
        <v>15614.0</v>
      </c>
    </row>
    <row r="1484">
      <c r="A1484" s="20" t="s">
        <v>2507</v>
      </c>
      <c r="B1484" s="21" t="s">
        <v>2508</v>
      </c>
      <c r="C1484" s="22" t="s">
        <v>1768</v>
      </c>
      <c r="D1484" s="23" t="s">
        <v>1769</v>
      </c>
      <c r="E1484" s="24" t="s">
        <v>440</v>
      </c>
      <c r="F1484" s="28" t="n">
        <f>123</f>
        <v>123.0</v>
      </c>
      <c r="G1484" s="25" t="n">
        <f>220393</f>
        <v>220393.0</v>
      </c>
      <c r="H1484" s="25"/>
      <c r="I1484" s="25" t="n">
        <f>126065</f>
        <v>126065.0</v>
      </c>
      <c r="J1484" s="25" t="n">
        <f>1792</f>
        <v>1792.0</v>
      </c>
      <c r="K1484" s="25" t="n">
        <f>1025</f>
        <v>1025.0</v>
      </c>
      <c r="L1484" s="2" t="s">
        <v>85</v>
      </c>
      <c r="M1484" s="26" t="n">
        <f>11518</f>
        <v>11518.0</v>
      </c>
      <c r="N1484" s="3" t="s">
        <v>243</v>
      </c>
      <c r="O1484" s="27" t="n">
        <f>20</f>
        <v>20.0</v>
      </c>
      <c r="P1484" s="29" t="s">
        <v>2629</v>
      </c>
      <c r="Q1484" s="25"/>
      <c r="R1484" s="29" t="s">
        <v>2630</v>
      </c>
      <c r="S1484" s="25" t="n">
        <f>10073318</f>
        <v>1.0073318E7</v>
      </c>
      <c r="T1484" s="25" t="n">
        <f>5279876</f>
        <v>5279876.0</v>
      </c>
      <c r="U1484" s="3" t="s">
        <v>1363</v>
      </c>
      <c r="V1484" s="27" t="n">
        <f>76325870</f>
        <v>7.632587E7</v>
      </c>
      <c r="W1484" s="3" t="s">
        <v>513</v>
      </c>
      <c r="X1484" s="27" t="n">
        <f>50100</f>
        <v>50100.0</v>
      </c>
      <c r="Y1484" s="27" t="n">
        <f>34984</f>
        <v>34984.0</v>
      </c>
      <c r="Z1484" s="25" t="n">
        <f>9511</f>
        <v>9511.0</v>
      </c>
      <c r="AA1484" s="25" t="n">
        <f>84053</f>
        <v>84053.0</v>
      </c>
      <c r="AB1484" s="2" t="s">
        <v>739</v>
      </c>
      <c r="AC1484" s="26" t="n">
        <f>84053</f>
        <v>84053.0</v>
      </c>
      <c r="AD1484" s="3" t="s">
        <v>70</v>
      </c>
      <c r="AE1484" s="27" t="n">
        <f>20722</f>
        <v>20722.0</v>
      </c>
    </row>
    <row r="1485">
      <c r="A1485" s="20" t="s">
        <v>2507</v>
      </c>
      <c r="B1485" s="21" t="s">
        <v>2508</v>
      </c>
      <c r="C1485" s="22" t="s">
        <v>1760</v>
      </c>
      <c r="D1485" s="23" t="s">
        <v>1761</v>
      </c>
      <c r="E1485" s="24" t="s">
        <v>443</v>
      </c>
      <c r="F1485" s="28" t="n">
        <f>125</f>
        <v>125.0</v>
      </c>
      <c r="G1485" s="25" t="n">
        <f>84732</f>
        <v>84732.0</v>
      </c>
      <c r="H1485" s="25"/>
      <c r="I1485" s="25" t="n">
        <f>18338</f>
        <v>18338.0</v>
      </c>
      <c r="J1485" s="25" t="n">
        <f>678</f>
        <v>678.0</v>
      </c>
      <c r="K1485" s="25" t="n">
        <f>147</f>
        <v>147.0</v>
      </c>
      <c r="L1485" s="2" t="s">
        <v>117</v>
      </c>
      <c r="M1485" s="26" t="n">
        <f>9519</f>
        <v>9519.0</v>
      </c>
      <c r="N1485" s="3" t="s">
        <v>80</v>
      </c>
      <c r="O1485" s="27" t="str">
        <f>"－"</f>
        <v>－</v>
      </c>
      <c r="P1485" s="29" t="s">
        <v>2631</v>
      </c>
      <c r="Q1485" s="25"/>
      <c r="R1485" s="29" t="s">
        <v>2632</v>
      </c>
      <c r="S1485" s="25" t="n">
        <f>4328591</f>
        <v>4328591.0</v>
      </c>
      <c r="T1485" s="25" t="n">
        <f>521579</f>
        <v>521579.0</v>
      </c>
      <c r="U1485" s="3" t="s">
        <v>114</v>
      </c>
      <c r="V1485" s="27" t="n">
        <f>45535000</f>
        <v>4.5535E7</v>
      </c>
      <c r="W1485" s="3" t="s">
        <v>80</v>
      </c>
      <c r="X1485" s="27" t="str">
        <f>"－"</f>
        <v>－</v>
      </c>
      <c r="Y1485" s="27" t="n">
        <f>26272</f>
        <v>26272.0</v>
      </c>
      <c r="Z1485" s="25" t="n">
        <f>1500</f>
        <v>1500.0</v>
      </c>
      <c r="AA1485" s="25" t="n">
        <f>25424</f>
        <v>25424.0</v>
      </c>
      <c r="AB1485" s="2" t="s">
        <v>1445</v>
      </c>
      <c r="AC1485" s="26" t="n">
        <f>37564</f>
        <v>37564.0</v>
      </c>
      <c r="AD1485" s="3" t="s">
        <v>82</v>
      </c>
      <c r="AE1485" s="27" t="n">
        <f>13668</f>
        <v>13668.0</v>
      </c>
    </row>
    <row r="1486">
      <c r="A1486" s="20" t="s">
        <v>2507</v>
      </c>
      <c r="B1486" s="21" t="s">
        <v>2508</v>
      </c>
      <c r="C1486" s="22" t="s">
        <v>1764</v>
      </c>
      <c r="D1486" s="23" t="s">
        <v>1765</v>
      </c>
      <c r="E1486" s="24" t="s">
        <v>443</v>
      </c>
      <c r="F1486" s="28" t="n">
        <f>125</f>
        <v>125.0</v>
      </c>
      <c r="G1486" s="25" t="n">
        <f>128477</f>
        <v>128477.0</v>
      </c>
      <c r="H1486" s="25"/>
      <c r="I1486" s="25" t="n">
        <f>62569</f>
        <v>62569.0</v>
      </c>
      <c r="J1486" s="25" t="n">
        <f>1028</f>
        <v>1028.0</v>
      </c>
      <c r="K1486" s="25" t="n">
        <f>501</f>
        <v>501.0</v>
      </c>
      <c r="L1486" s="2" t="s">
        <v>93</v>
      </c>
      <c r="M1486" s="26" t="n">
        <f>10641</f>
        <v>10641.0</v>
      </c>
      <c r="N1486" s="3" t="s">
        <v>197</v>
      </c>
      <c r="O1486" s="27" t="str">
        <f>"－"</f>
        <v>－</v>
      </c>
      <c r="P1486" s="29" t="s">
        <v>2633</v>
      </c>
      <c r="Q1486" s="25"/>
      <c r="R1486" s="29" t="s">
        <v>2634</v>
      </c>
      <c r="S1486" s="25" t="n">
        <f>7706898</f>
        <v>7706898.0</v>
      </c>
      <c r="T1486" s="25" t="n">
        <f>3629226</f>
        <v>3629226.0</v>
      </c>
      <c r="U1486" s="3" t="s">
        <v>93</v>
      </c>
      <c r="V1486" s="27" t="n">
        <f>98602700</f>
        <v>9.86027E7</v>
      </c>
      <c r="W1486" s="3" t="s">
        <v>197</v>
      </c>
      <c r="X1486" s="27" t="str">
        <f>"－"</f>
        <v>－</v>
      </c>
      <c r="Y1486" s="27" t="n">
        <f>51238</f>
        <v>51238.0</v>
      </c>
      <c r="Z1486" s="25" t="n">
        <f>30380</f>
        <v>30380.0</v>
      </c>
      <c r="AA1486" s="25" t="n">
        <f>35538</f>
        <v>35538.0</v>
      </c>
      <c r="AB1486" s="2" t="s">
        <v>872</v>
      </c>
      <c r="AC1486" s="26" t="n">
        <f>63913</f>
        <v>63913.0</v>
      </c>
      <c r="AD1486" s="3" t="s">
        <v>82</v>
      </c>
      <c r="AE1486" s="27" t="n">
        <f>16961</f>
        <v>16961.0</v>
      </c>
    </row>
    <row r="1487">
      <c r="A1487" s="20" t="s">
        <v>2507</v>
      </c>
      <c r="B1487" s="21" t="s">
        <v>2508</v>
      </c>
      <c r="C1487" s="22" t="s">
        <v>1768</v>
      </c>
      <c r="D1487" s="23" t="s">
        <v>1769</v>
      </c>
      <c r="E1487" s="24" t="s">
        <v>443</v>
      </c>
      <c r="F1487" s="28" t="n">
        <f>125</f>
        <v>125.0</v>
      </c>
      <c r="G1487" s="25" t="n">
        <f>213209</f>
        <v>213209.0</v>
      </c>
      <c r="H1487" s="25"/>
      <c r="I1487" s="25" t="n">
        <f>80907</f>
        <v>80907.0</v>
      </c>
      <c r="J1487" s="25" t="n">
        <f>1706</f>
        <v>1706.0</v>
      </c>
      <c r="K1487" s="25" t="n">
        <f>647</f>
        <v>647.0</v>
      </c>
      <c r="L1487" s="2" t="s">
        <v>117</v>
      </c>
      <c r="M1487" s="26" t="n">
        <f>13333</f>
        <v>13333.0</v>
      </c>
      <c r="N1487" s="3" t="s">
        <v>318</v>
      </c>
      <c r="O1487" s="27" t="str">
        <f>"－"</f>
        <v>－</v>
      </c>
      <c r="P1487" s="29" t="s">
        <v>2635</v>
      </c>
      <c r="Q1487" s="25"/>
      <c r="R1487" s="29" t="s">
        <v>2636</v>
      </c>
      <c r="S1487" s="25" t="n">
        <f>12035489</f>
        <v>1.2035489E7</v>
      </c>
      <c r="T1487" s="25" t="n">
        <f>4150805</f>
        <v>4150805.0</v>
      </c>
      <c r="U1487" s="3" t="s">
        <v>114</v>
      </c>
      <c r="V1487" s="27" t="n">
        <f>99628300</f>
        <v>9.96283E7</v>
      </c>
      <c r="W1487" s="3" t="s">
        <v>318</v>
      </c>
      <c r="X1487" s="27" t="str">
        <f>"－"</f>
        <v>－</v>
      </c>
      <c r="Y1487" s="27" t="n">
        <f>77510</f>
        <v>77510.0</v>
      </c>
      <c r="Z1487" s="25" t="n">
        <f>31880</f>
        <v>31880.0</v>
      </c>
      <c r="AA1487" s="25" t="n">
        <f>60962</f>
        <v>60962.0</v>
      </c>
      <c r="AB1487" s="2" t="s">
        <v>1445</v>
      </c>
      <c r="AC1487" s="26" t="n">
        <f>97132</f>
        <v>97132.0</v>
      </c>
      <c r="AD1487" s="3" t="s">
        <v>82</v>
      </c>
      <c r="AE1487" s="27" t="n">
        <f>30629</f>
        <v>30629.0</v>
      </c>
    </row>
    <row r="1488">
      <c r="A1488" s="20" t="s">
        <v>2507</v>
      </c>
      <c r="B1488" s="21" t="s">
        <v>2508</v>
      </c>
      <c r="C1488" s="22" t="s">
        <v>1760</v>
      </c>
      <c r="D1488" s="23" t="s">
        <v>1761</v>
      </c>
      <c r="E1488" s="24" t="s">
        <v>447</v>
      </c>
      <c r="F1488" s="28" t="n">
        <f>120</f>
        <v>120.0</v>
      </c>
      <c r="G1488" s="25" t="n">
        <f>133111</f>
        <v>133111.0</v>
      </c>
      <c r="H1488" s="25"/>
      <c r="I1488" s="25" t="n">
        <f>41879</f>
        <v>41879.0</v>
      </c>
      <c r="J1488" s="25" t="n">
        <f>1109</f>
        <v>1109.0</v>
      </c>
      <c r="K1488" s="25" t="n">
        <f>349</f>
        <v>349.0</v>
      </c>
      <c r="L1488" s="2" t="s">
        <v>323</v>
      </c>
      <c r="M1488" s="26" t="n">
        <f>9510</f>
        <v>9510.0</v>
      </c>
      <c r="N1488" s="3" t="s">
        <v>156</v>
      </c>
      <c r="O1488" s="27" t="n">
        <f>1</f>
        <v>1.0</v>
      </c>
      <c r="P1488" s="29" t="s">
        <v>2637</v>
      </c>
      <c r="Q1488" s="25"/>
      <c r="R1488" s="29" t="s">
        <v>2638</v>
      </c>
      <c r="S1488" s="25" t="n">
        <f>10672638</f>
        <v>1.0672638E7</v>
      </c>
      <c r="T1488" s="25" t="n">
        <f>2699550</f>
        <v>2699550.0</v>
      </c>
      <c r="U1488" s="3" t="s">
        <v>1146</v>
      </c>
      <c r="V1488" s="27" t="n">
        <f>59766300</f>
        <v>5.97663E7</v>
      </c>
      <c r="W1488" s="3" t="s">
        <v>156</v>
      </c>
      <c r="X1488" s="27" t="n">
        <f>3500</f>
        <v>3500.0</v>
      </c>
      <c r="Y1488" s="27" t="n">
        <f>13934</f>
        <v>13934.0</v>
      </c>
      <c r="Z1488" s="25" t="n">
        <f>9530</f>
        <v>9530.0</v>
      </c>
      <c r="AA1488" s="25" t="n">
        <f>42043</f>
        <v>42043.0</v>
      </c>
      <c r="AB1488" s="2" t="s">
        <v>189</v>
      </c>
      <c r="AC1488" s="26" t="n">
        <f>51178</f>
        <v>51178.0</v>
      </c>
      <c r="AD1488" s="3" t="s">
        <v>84</v>
      </c>
      <c r="AE1488" s="27" t="n">
        <f>9628</f>
        <v>9628.0</v>
      </c>
    </row>
    <row r="1489">
      <c r="A1489" s="20" t="s">
        <v>2507</v>
      </c>
      <c r="B1489" s="21" t="s">
        <v>2508</v>
      </c>
      <c r="C1489" s="22" t="s">
        <v>1764</v>
      </c>
      <c r="D1489" s="23" t="s">
        <v>1765</v>
      </c>
      <c r="E1489" s="24" t="s">
        <v>447</v>
      </c>
      <c r="F1489" s="28" t="n">
        <f>120</f>
        <v>120.0</v>
      </c>
      <c r="G1489" s="25" t="n">
        <f>349011</f>
        <v>349011.0</v>
      </c>
      <c r="H1489" s="25"/>
      <c r="I1489" s="25" t="n">
        <f>205333</f>
        <v>205333.0</v>
      </c>
      <c r="J1489" s="25" t="n">
        <f>2908</f>
        <v>2908.0</v>
      </c>
      <c r="K1489" s="25" t="n">
        <f>1711</f>
        <v>1711.0</v>
      </c>
      <c r="L1489" s="2" t="s">
        <v>290</v>
      </c>
      <c r="M1489" s="26" t="n">
        <f>72030</f>
        <v>72030.0</v>
      </c>
      <c r="N1489" s="3" t="s">
        <v>414</v>
      </c>
      <c r="O1489" s="27" t="n">
        <f>1</f>
        <v>1.0</v>
      </c>
      <c r="P1489" s="29" t="s">
        <v>2639</v>
      </c>
      <c r="Q1489" s="25"/>
      <c r="R1489" s="29" t="s">
        <v>2640</v>
      </c>
      <c r="S1489" s="25" t="n">
        <f>25789584</f>
        <v>2.5789584E7</v>
      </c>
      <c r="T1489" s="25" t="n">
        <f>15386894</f>
        <v>1.5386894E7</v>
      </c>
      <c r="U1489" s="3" t="s">
        <v>679</v>
      </c>
      <c r="V1489" s="27" t="n">
        <f>344758500</f>
        <v>3.447585E8</v>
      </c>
      <c r="W1489" s="3" t="s">
        <v>414</v>
      </c>
      <c r="X1489" s="27" t="n">
        <f>11500</f>
        <v>11500.0</v>
      </c>
      <c r="Y1489" s="27" t="n">
        <f>71340</f>
        <v>71340.0</v>
      </c>
      <c r="Z1489" s="25" t="n">
        <f>41885</f>
        <v>41885.0</v>
      </c>
      <c r="AA1489" s="25" t="n">
        <f>110690</f>
        <v>110690.0</v>
      </c>
      <c r="AB1489" s="2" t="s">
        <v>189</v>
      </c>
      <c r="AC1489" s="26" t="n">
        <f>140851</f>
        <v>140851.0</v>
      </c>
      <c r="AD1489" s="3" t="s">
        <v>84</v>
      </c>
      <c r="AE1489" s="27" t="n">
        <f>24557</f>
        <v>24557.0</v>
      </c>
    </row>
    <row r="1490">
      <c r="A1490" s="20" t="s">
        <v>2507</v>
      </c>
      <c r="B1490" s="21" t="s">
        <v>2508</v>
      </c>
      <c r="C1490" s="22" t="s">
        <v>1768</v>
      </c>
      <c r="D1490" s="23" t="s">
        <v>1769</v>
      </c>
      <c r="E1490" s="24" t="s">
        <v>447</v>
      </c>
      <c r="F1490" s="28" t="n">
        <f>120</f>
        <v>120.0</v>
      </c>
      <c r="G1490" s="25" t="n">
        <f>482122</f>
        <v>482122.0</v>
      </c>
      <c r="H1490" s="25"/>
      <c r="I1490" s="25" t="n">
        <f>247212</f>
        <v>247212.0</v>
      </c>
      <c r="J1490" s="25" t="n">
        <f>4018</f>
        <v>4018.0</v>
      </c>
      <c r="K1490" s="25" t="n">
        <f>2060</f>
        <v>2060.0</v>
      </c>
      <c r="L1490" s="2" t="s">
        <v>290</v>
      </c>
      <c r="M1490" s="26" t="n">
        <f>74573</f>
        <v>74573.0</v>
      </c>
      <c r="N1490" s="3" t="s">
        <v>315</v>
      </c>
      <c r="O1490" s="27" t="n">
        <f>139</f>
        <v>139.0</v>
      </c>
      <c r="P1490" s="29" t="s">
        <v>2641</v>
      </c>
      <c r="Q1490" s="25"/>
      <c r="R1490" s="29" t="s">
        <v>2642</v>
      </c>
      <c r="S1490" s="25" t="n">
        <f>36462222</f>
        <v>3.6462222E7</v>
      </c>
      <c r="T1490" s="25" t="n">
        <f>18086444</f>
        <v>1.8086444E7</v>
      </c>
      <c r="U1490" s="3" t="s">
        <v>679</v>
      </c>
      <c r="V1490" s="27" t="n">
        <f>346905300</f>
        <v>3.469053E8</v>
      </c>
      <c r="W1490" s="3" t="s">
        <v>315</v>
      </c>
      <c r="X1490" s="27" t="n">
        <f>1878250</f>
        <v>1878250.0</v>
      </c>
      <c r="Y1490" s="27" t="n">
        <f>85274</f>
        <v>85274.0</v>
      </c>
      <c r="Z1490" s="25" t="n">
        <f>51415</f>
        <v>51415.0</v>
      </c>
      <c r="AA1490" s="25" t="n">
        <f>152733</f>
        <v>152733.0</v>
      </c>
      <c r="AB1490" s="2" t="s">
        <v>189</v>
      </c>
      <c r="AC1490" s="26" t="n">
        <f>192029</f>
        <v>192029.0</v>
      </c>
      <c r="AD1490" s="3" t="s">
        <v>84</v>
      </c>
      <c r="AE1490" s="27" t="n">
        <f>34185</f>
        <v>34185.0</v>
      </c>
    </row>
    <row r="1491">
      <c r="A1491" s="20" t="s">
        <v>2507</v>
      </c>
      <c r="B1491" s="21" t="s">
        <v>2508</v>
      </c>
      <c r="C1491" s="22" t="s">
        <v>1760</v>
      </c>
      <c r="D1491" s="23" t="s">
        <v>1761</v>
      </c>
      <c r="E1491" s="24" t="s">
        <v>451</v>
      </c>
      <c r="F1491" s="28" t="n">
        <f>125</f>
        <v>125.0</v>
      </c>
      <c r="G1491" s="25" t="n">
        <f>300825</f>
        <v>300825.0</v>
      </c>
      <c r="H1491" s="25"/>
      <c r="I1491" s="25" t="n">
        <f>191938</f>
        <v>191938.0</v>
      </c>
      <c r="J1491" s="25" t="n">
        <f>2407</f>
        <v>2407.0</v>
      </c>
      <c r="K1491" s="25" t="n">
        <f>1536</f>
        <v>1536.0</v>
      </c>
      <c r="L1491" s="2" t="s">
        <v>761</v>
      </c>
      <c r="M1491" s="26" t="n">
        <f>17204</f>
        <v>17204.0</v>
      </c>
      <c r="N1491" s="3" t="s">
        <v>570</v>
      </c>
      <c r="O1491" s="27" t="n">
        <f>50</f>
        <v>50.0</v>
      </c>
      <c r="P1491" s="29" t="s">
        <v>2643</v>
      </c>
      <c r="Q1491" s="25"/>
      <c r="R1491" s="29" t="s">
        <v>2644</v>
      </c>
      <c r="S1491" s="25" t="n">
        <f>17155266</f>
        <v>1.7155266E7</v>
      </c>
      <c r="T1491" s="25" t="n">
        <f>10410732</f>
        <v>1.0410732E7</v>
      </c>
      <c r="U1491" s="3" t="s">
        <v>1300</v>
      </c>
      <c r="V1491" s="27" t="n">
        <f>231753780</f>
        <v>2.3175378E8</v>
      </c>
      <c r="W1491" s="3" t="s">
        <v>1082</v>
      </c>
      <c r="X1491" s="27" t="n">
        <f>275000</f>
        <v>275000.0</v>
      </c>
      <c r="Y1491" s="27" t="n">
        <f>24549</f>
        <v>24549.0</v>
      </c>
      <c r="Z1491" s="25" t="n">
        <f>42843</f>
        <v>42843.0</v>
      </c>
      <c r="AA1491" s="25" t="n">
        <f>66198</f>
        <v>66198.0</v>
      </c>
      <c r="AB1491" s="2" t="s">
        <v>67</v>
      </c>
      <c r="AC1491" s="26" t="n">
        <f>83268</f>
        <v>83268.0</v>
      </c>
      <c r="AD1491" s="3" t="s">
        <v>473</v>
      </c>
      <c r="AE1491" s="27" t="n">
        <f>21542</f>
        <v>21542.0</v>
      </c>
    </row>
    <row r="1492">
      <c r="A1492" s="20" t="s">
        <v>2507</v>
      </c>
      <c r="B1492" s="21" t="s">
        <v>2508</v>
      </c>
      <c r="C1492" s="22" t="s">
        <v>1764</v>
      </c>
      <c r="D1492" s="23" t="s">
        <v>1765</v>
      </c>
      <c r="E1492" s="24" t="s">
        <v>451</v>
      </c>
      <c r="F1492" s="28" t="n">
        <f>125</f>
        <v>125.0</v>
      </c>
      <c r="G1492" s="25" t="n">
        <f>346411</f>
        <v>346411.0</v>
      </c>
      <c r="H1492" s="25"/>
      <c r="I1492" s="25" t="n">
        <f>219840</f>
        <v>219840.0</v>
      </c>
      <c r="J1492" s="25" t="n">
        <f>2771</f>
        <v>2771.0</v>
      </c>
      <c r="K1492" s="25" t="n">
        <f>1759</f>
        <v>1759.0</v>
      </c>
      <c r="L1492" s="2" t="s">
        <v>1067</v>
      </c>
      <c r="M1492" s="26" t="n">
        <f>57503</f>
        <v>57503.0</v>
      </c>
      <c r="N1492" s="3" t="s">
        <v>570</v>
      </c>
      <c r="O1492" s="27" t="n">
        <f>30</f>
        <v>30.0</v>
      </c>
      <c r="P1492" s="29" t="s">
        <v>2645</v>
      </c>
      <c r="Q1492" s="25"/>
      <c r="R1492" s="29" t="s">
        <v>2646</v>
      </c>
      <c r="S1492" s="25" t="n">
        <f>18976177</f>
        <v>1.8976177E7</v>
      </c>
      <c r="T1492" s="25" t="n">
        <f>11253722</f>
        <v>1.1253722E7</v>
      </c>
      <c r="U1492" s="3" t="s">
        <v>1415</v>
      </c>
      <c r="V1492" s="27" t="n">
        <f>183011170</f>
        <v>1.8301117E8</v>
      </c>
      <c r="W1492" s="3" t="s">
        <v>215</v>
      </c>
      <c r="X1492" s="27" t="n">
        <f>241180</f>
        <v>241180.0</v>
      </c>
      <c r="Y1492" s="27" t="n">
        <f>55331</f>
        <v>55331.0</v>
      </c>
      <c r="Z1492" s="25" t="n">
        <f>31779</f>
        <v>31779.0</v>
      </c>
      <c r="AA1492" s="25" t="n">
        <f>70327</f>
        <v>70327.0</v>
      </c>
      <c r="AB1492" s="2" t="s">
        <v>90</v>
      </c>
      <c r="AC1492" s="26" t="n">
        <f>188658</f>
        <v>188658.0</v>
      </c>
      <c r="AD1492" s="3" t="s">
        <v>53</v>
      </c>
      <c r="AE1492" s="27" t="n">
        <f>50026</f>
        <v>50026.0</v>
      </c>
    </row>
    <row r="1493">
      <c r="A1493" s="20" t="s">
        <v>2507</v>
      </c>
      <c r="B1493" s="21" t="s">
        <v>2508</v>
      </c>
      <c r="C1493" s="22" t="s">
        <v>1768</v>
      </c>
      <c r="D1493" s="23" t="s">
        <v>1769</v>
      </c>
      <c r="E1493" s="24" t="s">
        <v>451</v>
      </c>
      <c r="F1493" s="28" t="n">
        <f>125</f>
        <v>125.0</v>
      </c>
      <c r="G1493" s="25" t="n">
        <f>647236</f>
        <v>647236.0</v>
      </c>
      <c r="H1493" s="25"/>
      <c r="I1493" s="25" t="n">
        <f>411778</f>
        <v>411778.0</v>
      </c>
      <c r="J1493" s="25" t="n">
        <f>5178</f>
        <v>5178.0</v>
      </c>
      <c r="K1493" s="25" t="n">
        <f>3294</f>
        <v>3294.0</v>
      </c>
      <c r="L1493" s="2" t="s">
        <v>1067</v>
      </c>
      <c r="M1493" s="26" t="n">
        <f>57655</f>
        <v>57655.0</v>
      </c>
      <c r="N1493" s="3" t="s">
        <v>570</v>
      </c>
      <c r="O1493" s="27" t="n">
        <f>80</f>
        <v>80.0</v>
      </c>
      <c r="P1493" s="29" t="s">
        <v>2647</v>
      </c>
      <c r="Q1493" s="25"/>
      <c r="R1493" s="29" t="s">
        <v>2648</v>
      </c>
      <c r="S1493" s="25" t="n">
        <f>36131443</f>
        <v>3.6131443E7</v>
      </c>
      <c r="T1493" s="25" t="n">
        <f>21664454</f>
        <v>2.1664454E7</v>
      </c>
      <c r="U1493" s="3" t="s">
        <v>1300</v>
      </c>
      <c r="V1493" s="27" t="n">
        <f>246716258</f>
        <v>2.46716258E8</v>
      </c>
      <c r="W1493" s="3" t="s">
        <v>215</v>
      </c>
      <c r="X1493" s="27" t="n">
        <f>552280</f>
        <v>552280.0</v>
      </c>
      <c r="Y1493" s="27" t="n">
        <f>79880</f>
        <v>79880.0</v>
      </c>
      <c r="Z1493" s="25" t="n">
        <f>74622</f>
        <v>74622.0</v>
      </c>
      <c r="AA1493" s="25" t="n">
        <f>136525</f>
        <v>136525.0</v>
      </c>
      <c r="AB1493" s="2" t="s">
        <v>125</v>
      </c>
      <c r="AC1493" s="26" t="n">
        <f>230441</f>
        <v>230441.0</v>
      </c>
      <c r="AD1493" s="3" t="s">
        <v>53</v>
      </c>
      <c r="AE1493" s="27" t="n">
        <f>97574</f>
        <v>97574.0</v>
      </c>
    </row>
    <row r="1494">
      <c r="A1494" s="20" t="s">
        <v>2507</v>
      </c>
      <c r="B1494" s="21" t="s">
        <v>2508</v>
      </c>
      <c r="C1494" s="22" t="s">
        <v>1760</v>
      </c>
      <c r="D1494" s="23" t="s">
        <v>1761</v>
      </c>
      <c r="E1494" s="24" t="s">
        <v>454</v>
      </c>
      <c r="F1494" s="28" t="n">
        <f>120</f>
        <v>120.0</v>
      </c>
      <c r="G1494" s="25" t="n">
        <f>268803</f>
        <v>268803.0</v>
      </c>
      <c r="H1494" s="25"/>
      <c r="I1494" s="25" t="n">
        <f>127137</f>
        <v>127137.0</v>
      </c>
      <c r="J1494" s="25" t="n">
        <f>2240</f>
        <v>2240.0</v>
      </c>
      <c r="K1494" s="25" t="n">
        <f>1059</f>
        <v>1059.0</v>
      </c>
      <c r="L1494" s="2" t="s">
        <v>171</v>
      </c>
      <c r="M1494" s="26" t="n">
        <f>11319</f>
        <v>11319.0</v>
      </c>
      <c r="N1494" s="3" t="s">
        <v>194</v>
      </c>
      <c r="O1494" s="27" t="n">
        <f>1</f>
        <v>1.0</v>
      </c>
      <c r="P1494" s="29" t="s">
        <v>2649</v>
      </c>
      <c r="Q1494" s="25"/>
      <c r="R1494" s="29" t="s">
        <v>2650</v>
      </c>
      <c r="S1494" s="25" t="n">
        <f>21181466</f>
        <v>2.1181466E7</v>
      </c>
      <c r="T1494" s="25" t="n">
        <f>13458009</f>
        <v>1.3458009E7</v>
      </c>
      <c r="U1494" s="3" t="s">
        <v>1032</v>
      </c>
      <c r="V1494" s="27" t="n">
        <f>155073230</f>
        <v>1.5507323E8</v>
      </c>
      <c r="W1494" s="3" t="s">
        <v>194</v>
      </c>
      <c r="X1494" s="27" t="n">
        <f>8350</f>
        <v>8350.0</v>
      </c>
      <c r="Y1494" s="27" t="n">
        <f>49786</f>
        <v>49786.0</v>
      </c>
      <c r="Z1494" s="25" t="n">
        <f>5915</f>
        <v>5915.0</v>
      </c>
      <c r="AA1494" s="25" t="n">
        <f>28514</f>
        <v>28514.0</v>
      </c>
      <c r="AB1494" s="2" t="s">
        <v>180</v>
      </c>
      <c r="AC1494" s="26" t="n">
        <f>75692</f>
        <v>75692.0</v>
      </c>
      <c r="AD1494" s="3" t="s">
        <v>189</v>
      </c>
      <c r="AE1494" s="27" t="n">
        <f>18842</f>
        <v>18842.0</v>
      </c>
    </row>
    <row r="1495">
      <c r="A1495" s="20" t="s">
        <v>2507</v>
      </c>
      <c r="B1495" s="21" t="s">
        <v>2508</v>
      </c>
      <c r="C1495" s="22" t="s">
        <v>1764</v>
      </c>
      <c r="D1495" s="23" t="s">
        <v>1765</v>
      </c>
      <c r="E1495" s="24" t="s">
        <v>454</v>
      </c>
      <c r="F1495" s="28" t="n">
        <f>120</f>
        <v>120.0</v>
      </c>
      <c r="G1495" s="25" t="n">
        <f>290467</f>
        <v>290467.0</v>
      </c>
      <c r="H1495" s="25"/>
      <c r="I1495" s="25" t="n">
        <f>147379</f>
        <v>147379.0</v>
      </c>
      <c r="J1495" s="25" t="n">
        <f>2421</f>
        <v>2421.0</v>
      </c>
      <c r="K1495" s="25" t="n">
        <f>1228</f>
        <v>1228.0</v>
      </c>
      <c r="L1495" s="2" t="s">
        <v>171</v>
      </c>
      <c r="M1495" s="26" t="n">
        <f>16170</f>
        <v>16170.0</v>
      </c>
      <c r="N1495" s="3" t="s">
        <v>143</v>
      </c>
      <c r="O1495" s="27" t="n">
        <f>190</f>
        <v>190.0</v>
      </c>
      <c r="P1495" s="29" t="s">
        <v>2651</v>
      </c>
      <c r="Q1495" s="25"/>
      <c r="R1495" s="29" t="s">
        <v>2652</v>
      </c>
      <c r="S1495" s="25" t="n">
        <f>18730316</f>
        <v>1.8730316E7</v>
      </c>
      <c r="T1495" s="25" t="n">
        <f>10651478</f>
        <v>1.0651478E7</v>
      </c>
      <c r="U1495" s="3" t="s">
        <v>291</v>
      </c>
      <c r="V1495" s="27" t="n">
        <f>122012065</f>
        <v>1.22012065E8</v>
      </c>
      <c r="W1495" s="3" t="s">
        <v>513</v>
      </c>
      <c r="X1495" s="27" t="n">
        <f>960350</f>
        <v>960350.0</v>
      </c>
      <c r="Y1495" s="27" t="n">
        <f>60655</f>
        <v>60655.0</v>
      </c>
      <c r="Z1495" s="25" t="n">
        <f>21240</f>
        <v>21240.0</v>
      </c>
      <c r="AA1495" s="25" t="n">
        <f>30490</f>
        <v>30490.0</v>
      </c>
      <c r="AB1495" s="2" t="s">
        <v>180</v>
      </c>
      <c r="AC1495" s="26" t="n">
        <f>91518</f>
        <v>91518.0</v>
      </c>
      <c r="AD1495" s="3" t="s">
        <v>189</v>
      </c>
      <c r="AE1495" s="27" t="n">
        <f>23194</f>
        <v>23194.0</v>
      </c>
    </row>
    <row r="1496">
      <c r="A1496" s="20" t="s">
        <v>2507</v>
      </c>
      <c r="B1496" s="21" t="s">
        <v>2508</v>
      </c>
      <c r="C1496" s="22" t="s">
        <v>1768</v>
      </c>
      <c r="D1496" s="23" t="s">
        <v>1769</v>
      </c>
      <c r="E1496" s="24" t="s">
        <v>454</v>
      </c>
      <c r="F1496" s="28" t="n">
        <f>120</f>
        <v>120.0</v>
      </c>
      <c r="G1496" s="25" t="n">
        <f>559270</f>
        <v>559270.0</v>
      </c>
      <c r="H1496" s="25"/>
      <c r="I1496" s="25" t="n">
        <f>274516</f>
        <v>274516.0</v>
      </c>
      <c r="J1496" s="25" t="n">
        <f>4661</f>
        <v>4661.0</v>
      </c>
      <c r="K1496" s="25" t="n">
        <f>2288</f>
        <v>2288.0</v>
      </c>
      <c r="L1496" s="2" t="s">
        <v>171</v>
      </c>
      <c r="M1496" s="26" t="n">
        <f>27489</f>
        <v>27489.0</v>
      </c>
      <c r="N1496" s="3" t="s">
        <v>194</v>
      </c>
      <c r="O1496" s="27" t="n">
        <f>204</f>
        <v>204.0</v>
      </c>
      <c r="P1496" s="29" t="s">
        <v>2653</v>
      </c>
      <c r="Q1496" s="25"/>
      <c r="R1496" s="29" t="s">
        <v>2654</v>
      </c>
      <c r="S1496" s="25" t="n">
        <f>39911782</f>
        <v>3.9911782E7</v>
      </c>
      <c r="T1496" s="25" t="n">
        <f>24109488</f>
        <v>2.4109488E7</v>
      </c>
      <c r="U1496" s="3" t="s">
        <v>275</v>
      </c>
      <c r="V1496" s="27" t="n">
        <f>197933060</f>
        <v>1.9793306E8</v>
      </c>
      <c r="W1496" s="3" t="s">
        <v>194</v>
      </c>
      <c r="X1496" s="27" t="n">
        <f>1467960</f>
        <v>1467960.0</v>
      </c>
      <c r="Y1496" s="27" t="n">
        <f>110441</f>
        <v>110441.0</v>
      </c>
      <c r="Z1496" s="25" t="n">
        <f>27155</f>
        <v>27155.0</v>
      </c>
      <c r="AA1496" s="25" t="n">
        <f>59004</f>
        <v>59004.0</v>
      </c>
      <c r="AB1496" s="2" t="s">
        <v>180</v>
      </c>
      <c r="AC1496" s="26" t="n">
        <f>167210</f>
        <v>167210.0</v>
      </c>
      <c r="AD1496" s="3" t="s">
        <v>189</v>
      </c>
      <c r="AE1496" s="27" t="n">
        <f>42036</f>
        <v>42036.0</v>
      </c>
    </row>
    <row r="1497">
      <c r="A1497" s="20" t="s">
        <v>2507</v>
      </c>
      <c r="B1497" s="21" t="s">
        <v>2508</v>
      </c>
      <c r="C1497" s="22" t="s">
        <v>1760</v>
      </c>
      <c r="D1497" s="23" t="s">
        <v>1761</v>
      </c>
      <c r="E1497" s="24" t="s">
        <v>48</v>
      </c>
      <c r="F1497" s="28" t="n">
        <f>124</f>
        <v>124.0</v>
      </c>
      <c r="G1497" s="25" t="n">
        <f>236367</f>
        <v>236367.0</v>
      </c>
      <c r="H1497" s="25"/>
      <c r="I1497" s="25" t="n">
        <f>166558</f>
        <v>166558.0</v>
      </c>
      <c r="J1497" s="25" t="n">
        <f>1906</f>
        <v>1906.0</v>
      </c>
      <c r="K1497" s="25" t="n">
        <f>1343</f>
        <v>1343.0</v>
      </c>
      <c r="L1497" s="2" t="s">
        <v>735</v>
      </c>
      <c r="M1497" s="26" t="n">
        <f>21479</f>
        <v>21479.0</v>
      </c>
      <c r="N1497" s="3" t="s">
        <v>833</v>
      </c>
      <c r="O1497" s="27" t="str">
        <f>"－"</f>
        <v>－</v>
      </c>
      <c r="P1497" s="29" t="s">
        <v>2655</v>
      </c>
      <c r="Q1497" s="25"/>
      <c r="R1497" s="29" t="s">
        <v>2656</v>
      </c>
      <c r="S1497" s="25" t="n">
        <f>17375791</f>
        <v>1.7375791E7</v>
      </c>
      <c r="T1497" s="25" t="n">
        <f>13802920</f>
        <v>1.380292E7</v>
      </c>
      <c r="U1497" s="3" t="s">
        <v>894</v>
      </c>
      <c r="V1497" s="27" t="n">
        <f>294111100</f>
        <v>2.941111E8</v>
      </c>
      <c r="W1497" s="3" t="s">
        <v>833</v>
      </c>
      <c r="X1497" s="27" t="str">
        <f>"－"</f>
        <v>－</v>
      </c>
      <c r="Y1497" s="27" t="n">
        <f>21754</f>
        <v>21754.0</v>
      </c>
      <c r="Z1497" s="25" t="n">
        <f>12162</f>
        <v>12162.0</v>
      </c>
      <c r="AA1497" s="25" t="n">
        <f>73814</f>
        <v>73814.0</v>
      </c>
      <c r="AB1497" s="2" t="s">
        <v>81</v>
      </c>
      <c r="AC1497" s="26" t="n">
        <f>100908</f>
        <v>100908.0</v>
      </c>
      <c r="AD1497" s="3" t="s">
        <v>545</v>
      </c>
      <c r="AE1497" s="27" t="n">
        <f>19538</f>
        <v>19538.0</v>
      </c>
    </row>
    <row r="1498">
      <c r="A1498" s="20" t="s">
        <v>2507</v>
      </c>
      <c r="B1498" s="21" t="s">
        <v>2508</v>
      </c>
      <c r="C1498" s="22" t="s">
        <v>1764</v>
      </c>
      <c r="D1498" s="23" t="s">
        <v>1765</v>
      </c>
      <c r="E1498" s="24" t="s">
        <v>48</v>
      </c>
      <c r="F1498" s="28" t="n">
        <f>124</f>
        <v>124.0</v>
      </c>
      <c r="G1498" s="25" t="n">
        <f>262832</f>
        <v>262832.0</v>
      </c>
      <c r="H1498" s="25"/>
      <c r="I1498" s="25" t="n">
        <f>196122</f>
        <v>196122.0</v>
      </c>
      <c r="J1498" s="25" t="n">
        <f>2120</f>
        <v>2120.0</v>
      </c>
      <c r="K1498" s="25" t="n">
        <f>1582</f>
        <v>1582.0</v>
      </c>
      <c r="L1498" s="2" t="s">
        <v>515</v>
      </c>
      <c r="M1498" s="26" t="n">
        <f>45454</f>
        <v>45454.0</v>
      </c>
      <c r="N1498" s="3" t="s">
        <v>285</v>
      </c>
      <c r="O1498" s="27" t="str">
        <f>"－"</f>
        <v>－</v>
      </c>
      <c r="P1498" s="29" t="s">
        <v>2657</v>
      </c>
      <c r="Q1498" s="25"/>
      <c r="R1498" s="29" t="s">
        <v>2658</v>
      </c>
      <c r="S1498" s="25" t="n">
        <f>24981615</f>
        <v>2.4981615E7</v>
      </c>
      <c r="T1498" s="25" t="n">
        <f>21317102</f>
        <v>2.1317102E7</v>
      </c>
      <c r="U1498" s="3" t="s">
        <v>1072</v>
      </c>
      <c r="V1498" s="27" t="n">
        <f>387856000</f>
        <v>3.87856E8</v>
      </c>
      <c r="W1498" s="3" t="s">
        <v>285</v>
      </c>
      <c r="X1498" s="27" t="str">
        <f>"－"</f>
        <v>－</v>
      </c>
      <c r="Y1498" s="27" t="n">
        <f>38931</f>
        <v>38931.0</v>
      </c>
      <c r="Z1498" s="25" t="n">
        <f>20370</f>
        <v>20370.0</v>
      </c>
      <c r="AA1498" s="25" t="n">
        <f>97362</f>
        <v>97362.0</v>
      </c>
      <c r="AB1498" s="2" t="s">
        <v>49</v>
      </c>
      <c r="AC1498" s="26" t="n">
        <f>131325</f>
        <v>131325.0</v>
      </c>
      <c r="AD1498" s="3" t="s">
        <v>545</v>
      </c>
      <c r="AE1498" s="27" t="n">
        <f>22692</f>
        <v>22692.0</v>
      </c>
    </row>
    <row r="1499">
      <c r="A1499" s="20" t="s">
        <v>2507</v>
      </c>
      <c r="B1499" s="21" t="s">
        <v>2508</v>
      </c>
      <c r="C1499" s="22" t="s">
        <v>1768</v>
      </c>
      <c r="D1499" s="23" t="s">
        <v>1769</v>
      </c>
      <c r="E1499" s="24" t="s">
        <v>48</v>
      </c>
      <c r="F1499" s="28" t="n">
        <f>124</f>
        <v>124.0</v>
      </c>
      <c r="G1499" s="25" t="n">
        <f>499199</f>
        <v>499199.0</v>
      </c>
      <c r="H1499" s="25"/>
      <c r="I1499" s="25" t="n">
        <f>362680</f>
        <v>362680.0</v>
      </c>
      <c r="J1499" s="25" t="n">
        <f>4026</f>
        <v>4026.0</v>
      </c>
      <c r="K1499" s="25" t="n">
        <f>2925</f>
        <v>2925.0</v>
      </c>
      <c r="L1499" s="2" t="s">
        <v>515</v>
      </c>
      <c r="M1499" s="26" t="n">
        <f>52890</f>
        <v>52890.0</v>
      </c>
      <c r="N1499" s="3" t="s">
        <v>833</v>
      </c>
      <c r="O1499" s="27" t="str">
        <f>"－"</f>
        <v>－</v>
      </c>
      <c r="P1499" s="29" t="s">
        <v>2659</v>
      </c>
      <c r="Q1499" s="25"/>
      <c r="R1499" s="29" t="s">
        <v>2660</v>
      </c>
      <c r="S1499" s="25" t="n">
        <f>42357406</f>
        <v>4.2357406E7</v>
      </c>
      <c r="T1499" s="25" t="n">
        <f>35120022</f>
        <v>3.5120022E7</v>
      </c>
      <c r="U1499" s="3" t="s">
        <v>894</v>
      </c>
      <c r="V1499" s="27" t="n">
        <f>472002100</f>
        <v>4.720021E8</v>
      </c>
      <c r="W1499" s="3" t="s">
        <v>833</v>
      </c>
      <c r="X1499" s="27" t="str">
        <f>"－"</f>
        <v>－</v>
      </c>
      <c r="Y1499" s="27" t="n">
        <f>60685</f>
        <v>60685.0</v>
      </c>
      <c r="Z1499" s="25" t="n">
        <f>32532</f>
        <v>32532.0</v>
      </c>
      <c r="AA1499" s="25" t="n">
        <f>171176</f>
        <v>171176.0</v>
      </c>
      <c r="AB1499" s="2" t="s">
        <v>49</v>
      </c>
      <c r="AC1499" s="26" t="n">
        <f>232233</f>
        <v>232233.0</v>
      </c>
      <c r="AD1499" s="3" t="s">
        <v>545</v>
      </c>
      <c r="AE1499" s="27" t="n">
        <f>42230</f>
        <v>42230.0</v>
      </c>
    </row>
    <row r="1500">
      <c r="A1500" s="20" t="s">
        <v>2507</v>
      </c>
      <c r="B1500" s="21" t="s">
        <v>2508</v>
      </c>
      <c r="C1500" s="22" t="s">
        <v>1760</v>
      </c>
      <c r="D1500" s="23" t="s">
        <v>1761</v>
      </c>
      <c r="E1500" s="24" t="s">
        <v>55</v>
      </c>
      <c r="F1500" s="28" t="n">
        <f>121</f>
        <v>121.0</v>
      </c>
      <c r="G1500" s="25" t="n">
        <f>173713</f>
        <v>173713.0</v>
      </c>
      <c r="H1500" s="25"/>
      <c r="I1500" s="25" t="n">
        <f>139081</f>
        <v>139081.0</v>
      </c>
      <c r="J1500" s="25" t="n">
        <f>1436</f>
        <v>1436.0</v>
      </c>
      <c r="K1500" s="25" t="n">
        <f>1149</f>
        <v>1149.0</v>
      </c>
      <c r="L1500" s="2" t="s">
        <v>180</v>
      </c>
      <c r="M1500" s="26" t="n">
        <f>21506</f>
        <v>21506.0</v>
      </c>
      <c r="N1500" s="3" t="s">
        <v>267</v>
      </c>
      <c r="O1500" s="27" t="n">
        <f>10</f>
        <v>10.0</v>
      </c>
      <c r="P1500" s="29" t="s">
        <v>2661</v>
      </c>
      <c r="Q1500" s="25"/>
      <c r="R1500" s="29" t="s">
        <v>2662</v>
      </c>
      <c r="S1500" s="25" t="n">
        <f>11491027</f>
        <v>1.1491027E7</v>
      </c>
      <c r="T1500" s="25" t="n">
        <f>9281409</f>
        <v>9281409.0</v>
      </c>
      <c r="U1500" s="3" t="s">
        <v>375</v>
      </c>
      <c r="V1500" s="27" t="n">
        <f>167875350</f>
        <v>1.6787535E8</v>
      </c>
      <c r="W1500" s="3" t="s">
        <v>765</v>
      </c>
      <c r="X1500" s="27" t="n">
        <f>13000</f>
        <v>13000.0</v>
      </c>
      <c r="Y1500" s="27" t="n">
        <f>25204</f>
        <v>25204.0</v>
      </c>
      <c r="Z1500" s="25" t="n">
        <f>85237</f>
        <v>85237.0</v>
      </c>
      <c r="AA1500" s="25" t="n">
        <f>50542</f>
        <v>50542.0</v>
      </c>
      <c r="AB1500" s="2" t="s">
        <v>291</v>
      </c>
      <c r="AC1500" s="26" t="n">
        <f>88576</f>
        <v>88576.0</v>
      </c>
      <c r="AD1500" s="3" t="s">
        <v>101</v>
      </c>
      <c r="AE1500" s="27" t="n">
        <f>19915</f>
        <v>19915.0</v>
      </c>
    </row>
    <row r="1501">
      <c r="A1501" s="20" t="s">
        <v>2507</v>
      </c>
      <c r="B1501" s="21" t="s">
        <v>2508</v>
      </c>
      <c r="C1501" s="22" t="s">
        <v>1764</v>
      </c>
      <c r="D1501" s="23" t="s">
        <v>1765</v>
      </c>
      <c r="E1501" s="24" t="s">
        <v>55</v>
      </c>
      <c r="F1501" s="28" t="n">
        <f>121</f>
        <v>121.0</v>
      </c>
      <c r="G1501" s="25" t="n">
        <f>274954</f>
        <v>274954.0</v>
      </c>
      <c r="H1501" s="25"/>
      <c r="I1501" s="25" t="n">
        <f>237315</f>
        <v>237315.0</v>
      </c>
      <c r="J1501" s="25" t="n">
        <f>2272</f>
        <v>2272.0</v>
      </c>
      <c r="K1501" s="25" t="n">
        <f>1961</f>
        <v>1961.0</v>
      </c>
      <c r="L1501" s="2" t="s">
        <v>315</v>
      </c>
      <c r="M1501" s="26" t="n">
        <f>58752</f>
        <v>58752.0</v>
      </c>
      <c r="N1501" s="3" t="s">
        <v>85</v>
      </c>
      <c r="O1501" s="27" t="str">
        <f>"－"</f>
        <v>－</v>
      </c>
      <c r="P1501" s="29" t="s">
        <v>2663</v>
      </c>
      <c r="Q1501" s="25"/>
      <c r="R1501" s="29" t="s">
        <v>2664</v>
      </c>
      <c r="S1501" s="25" t="n">
        <f>16437574</f>
        <v>1.6437574E7</v>
      </c>
      <c r="T1501" s="25" t="n">
        <f>13933041</f>
        <v>1.3933041E7</v>
      </c>
      <c r="U1501" s="3" t="s">
        <v>248</v>
      </c>
      <c r="V1501" s="27" t="n">
        <f>162643700</f>
        <v>1.626437E8</v>
      </c>
      <c r="W1501" s="3" t="s">
        <v>85</v>
      </c>
      <c r="X1501" s="27" t="str">
        <f>"－"</f>
        <v>－</v>
      </c>
      <c r="Y1501" s="27" t="n">
        <f>119961</f>
        <v>119961.0</v>
      </c>
      <c r="Z1501" s="25" t="n">
        <f>168884</f>
        <v>168884.0</v>
      </c>
      <c r="AA1501" s="25" t="n">
        <f>98019</f>
        <v>98019.0</v>
      </c>
      <c r="AB1501" s="2" t="s">
        <v>74</v>
      </c>
      <c r="AC1501" s="26" t="n">
        <f>121623</f>
        <v>121623.0</v>
      </c>
      <c r="AD1501" s="3" t="s">
        <v>101</v>
      </c>
      <c r="AE1501" s="27" t="n">
        <f>23563</f>
        <v>23563.0</v>
      </c>
    </row>
    <row r="1502">
      <c r="A1502" s="20" t="s">
        <v>2507</v>
      </c>
      <c r="B1502" s="21" t="s">
        <v>2508</v>
      </c>
      <c r="C1502" s="22" t="s">
        <v>1768</v>
      </c>
      <c r="D1502" s="23" t="s">
        <v>1769</v>
      </c>
      <c r="E1502" s="24" t="s">
        <v>55</v>
      </c>
      <c r="F1502" s="28" t="n">
        <f>121</f>
        <v>121.0</v>
      </c>
      <c r="G1502" s="25" t="n">
        <f>448667</f>
        <v>448667.0</v>
      </c>
      <c r="H1502" s="25"/>
      <c r="I1502" s="25" t="n">
        <f>376396</f>
        <v>376396.0</v>
      </c>
      <c r="J1502" s="25" t="n">
        <f>3708</f>
        <v>3708.0</v>
      </c>
      <c r="K1502" s="25" t="n">
        <f>3111</f>
        <v>3111.0</v>
      </c>
      <c r="L1502" s="2" t="s">
        <v>315</v>
      </c>
      <c r="M1502" s="26" t="n">
        <f>59276</f>
        <v>59276.0</v>
      </c>
      <c r="N1502" s="3" t="s">
        <v>267</v>
      </c>
      <c r="O1502" s="27" t="n">
        <f>45</f>
        <v>45.0</v>
      </c>
      <c r="P1502" s="29" t="s">
        <v>2665</v>
      </c>
      <c r="Q1502" s="25"/>
      <c r="R1502" s="29" t="s">
        <v>2666</v>
      </c>
      <c r="S1502" s="25" t="n">
        <f>27928601</f>
        <v>2.7928601E7</v>
      </c>
      <c r="T1502" s="25" t="n">
        <f>23214450</f>
        <v>2.321445E7</v>
      </c>
      <c r="U1502" s="3" t="s">
        <v>248</v>
      </c>
      <c r="V1502" s="27" t="n">
        <f>327976700</f>
        <v>3.279767E8</v>
      </c>
      <c r="W1502" s="3" t="s">
        <v>765</v>
      </c>
      <c r="X1502" s="27" t="n">
        <f>14510</f>
        <v>14510.0</v>
      </c>
      <c r="Y1502" s="27" t="n">
        <f>145165</f>
        <v>145165.0</v>
      </c>
      <c r="Z1502" s="25" t="n">
        <f>254121</f>
        <v>254121.0</v>
      </c>
      <c r="AA1502" s="25" t="n">
        <f>148561</f>
        <v>148561.0</v>
      </c>
      <c r="AB1502" s="2" t="s">
        <v>134</v>
      </c>
      <c r="AC1502" s="26" t="n">
        <f>209994</f>
        <v>209994.0</v>
      </c>
      <c r="AD1502" s="3" t="s">
        <v>101</v>
      </c>
      <c r="AE1502" s="27" t="n">
        <f>43478</f>
        <v>43478.0</v>
      </c>
    </row>
    <row r="1503">
      <c r="A1503" s="20" t="s">
        <v>2507</v>
      </c>
      <c r="B1503" s="21" t="s">
        <v>2508</v>
      </c>
      <c r="C1503" s="22" t="s">
        <v>1760</v>
      </c>
      <c r="D1503" s="23" t="s">
        <v>1761</v>
      </c>
      <c r="E1503" s="24" t="s">
        <v>62</v>
      </c>
      <c r="F1503" s="28" t="n">
        <f>123</f>
        <v>123.0</v>
      </c>
      <c r="G1503" s="25" t="n">
        <f>152543</f>
        <v>152543.0</v>
      </c>
      <c r="H1503" s="25"/>
      <c r="I1503" s="25" t="n">
        <f>113880</f>
        <v>113880.0</v>
      </c>
      <c r="J1503" s="25" t="n">
        <f>1240</f>
        <v>1240.0</v>
      </c>
      <c r="K1503" s="25" t="n">
        <f>926</f>
        <v>926.0</v>
      </c>
      <c r="L1503" s="2" t="s">
        <v>318</v>
      </c>
      <c r="M1503" s="26" t="n">
        <f>20848</f>
        <v>20848.0</v>
      </c>
      <c r="N1503" s="3" t="s">
        <v>1502</v>
      </c>
      <c r="O1503" s="27" t="str">
        <f>"－"</f>
        <v>－</v>
      </c>
      <c r="P1503" s="29" t="s">
        <v>2667</v>
      </c>
      <c r="Q1503" s="25"/>
      <c r="R1503" s="29" t="s">
        <v>2668</v>
      </c>
      <c r="S1503" s="25" t="n">
        <f>12214129</f>
        <v>1.2214129E7</v>
      </c>
      <c r="T1503" s="25" t="n">
        <f>9481178</f>
        <v>9481178.0</v>
      </c>
      <c r="U1503" s="3" t="s">
        <v>923</v>
      </c>
      <c r="V1503" s="27" t="n">
        <f>96722500</f>
        <v>9.67225E7</v>
      </c>
      <c r="W1503" s="3" t="s">
        <v>1502</v>
      </c>
      <c r="X1503" s="27" t="str">
        <f>"－"</f>
        <v>－</v>
      </c>
      <c r="Y1503" s="27" t="n">
        <f>55210</f>
        <v>55210.0</v>
      </c>
      <c r="Z1503" s="25" t="n">
        <f>29856</f>
        <v>29856.0</v>
      </c>
      <c r="AA1503" s="25" t="n">
        <f>41149</f>
        <v>41149.0</v>
      </c>
      <c r="AB1503" s="2" t="s">
        <v>141</v>
      </c>
      <c r="AC1503" s="26" t="n">
        <f>67427</f>
        <v>67427.0</v>
      </c>
      <c r="AD1503" s="3" t="s">
        <v>1166</v>
      </c>
      <c r="AE1503" s="27" t="n">
        <f>20262</f>
        <v>20262.0</v>
      </c>
    </row>
    <row r="1504">
      <c r="A1504" s="20" t="s">
        <v>2507</v>
      </c>
      <c r="B1504" s="21" t="s">
        <v>2508</v>
      </c>
      <c r="C1504" s="22" t="s">
        <v>1764</v>
      </c>
      <c r="D1504" s="23" t="s">
        <v>1765</v>
      </c>
      <c r="E1504" s="24" t="s">
        <v>62</v>
      </c>
      <c r="F1504" s="28" t="n">
        <f>123</f>
        <v>123.0</v>
      </c>
      <c r="G1504" s="25" t="n">
        <f>233676</f>
        <v>233676.0</v>
      </c>
      <c r="H1504" s="25"/>
      <c r="I1504" s="25" t="n">
        <f>189411</f>
        <v>189411.0</v>
      </c>
      <c r="J1504" s="25" t="n">
        <f>1900</f>
        <v>1900.0</v>
      </c>
      <c r="K1504" s="25" t="n">
        <f>1540</f>
        <v>1540.0</v>
      </c>
      <c r="L1504" s="2" t="s">
        <v>663</v>
      </c>
      <c r="M1504" s="26" t="n">
        <f>69472</f>
        <v>69472.0</v>
      </c>
      <c r="N1504" s="3" t="s">
        <v>719</v>
      </c>
      <c r="O1504" s="27" t="str">
        <f>"－"</f>
        <v>－</v>
      </c>
      <c r="P1504" s="29" t="s">
        <v>2669</v>
      </c>
      <c r="Q1504" s="25"/>
      <c r="R1504" s="29" t="s">
        <v>2670</v>
      </c>
      <c r="S1504" s="25" t="n">
        <f>10669854</f>
        <v>1.0669854E7</v>
      </c>
      <c r="T1504" s="25" t="n">
        <f>7933459</f>
        <v>7933459.0</v>
      </c>
      <c r="U1504" s="3" t="s">
        <v>118</v>
      </c>
      <c r="V1504" s="27" t="n">
        <f>78301700</f>
        <v>7.83017E7</v>
      </c>
      <c r="W1504" s="3" t="s">
        <v>719</v>
      </c>
      <c r="X1504" s="27" t="str">
        <f>"－"</f>
        <v>－</v>
      </c>
      <c r="Y1504" s="27" t="n">
        <f>27469</f>
        <v>27469.0</v>
      </c>
      <c r="Z1504" s="25" t="n">
        <f>102579</f>
        <v>102579.0</v>
      </c>
      <c r="AA1504" s="25" t="n">
        <f>28445</f>
        <v>28445.0</v>
      </c>
      <c r="AB1504" s="2" t="s">
        <v>945</v>
      </c>
      <c r="AC1504" s="26" t="n">
        <f>115719</f>
        <v>115719.0</v>
      </c>
      <c r="AD1504" s="3" t="s">
        <v>49</v>
      </c>
      <c r="AE1504" s="27" t="n">
        <f>13153</f>
        <v>13153.0</v>
      </c>
    </row>
    <row r="1505">
      <c r="A1505" s="20" t="s">
        <v>2507</v>
      </c>
      <c r="B1505" s="21" t="s">
        <v>2508</v>
      </c>
      <c r="C1505" s="22" t="s">
        <v>1768</v>
      </c>
      <c r="D1505" s="23" t="s">
        <v>1769</v>
      </c>
      <c r="E1505" s="24" t="s">
        <v>62</v>
      </c>
      <c r="F1505" s="28" t="n">
        <f>123</f>
        <v>123.0</v>
      </c>
      <c r="G1505" s="25" t="n">
        <f>386219</f>
        <v>386219.0</v>
      </c>
      <c r="H1505" s="25"/>
      <c r="I1505" s="25" t="n">
        <f>303291</f>
        <v>303291.0</v>
      </c>
      <c r="J1505" s="25" t="n">
        <f>3140</f>
        <v>3140.0</v>
      </c>
      <c r="K1505" s="25" t="n">
        <f>2466</f>
        <v>2466.0</v>
      </c>
      <c r="L1505" s="2" t="s">
        <v>663</v>
      </c>
      <c r="M1505" s="26" t="n">
        <f>70024</f>
        <v>70024.0</v>
      </c>
      <c r="N1505" s="3" t="s">
        <v>719</v>
      </c>
      <c r="O1505" s="27" t="str">
        <f>"－"</f>
        <v>－</v>
      </c>
      <c r="P1505" s="29" t="s">
        <v>2671</v>
      </c>
      <c r="Q1505" s="25"/>
      <c r="R1505" s="29" t="s">
        <v>2672</v>
      </c>
      <c r="S1505" s="25" t="n">
        <f>22883983</f>
        <v>2.2883983E7</v>
      </c>
      <c r="T1505" s="25" t="n">
        <f>17414637</f>
        <v>1.7414637E7</v>
      </c>
      <c r="U1505" s="3" t="s">
        <v>295</v>
      </c>
      <c r="V1505" s="27" t="n">
        <f>110947700</f>
        <v>1.109477E8</v>
      </c>
      <c r="W1505" s="3" t="s">
        <v>719</v>
      </c>
      <c r="X1505" s="27" t="str">
        <f>"－"</f>
        <v>－</v>
      </c>
      <c r="Y1505" s="27" t="n">
        <f>82679</f>
        <v>82679.0</v>
      </c>
      <c r="Z1505" s="25" t="n">
        <f>132435</f>
        <v>132435.0</v>
      </c>
      <c r="AA1505" s="25" t="n">
        <f>69594</f>
        <v>69594.0</v>
      </c>
      <c r="AB1505" s="2" t="s">
        <v>945</v>
      </c>
      <c r="AC1505" s="26" t="n">
        <f>175730</f>
        <v>175730.0</v>
      </c>
      <c r="AD1505" s="3" t="s">
        <v>1166</v>
      </c>
      <c r="AE1505" s="27" t="n">
        <f>37008</f>
        <v>37008.0</v>
      </c>
    </row>
    <row r="1506">
      <c r="A1506" s="20" t="s">
        <v>2507</v>
      </c>
      <c r="B1506" s="21" t="s">
        <v>2508</v>
      </c>
      <c r="C1506" s="22" t="s">
        <v>1760</v>
      </c>
      <c r="D1506" s="23" t="s">
        <v>1761</v>
      </c>
      <c r="E1506" s="24" t="s">
        <v>69</v>
      </c>
      <c r="F1506" s="28" t="n">
        <f>122</f>
        <v>122.0</v>
      </c>
      <c r="G1506" s="25" t="n">
        <f>185993</f>
        <v>185993.0</v>
      </c>
      <c r="H1506" s="25"/>
      <c r="I1506" s="25" t="n">
        <f>165618</f>
        <v>165618.0</v>
      </c>
      <c r="J1506" s="25" t="n">
        <f>1525</f>
        <v>1525.0</v>
      </c>
      <c r="K1506" s="25" t="n">
        <f>1358</f>
        <v>1358.0</v>
      </c>
      <c r="L1506" s="2" t="s">
        <v>291</v>
      </c>
      <c r="M1506" s="26" t="n">
        <f>11654</f>
        <v>11654.0</v>
      </c>
      <c r="N1506" s="3" t="s">
        <v>314</v>
      </c>
      <c r="O1506" s="27" t="str">
        <f>"－"</f>
        <v>－</v>
      </c>
      <c r="P1506" s="29" t="s">
        <v>2673</v>
      </c>
      <c r="Q1506" s="25"/>
      <c r="R1506" s="29" t="s">
        <v>2674</v>
      </c>
      <c r="S1506" s="25" t="n">
        <f>16171496</f>
        <v>1.6171496E7</v>
      </c>
      <c r="T1506" s="25" t="n">
        <f>14883965</f>
        <v>1.4883965E7</v>
      </c>
      <c r="U1506" s="3" t="s">
        <v>291</v>
      </c>
      <c r="V1506" s="27" t="n">
        <f>281890260</f>
        <v>2.8189026E8</v>
      </c>
      <c r="W1506" s="3" t="s">
        <v>314</v>
      </c>
      <c r="X1506" s="27" t="str">
        <f>"－"</f>
        <v>－</v>
      </c>
      <c r="Y1506" s="27" t="n">
        <f>25557</f>
        <v>25557.0</v>
      </c>
      <c r="Z1506" s="25" t="n">
        <f>22985</f>
        <v>22985.0</v>
      </c>
      <c r="AA1506" s="25" t="n">
        <f>29279</f>
        <v>29279.0</v>
      </c>
      <c r="AB1506" s="2" t="s">
        <v>1091</v>
      </c>
      <c r="AC1506" s="26" t="n">
        <f>53347</f>
        <v>53347.0</v>
      </c>
      <c r="AD1506" s="3" t="s">
        <v>528</v>
      </c>
      <c r="AE1506" s="27" t="n">
        <f>17510</f>
        <v>17510.0</v>
      </c>
    </row>
    <row r="1507">
      <c r="A1507" s="20" t="s">
        <v>2507</v>
      </c>
      <c r="B1507" s="21" t="s">
        <v>2508</v>
      </c>
      <c r="C1507" s="22" t="s">
        <v>1764</v>
      </c>
      <c r="D1507" s="23" t="s">
        <v>1765</v>
      </c>
      <c r="E1507" s="24" t="s">
        <v>69</v>
      </c>
      <c r="F1507" s="28" t="n">
        <f>122</f>
        <v>122.0</v>
      </c>
      <c r="G1507" s="25" t="n">
        <f>239641</f>
        <v>239641.0</v>
      </c>
      <c r="H1507" s="25"/>
      <c r="I1507" s="25" t="n">
        <f>217235</f>
        <v>217235.0</v>
      </c>
      <c r="J1507" s="25" t="n">
        <f>1964</f>
        <v>1964.0</v>
      </c>
      <c r="K1507" s="25" t="n">
        <f>1781</f>
        <v>1781.0</v>
      </c>
      <c r="L1507" s="2" t="s">
        <v>539</v>
      </c>
      <c r="M1507" s="26" t="n">
        <f>38154</f>
        <v>38154.0</v>
      </c>
      <c r="N1507" s="3" t="s">
        <v>314</v>
      </c>
      <c r="O1507" s="27" t="str">
        <f>"－"</f>
        <v>－</v>
      </c>
      <c r="P1507" s="29" t="s">
        <v>2675</v>
      </c>
      <c r="Q1507" s="25"/>
      <c r="R1507" s="29" t="s">
        <v>2676</v>
      </c>
      <c r="S1507" s="25" t="n">
        <f>9310045</f>
        <v>9310045.0</v>
      </c>
      <c r="T1507" s="25" t="n">
        <f>7848721</f>
        <v>7848721.0</v>
      </c>
      <c r="U1507" s="3" t="s">
        <v>1089</v>
      </c>
      <c r="V1507" s="27" t="n">
        <f>110938000</f>
        <v>1.10938E8</v>
      </c>
      <c r="W1507" s="3" t="s">
        <v>314</v>
      </c>
      <c r="X1507" s="27" t="str">
        <f>"－"</f>
        <v>－</v>
      </c>
      <c r="Y1507" s="27" t="n">
        <f>5485</f>
        <v>5485.0</v>
      </c>
      <c r="Z1507" s="25" t="n">
        <f>97599</f>
        <v>97599.0</v>
      </c>
      <c r="AA1507" s="25" t="n">
        <f>63476</f>
        <v>63476.0</v>
      </c>
      <c r="AB1507" s="2" t="s">
        <v>312</v>
      </c>
      <c r="AC1507" s="26" t="n">
        <f>69808</f>
        <v>69808.0</v>
      </c>
      <c r="AD1507" s="3" t="s">
        <v>528</v>
      </c>
      <c r="AE1507" s="27" t="n">
        <f>5957</f>
        <v>5957.0</v>
      </c>
    </row>
    <row r="1508">
      <c r="A1508" s="20" t="s">
        <v>2507</v>
      </c>
      <c r="B1508" s="21" t="s">
        <v>2508</v>
      </c>
      <c r="C1508" s="22" t="s">
        <v>1768</v>
      </c>
      <c r="D1508" s="23" t="s">
        <v>1769</v>
      </c>
      <c r="E1508" s="24" t="s">
        <v>69</v>
      </c>
      <c r="F1508" s="28" t="n">
        <f>122</f>
        <v>122.0</v>
      </c>
      <c r="G1508" s="25" t="n">
        <f>425634</f>
        <v>425634.0</v>
      </c>
      <c r="H1508" s="25"/>
      <c r="I1508" s="25" t="n">
        <f>382853</f>
        <v>382853.0</v>
      </c>
      <c r="J1508" s="25" t="n">
        <f>3489</f>
        <v>3489.0</v>
      </c>
      <c r="K1508" s="25" t="n">
        <f>3138</f>
        <v>3138.0</v>
      </c>
      <c r="L1508" s="2" t="s">
        <v>539</v>
      </c>
      <c r="M1508" s="26" t="n">
        <f>39688</f>
        <v>39688.0</v>
      </c>
      <c r="N1508" s="3" t="s">
        <v>314</v>
      </c>
      <c r="O1508" s="27" t="str">
        <f>"－"</f>
        <v>－</v>
      </c>
      <c r="P1508" s="29" t="s">
        <v>2677</v>
      </c>
      <c r="Q1508" s="25"/>
      <c r="R1508" s="29" t="s">
        <v>2678</v>
      </c>
      <c r="S1508" s="25" t="n">
        <f>25481541</f>
        <v>2.5481541E7</v>
      </c>
      <c r="T1508" s="25" t="n">
        <f>22732686</f>
        <v>2.2732686E7</v>
      </c>
      <c r="U1508" s="3" t="s">
        <v>291</v>
      </c>
      <c r="V1508" s="27" t="n">
        <f>306243860</f>
        <v>3.0624386E8</v>
      </c>
      <c r="W1508" s="3" t="s">
        <v>314</v>
      </c>
      <c r="X1508" s="27" t="str">
        <f>"－"</f>
        <v>－</v>
      </c>
      <c r="Y1508" s="27" t="n">
        <f>31042</f>
        <v>31042.0</v>
      </c>
      <c r="Z1508" s="25" t="n">
        <f>120584</f>
        <v>120584.0</v>
      </c>
      <c r="AA1508" s="25" t="n">
        <f>92755</f>
        <v>92755.0</v>
      </c>
      <c r="AB1508" s="2" t="s">
        <v>312</v>
      </c>
      <c r="AC1508" s="26" t="n">
        <f>104071</f>
        <v>104071.0</v>
      </c>
      <c r="AD1508" s="3" t="s">
        <v>528</v>
      </c>
      <c r="AE1508" s="27" t="n">
        <f>23467</f>
        <v>23467.0</v>
      </c>
    </row>
    <row r="1509">
      <c r="A1509" s="20" t="s">
        <v>2507</v>
      </c>
      <c r="B1509" s="21" t="s">
        <v>2508</v>
      </c>
      <c r="C1509" s="22" t="s">
        <v>1760</v>
      </c>
      <c r="D1509" s="23" t="s">
        <v>1761</v>
      </c>
      <c r="E1509" s="24" t="s">
        <v>76</v>
      </c>
      <c r="F1509" s="28" t="n">
        <f>123</f>
        <v>123.0</v>
      </c>
      <c r="G1509" s="25" t="n">
        <f>222476</f>
        <v>222476.0</v>
      </c>
      <c r="H1509" s="25"/>
      <c r="I1509" s="25" t="n">
        <f>207631</f>
        <v>207631.0</v>
      </c>
      <c r="J1509" s="25" t="n">
        <f>1809</f>
        <v>1809.0</v>
      </c>
      <c r="K1509" s="25" t="n">
        <f>1688</f>
        <v>1688.0</v>
      </c>
      <c r="L1509" s="2" t="s">
        <v>388</v>
      </c>
      <c r="M1509" s="26" t="n">
        <f>7640</f>
        <v>7640.0</v>
      </c>
      <c r="N1509" s="3" t="s">
        <v>671</v>
      </c>
      <c r="O1509" s="27" t="str">
        <f>"－"</f>
        <v>－</v>
      </c>
      <c r="P1509" s="29" t="s">
        <v>2679</v>
      </c>
      <c r="Q1509" s="25"/>
      <c r="R1509" s="29" t="s">
        <v>2680</v>
      </c>
      <c r="S1509" s="25" t="n">
        <f>14351374</f>
        <v>1.4351374E7</v>
      </c>
      <c r="T1509" s="25" t="n">
        <f>13364070</f>
        <v>1.336407E7</v>
      </c>
      <c r="U1509" s="3" t="s">
        <v>232</v>
      </c>
      <c r="V1509" s="27" t="n">
        <f>206251300</f>
        <v>2.062513E8</v>
      </c>
      <c r="W1509" s="3" t="s">
        <v>671</v>
      </c>
      <c r="X1509" s="27" t="str">
        <f>"－"</f>
        <v>－</v>
      </c>
      <c r="Y1509" s="27" t="n">
        <f>19898</f>
        <v>19898.0</v>
      </c>
      <c r="Z1509" s="25" t="n">
        <f>28645</f>
        <v>28645.0</v>
      </c>
      <c r="AA1509" s="25" t="n">
        <f>10748</f>
        <v>10748.0</v>
      </c>
      <c r="AB1509" s="2" t="s">
        <v>1084</v>
      </c>
      <c r="AC1509" s="26" t="n">
        <f>41671</f>
        <v>41671.0</v>
      </c>
      <c r="AD1509" s="3" t="s">
        <v>128</v>
      </c>
      <c r="AE1509" s="27" t="n">
        <f>7415</f>
        <v>7415.0</v>
      </c>
    </row>
    <row r="1510">
      <c r="A1510" s="20" t="s">
        <v>2507</v>
      </c>
      <c r="B1510" s="21" t="s">
        <v>2508</v>
      </c>
      <c r="C1510" s="22" t="s">
        <v>1764</v>
      </c>
      <c r="D1510" s="23" t="s">
        <v>1765</v>
      </c>
      <c r="E1510" s="24" t="s">
        <v>76</v>
      </c>
      <c r="F1510" s="28" t="n">
        <f>123</f>
        <v>123.0</v>
      </c>
      <c r="G1510" s="25" t="n">
        <f>274231</f>
        <v>274231.0</v>
      </c>
      <c r="H1510" s="25"/>
      <c r="I1510" s="25" t="n">
        <f>249050</f>
        <v>249050.0</v>
      </c>
      <c r="J1510" s="25" t="n">
        <f>2230</f>
        <v>2230.0</v>
      </c>
      <c r="K1510" s="25" t="n">
        <f>2025</f>
        <v>2025.0</v>
      </c>
      <c r="L1510" s="2" t="s">
        <v>68</v>
      </c>
      <c r="M1510" s="26" t="n">
        <f>36884</f>
        <v>36884.0</v>
      </c>
      <c r="N1510" s="3" t="s">
        <v>570</v>
      </c>
      <c r="O1510" s="27" t="n">
        <f>6</f>
        <v>6.0</v>
      </c>
      <c r="P1510" s="29" t="s">
        <v>2681</v>
      </c>
      <c r="Q1510" s="25"/>
      <c r="R1510" s="29" t="s">
        <v>2682</v>
      </c>
      <c r="S1510" s="25" t="n">
        <f>13206759</f>
        <v>1.3206759E7</v>
      </c>
      <c r="T1510" s="25" t="n">
        <f>11741382</f>
        <v>1.1741382E7</v>
      </c>
      <c r="U1510" s="3" t="s">
        <v>128</v>
      </c>
      <c r="V1510" s="27" t="n">
        <f>243267670</f>
        <v>2.4326767E8</v>
      </c>
      <c r="W1510" s="3" t="s">
        <v>570</v>
      </c>
      <c r="X1510" s="27" t="n">
        <f>76600</f>
        <v>76600.0</v>
      </c>
      <c r="Y1510" s="27" t="n">
        <f>25539</f>
        <v>25539.0</v>
      </c>
      <c r="Z1510" s="25" t="n">
        <f>59619</f>
        <v>59619.0</v>
      </c>
      <c r="AA1510" s="25" t="n">
        <f>21795</f>
        <v>21795.0</v>
      </c>
      <c r="AB1510" s="2" t="s">
        <v>735</v>
      </c>
      <c r="AC1510" s="26" t="n">
        <f>42397</f>
        <v>42397.0</v>
      </c>
      <c r="AD1510" s="3" t="s">
        <v>128</v>
      </c>
      <c r="AE1510" s="27" t="n">
        <f>13156</f>
        <v>13156.0</v>
      </c>
    </row>
    <row r="1511">
      <c r="A1511" s="20" t="s">
        <v>2507</v>
      </c>
      <c r="B1511" s="21" t="s">
        <v>2508</v>
      </c>
      <c r="C1511" s="22" t="s">
        <v>1768</v>
      </c>
      <c r="D1511" s="23" t="s">
        <v>1769</v>
      </c>
      <c r="E1511" s="24" t="s">
        <v>76</v>
      </c>
      <c r="F1511" s="28" t="n">
        <f>123</f>
        <v>123.0</v>
      </c>
      <c r="G1511" s="25" t="n">
        <f>496707</f>
        <v>496707.0</v>
      </c>
      <c r="H1511" s="25"/>
      <c r="I1511" s="25" t="n">
        <f>456681</f>
        <v>456681.0</v>
      </c>
      <c r="J1511" s="25" t="n">
        <f>4038</f>
        <v>4038.0</v>
      </c>
      <c r="K1511" s="25" t="n">
        <f>3713</f>
        <v>3713.0</v>
      </c>
      <c r="L1511" s="2" t="s">
        <v>68</v>
      </c>
      <c r="M1511" s="26" t="n">
        <f>38296</f>
        <v>38296.0</v>
      </c>
      <c r="N1511" s="3" t="s">
        <v>1084</v>
      </c>
      <c r="O1511" s="27" t="n">
        <f>83</f>
        <v>83.0</v>
      </c>
      <c r="P1511" s="29" t="s">
        <v>2683</v>
      </c>
      <c r="Q1511" s="25"/>
      <c r="R1511" s="29" t="s">
        <v>2684</v>
      </c>
      <c r="S1511" s="25" t="n">
        <f>27558133</f>
        <v>2.7558133E7</v>
      </c>
      <c r="T1511" s="25" t="n">
        <f>25105452</f>
        <v>2.5105452E7</v>
      </c>
      <c r="U1511" s="3" t="s">
        <v>128</v>
      </c>
      <c r="V1511" s="27" t="n">
        <f>281883620</f>
        <v>2.8188362E8</v>
      </c>
      <c r="W1511" s="3" t="s">
        <v>1917</v>
      </c>
      <c r="X1511" s="27" t="n">
        <f>122600</f>
        <v>122600.0</v>
      </c>
      <c r="Y1511" s="27" t="n">
        <f>45437</f>
        <v>45437.0</v>
      </c>
      <c r="Z1511" s="25" t="n">
        <f>88264</f>
        <v>88264.0</v>
      </c>
      <c r="AA1511" s="25" t="n">
        <f>32543</f>
        <v>32543.0</v>
      </c>
      <c r="AB1511" s="2" t="s">
        <v>735</v>
      </c>
      <c r="AC1511" s="26" t="n">
        <f>83712</f>
        <v>83712.0</v>
      </c>
      <c r="AD1511" s="3" t="s">
        <v>128</v>
      </c>
      <c r="AE1511" s="27" t="n">
        <f>20571</f>
        <v>20571.0</v>
      </c>
    </row>
    <row r="1512">
      <c r="A1512" s="20" t="s">
        <v>2507</v>
      </c>
      <c r="B1512" s="21" t="s">
        <v>2508</v>
      </c>
      <c r="C1512" s="22" t="s">
        <v>1760</v>
      </c>
      <c r="D1512" s="23" t="s">
        <v>1761</v>
      </c>
      <c r="E1512" s="24" t="s">
        <v>83</v>
      </c>
      <c r="F1512" s="28" t="n">
        <f>123</f>
        <v>123.0</v>
      </c>
      <c r="G1512" s="25" t="n">
        <f>178858</f>
        <v>178858.0</v>
      </c>
      <c r="H1512" s="25"/>
      <c r="I1512" s="25" t="n">
        <f>152822</f>
        <v>152822.0</v>
      </c>
      <c r="J1512" s="25" t="n">
        <f>1454</f>
        <v>1454.0</v>
      </c>
      <c r="K1512" s="25" t="n">
        <f>1242</f>
        <v>1242.0</v>
      </c>
      <c r="L1512" s="2" t="s">
        <v>153</v>
      </c>
      <c r="M1512" s="26" t="n">
        <f>5850</f>
        <v>5850.0</v>
      </c>
      <c r="N1512" s="3" t="s">
        <v>2003</v>
      </c>
      <c r="O1512" s="27" t="n">
        <f>7</f>
        <v>7.0</v>
      </c>
      <c r="P1512" s="29" t="s">
        <v>2685</v>
      </c>
      <c r="Q1512" s="25"/>
      <c r="R1512" s="29" t="s">
        <v>2686</v>
      </c>
      <c r="S1512" s="25" t="n">
        <f>13679030</f>
        <v>1.367903E7</v>
      </c>
      <c r="T1512" s="25" t="n">
        <f>12804155</f>
        <v>1.2804155E7</v>
      </c>
      <c r="U1512" s="3" t="s">
        <v>411</v>
      </c>
      <c r="V1512" s="27" t="n">
        <f>139921400</f>
        <v>1.399214E8</v>
      </c>
      <c r="W1512" s="3" t="s">
        <v>2003</v>
      </c>
      <c r="X1512" s="27" t="n">
        <f>152900</f>
        <v>152900.0</v>
      </c>
      <c r="Y1512" s="27" t="n">
        <f>17724</f>
        <v>17724.0</v>
      </c>
      <c r="Z1512" s="25" t="n">
        <f>5050</f>
        <v>5050.0</v>
      </c>
      <c r="AA1512" s="25" t="n">
        <f>19616</f>
        <v>19616.0</v>
      </c>
      <c r="AB1512" s="2" t="s">
        <v>366</v>
      </c>
      <c r="AC1512" s="26" t="n">
        <f>25072</f>
        <v>25072.0</v>
      </c>
      <c r="AD1512" s="3" t="s">
        <v>863</v>
      </c>
      <c r="AE1512" s="27" t="n">
        <f>6886</f>
        <v>6886.0</v>
      </c>
    </row>
    <row r="1513">
      <c r="A1513" s="20" t="s">
        <v>2507</v>
      </c>
      <c r="B1513" s="21" t="s">
        <v>2508</v>
      </c>
      <c r="C1513" s="22" t="s">
        <v>1764</v>
      </c>
      <c r="D1513" s="23" t="s">
        <v>1765</v>
      </c>
      <c r="E1513" s="24" t="s">
        <v>83</v>
      </c>
      <c r="F1513" s="28" t="n">
        <f>123</f>
        <v>123.0</v>
      </c>
      <c r="G1513" s="25" t="n">
        <f>276385</f>
        <v>276385.0</v>
      </c>
      <c r="H1513" s="25"/>
      <c r="I1513" s="25" t="n">
        <f>245836</f>
        <v>245836.0</v>
      </c>
      <c r="J1513" s="25" t="n">
        <f>2247</f>
        <v>2247.0</v>
      </c>
      <c r="K1513" s="25" t="n">
        <f>1999</f>
        <v>1999.0</v>
      </c>
      <c r="L1513" s="2" t="s">
        <v>482</v>
      </c>
      <c r="M1513" s="26" t="n">
        <f>28333</f>
        <v>28333.0</v>
      </c>
      <c r="N1513" s="3" t="s">
        <v>1922</v>
      </c>
      <c r="O1513" s="27" t="n">
        <f>4</f>
        <v>4.0</v>
      </c>
      <c r="P1513" s="29" t="s">
        <v>2687</v>
      </c>
      <c r="Q1513" s="25"/>
      <c r="R1513" s="29" t="s">
        <v>2688</v>
      </c>
      <c r="S1513" s="25" t="n">
        <f>24796068</f>
        <v>2.4796068E7</v>
      </c>
      <c r="T1513" s="25" t="n">
        <f>23793340</f>
        <v>2.379334E7</v>
      </c>
      <c r="U1513" s="3" t="s">
        <v>249</v>
      </c>
      <c r="V1513" s="27" t="n">
        <f>307146350</f>
        <v>3.0714635E8</v>
      </c>
      <c r="W1513" s="3" t="s">
        <v>1922</v>
      </c>
      <c r="X1513" s="27" t="n">
        <f>4660</f>
        <v>4660.0</v>
      </c>
      <c r="Y1513" s="27" t="n">
        <f>14909</f>
        <v>14909.0</v>
      </c>
      <c r="Z1513" s="25" t="n">
        <f>21933</f>
        <v>21933.0</v>
      </c>
      <c r="AA1513" s="25" t="n">
        <f>77506</f>
        <v>77506.0</v>
      </c>
      <c r="AB1513" s="2" t="s">
        <v>251</v>
      </c>
      <c r="AC1513" s="26" t="n">
        <f>77506</f>
        <v>77506.0</v>
      </c>
      <c r="AD1513" s="3" t="s">
        <v>1096</v>
      </c>
      <c r="AE1513" s="27" t="n">
        <f>12022</f>
        <v>12022.0</v>
      </c>
    </row>
    <row r="1514">
      <c r="A1514" s="20" t="s">
        <v>2507</v>
      </c>
      <c r="B1514" s="21" t="s">
        <v>2508</v>
      </c>
      <c r="C1514" s="22" t="s">
        <v>1768</v>
      </c>
      <c r="D1514" s="23" t="s">
        <v>1769</v>
      </c>
      <c r="E1514" s="24" t="s">
        <v>83</v>
      </c>
      <c r="F1514" s="28" t="n">
        <f>123</f>
        <v>123.0</v>
      </c>
      <c r="G1514" s="25" t="n">
        <f>455243</f>
        <v>455243.0</v>
      </c>
      <c r="H1514" s="25"/>
      <c r="I1514" s="25" t="n">
        <f>398658</f>
        <v>398658.0</v>
      </c>
      <c r="J1514" s="25" t="n">
        <f>3701</f>
        <v>3701.0</v>
      </c>
      <c r="K1514" s="25" t="n">
        <f>3241</f>
        <v>3241.0</v>
      </c>
      <c r="L1514" s="2" t="s">
        <v>482</v>
      </c>
      <c r="M1514" s="26" t="n">
        <f>31456</f>
        <v>31456.0</v>
      </c>
      <c r="N1514" s="3" t="s">
        <v>2003</v>
      </c>
      <c r="O1514" s="27" t="n">
        <f>67</f>
        <v>67.0</v>
      </c>
      <c r="P1514" s="29" t="s">
        <v>2689</v>
      </c>
      <c r="Q1514" s="25"/>
      <c r="R1514" s="29" t="s">
        <v>2690</v>
      </c>
      <c r="S1514" s="25" t="n">
        <f>38475098</f>
        <v>3.8475098E7</v>
      </c>
      <c r="T1514" s="25" t="n">
        <f>36597495</f>
        <v>3.6597495E7</v>
      </c>
      <c r="U1514" s="3" t="s">
        <v>249</v>
      </c>
      <c r="V1514" s="27" t="n">
        <f>324003800</f>
        <v>3.240038E8</v>
      </c>
      <c r="W1514" s="3" t="s">
        <v>2003</v>
      </c>
      <c r="X1514" s="27" t="n">
        <f>534500</f>
        <v>534500.0</v>
      </c>
      <c r="Y1514" s="27" t="n">
        <f>32633</f>
        <v>32633.0</v>
      </c>
      <c r="Z1514" s="25" t="n">
        <f>26983</f>
        <v>26983.0</v>
      </c>
      <c r="AA1514" s="25" t="n">
        <f>97122</f>
        <v>97122.0</v>
      </c>
      <c r="AB1514" s="2" t="s">
        <v>251</v>
      </c>
      <c r="AC1514" s="26" t="n">
        <f>97122</f>
        <v>97122.0</v>
      </c>
      <c r="AD1514" s="3" t="s">
        <v>863</v>
      </c>
      <c r="AE1514" s="27" t="n">
        <f>20598</f>
        <v>20598.0</v>
      </c>
    </row>
    <row r="1515">
      <c r="A1515" s="20" t="s">
        <v>2507</v>
      </c>
      <c r="B1515" s="21" t="s">
        <v>2508</v>
      </c>
      <c r="C1515" s="22" t="s">
        <v>1760</v>
      </c>
      <c r="D1515" s="23" t="s">
        <v>1761</v>
      </c>
      <c r="E1515" s="24" t="s">
        <v>89</v>
      </c>
      <c r="F1515" s="28" t="n">
        <f>124</f>
        <v>124.0</v>
      </c>
      <c r="G1515" s="25" t="n">
        <f>216372</f>
        <v>216372.0</v>
      </c>
      <c r="H1515" s="25"/>
      <c r="I1515" s="25" t="n">
        <f>189546</f>
        <v>189546.0</v>
      </c>
      <c r="J1515" s="25" t="n">
        <f>1745</f>
        <v>1745.0</v>
      </c>
      <c r="K1515" s="25" t="n">
        <f>1529</f>
        <v>1529.0</v>
      </c>
      <c r="L1515" s="2" t="s">
        <v>320</v>
      </c>
      <c r="M1515" s="26" t="n">
        <f>6960</f>
        <v>6960.0</v>
      </c>
      <c r="N1515" s="3" t="s">
        <v>1008</v>
      </c>
      <c r="O1515" s="27" t="n">
        <f>1</f>
        <v>1.0</v>
      </c>
      <c r="P1515" s="29" t="s">
        <v>2691</v>
      </c>
      <c r="Q1515" s="25"/>
      <c r="R1515" s="29" t="s">
        <v>2692</v>
      </c>
      <c r="S1515" s="25" t="n">
        <f>30407763</f>
        <v>3.0407763E7</v>
      </c>
      <c r="T1515" s="25" t="n">
        <f>30357057</f>
        <v>3.0357057E7</v>
      </c>
      <c r="U1515" s="3" t="s">
        <v>744</v>
      </c>
      <c r="V1515" s="27" t="n">
        <f>152623950</f>
        <v>1.5262395E8</v>
      </c>
      <c r="W1515" s="3" t="s">
        <v>1008</v>
      </c>
      <c r="X1515" s="27" t="n">
        <f>1500</f>
        <v>1500.0</v>
      </c>
      <c r="Y1515" s="27" t="n">
        <f>6896</f>
        <v>6896.0</v>
      </c>
      <c r="Z1515" s="25" t="n">
        <f>4133</f>
        <v>4133.0</v>
      </c>
      <c r="AA1515" s="25" t="n">
        <f>13484</f>
        <v>13484.0</v>
      </c>
      <c r="AB1515" s="2" t="s">
        <v>1084</v>
      </c>
      <c r="AC1515" s="26" t="n">
        <f>23757</f>
        <v>23757.0</v>
      </c>
      <c r="AD1515" s="3" t="s">
        <v>181</v>
      </c>
      <c r="AE1515" s="27" t="n">
        <f>4629</f>
        <v>4629.0</v>
      </c>
    </row>
    <row r="1516">
      <c r="A1516" s="20" t="s">
        <v>2507</v>
      </c>
      <c r="B1516" s="21" t="s">
        <v>2508</v>
      </c>
      <c r="C1516" s="22" t="s">
        <v>1764</v>
      </c>
      <c r="D1516" s="23" t="s">
        <v>1765</v>
      </c>
      <c r="E1516" s="24" t="s">
        <v>89</v>
      </c>
      <c r="F1516" s="28" t="n">
        <f>124</f>
        <v>124.0</v>
      </c>
      <c r="G1516" s="25" t="n">
        <f>244172</f>
        <v>244172.0</v>
      </c>
      <c r="H1516" s="25"/>
      <c r="I1516" s="25" t="n">
        <f>217469</f>
        <v>217469.0</v>
      </c>
      <c r="J1516" s="25" t="n">
        <f>1969</f>
        <v>1969.0</v>
      </c>
      <c r="K1516" s="25" t="n">
        <f>1754</f>
        <v>1754.0</v>
      </c>
      <c r="L1516" s="2" t="s">
        <v>95</v>
      </c>
      <c r="M1516" s="26" t="n">
        <f>27076</f>
        <v>27076.0</v>
      </c>
      <c r="N1516" s="3" t="s">
        <v>232</v>
      </c>
      <c r="O1516" s="27" t="str">
        <f>"－"</f>
        <v>－</v>
      </c>
      <c r="P1516" s="29" t="s">
        <v>2693</v>
      </c>
      <c r="Q1516" s="25"/>
      <c r="R1516" s="29" t="s">
        <v>2694</v>
      </c>
      <c r="S1516" s="25" t="n">
        <f>38045002</f>
        <v>3.8045002E7</v>
      </c>
      <c r="T1516" s="25" t="n">
        <f>37993053</f>
        <v>3.7993053E7</v>
      </c>
      <c r="U1516" s="3" t="s">
        <v>744</v>
      </c>
      <c r="V1516" s="27" t="n">
        <f>451191850</f>
        <v>4.5119185E8</v>
      </c>
      <c r="W1516" s="3" t="s">
        <v>232</v>
      </c>
      <c r="X1516" s="27" t="str">
        <f>"－"</f>
        <v>－</v>
      </c>
      <c r="Y1516" s="27" t="n">
        <f>55108</f>
        <v>55108.0</v>
      </c>
      <c r="Z1516" s="25" t="n">
        <f>32810</f>
        <v>32810.0</v>
      </c>
      <c r="AA1516" s="25" t="n">
        <f>64598</f>
        <v>64598.0</v>
      </c>
      <c r="AB1516" s="2" t="s">
        <v>1445</v>
      </c>
      <c r="AC1516" s="26" t="n">
        <f>86196</f>
        <v>86196.0</v>
      </c>
      <c r="AD1516" s="3" t="s">
        <v>141</v>
      </c>
      <c r="AE1516" s="27" t="n">
        <f>30732</f>
        <v>30732.0</v>
      </c>
    </row>
    <row r="1517">
      <c r="A1517" s="20" t="s">
        <v>2507</v>
      </c>
      <c r="B1517" s="21" t="s">
        <v>2508</v>
      </c>
      <c r="C1517" s="22" t="s">
        <v>1768</v>
      </c>
      <c r="D1517" s="23" t="s">
        <v>1769</v>
      </c>
      <c r="E1517" s="24" t="s">
        <v>89</v>
      </c>
      <c r="F1517" s="28" t="n">
        <f>124</f>
        <v>124.0</v>
      </c>
      <c r="G1517" s="25" t="n">
        <f>460544</f>
        <v>460544.0</v>
      </c>
      <c r="H1517" s="25"/>
      <c r="I1517" s="25" t="n">
        <f>407015</f>
        <v>407015.0</v>
      </c>
      <c r="J1517" s="25" t="n">
        <f>3714</f>
        <v>3714.0</v>
      </c>
      <c r="K1517" s="25" t="n">
        <f>3282</f>
        <v>3282.0</v>
      </c>
      <c r="L1517" s="2" t="s">
        <v>95</v>
      </c>
      <c r="M1517" s="26" t="n">
        <f>27886</f>
        <v>27886.0</v>
      </c>
      <c r="N1517" s="3" t="s">
        <v>232</v>
      </c>
      <c r="O1517" s="27" t="n">
        <f>5</f>
        <v>5.0</v>
      </c>
      <c r="P1517" s="29" t="s">
        <v>2695</v>
      </c>
      <c r="Q1517" s="25"/>
      <c r="R1517" s="29" t="s">
        <v>2696</v>
      </c>
      <c r="S1517" s="25" t="n">
        <f>68452764</f>
        <v>6.8452764E7</v>
      </c>
      <c r="T1517" s="25" t="n">
        <f>68350110</f>
        <v>6.835011E7</v>
      </c>
      <c r="U1517" s="3" t="s">
        <v>744</v>
      </c>
      <c r="V1517" s="27" t="n">
        <f>603815800</f>
        <v>6.038158E8</v>
      </c>
      <c r="W1517" s="3" t="s">
        <v>1610</v>
      </c>
      <c r="X1517" s="27" t="n">
        <f>100000</f>
        <v>100000.0</v>
      </c>
      <c r="Y1517" s="27" t="n">
        <f>62004</f>
        <v>62004.0</v>
      </c>
      <c r="Z1517" s="25" t="n">
        <f>36943</f>
        <v>36943.0</v>
      </c>
      <c r="AA1517" s="25" t="n">
        <f>78082</f>
        <v>78082.0</v>
      </c>
      <c r="AB1517" s="2" t="s">
        <v>1445</v>
      </c>
      <c r="AC1517" s="26" t="n">
        <f>109840</f>
        <v>109840.0</v>
      </c>
      <c r="AD1517" s="3" t="s">
        <v>141</v>
      </c>
      <c r="AE1517" s="27" t="n">
        <f>39139</f>
        <v>39139.0</v>
      </c>
    </row>
    <row r="1518">
      <c r="A1518" s="20" t="s">
        <v>2507</v>
      </c>
      <c r="B1518" s="21" t="s">
        <v>2508</v>
      </c>
      <c r="C1518" s="22" t="s">
        <v>1760</v>
      </c>
      <c r="D1518" s="23" t="s">
        <v>1761</v>
      </c>
      <c r="E1518" s="24" t="s">
        <v>96</v>
      </c>
      <c r="F1518" s="28" t="n">
        <f>121</f>
        <v>121.0</v>
      </c>
      <c r="G1518" s="25" t="n">
        <f>268475</f>
        <v>268475.0</v>
      </c>
      <c r="H1518" s="25"/>
      <c r="I1518" s="25" t="n">
        <f>210393</f>
        <v>210393.0</v>
      </c>
      <c r="J1518" s="25" t="n">
        <f>2219</f>
        <v>2219.0</v>
      </c>
      <c r="K1518" s="25" t="n">
        <f>1739</f>
        <v>1739.0</v>
      </c>
      <c r="L1518" s="2" t="s">
        <v>1363</v>
      </c>
      <c r="M1518" s="26" t="n">
        <f>39204</f>
        <v>39204.0</v>
      </c>
      <c r="N1518" s="3" t="s">
        <v>419</v>
      </c>
      <c r="O1518" s="27" t="str">
        <f>"－"</f>
        <v>－</v>
      </c>
      <c r="P1518" s="29" t="s">
        <v>2697</v>
      </c>
      <c r="Q1518" s="25"/>
      <c r="R1518" s="29" t="s">
        <v>2698</v>
      </c>
      <c r="S1518" s="25" t="n">
        <f>19855778</f>
        <v>1.9855778E7</v>
      </c>
      <c r="T1518" s="25" t="n">
        <f>19708760</f>
        <v>1.970876E7</v>
      </c>
      <c r="U1518" s="3" t="s">
        <v>1153</v>
      </c>
      <c r="V1518" s="27" t="n">
        <f>220236700</f>
        <v>2.202367E8</v>
      </c>
      <c r="W1518" s="3" t="s">
        <v>419</v>
      </c>
      <c r="X1518" s="27" t="str">
        <f>"－"</f>
        <v>－</v>
      </c>
      <c r="Y1518" s="27" t="n">
        <f>8266</f>
        <v>8266.0</v>
      </c>
      <c r="Z1518" s="25" t="n">
        <f>40112</f>
        <v>40112.0</v>
      </c>
      <c r="AA1518" s="25" t="n">
        <f>42344</f>
        <v>42344.0</v>
      </c>
      <c r="AB1518" s="2" t="s">
        <v>194</v>
      </c>
      <c r="AC1518" s="26" t="n">
        <f>75337</f>
        <v>75337.0</v>
      </c>
      <c r="AD1518" s="3" t="s">
        <v>265</v>
      </c>
      <c r="AE1518" s="27" t="n">
        <f>9997</f>
        <v>9997.0</v>
      </c>
    </row>
    <row r="1519">
      <c r="A1519" s="20" t="s">
        <v>2507</v>
      </c>
      <c r="B1519" s="21" t="s">
        <v>2508</v>
      </c>
      <c r="C1519" s="22" t="s">
        <v>1764</v>
      </c>
      <c r="D1519" s="23" t="s">
        <v>1765</v>
      </c>
      <c r="E1519" s="24" t="s">
        <v>96</v>
      </c>
      <c r="F1519" s="28" t="n">
        <f>121</f>
        <v>121.0</v>
      </c>
      <c r="G1519" s="25" t="n">
        <f>262926</f>
        <v>262926.0</v>
      </c>
      <c r="H1519" s="25"/>
      <c r="I1519" s="25" t="n">
        <f>192130</f>
        <v>192130.0</v>
      </c>
      <c r="J1519" s="25" t="n">
        <f>2173</f>
        <v>2173.0</v>
      </c>
      <c r="K1519" s="25" t="n">
        <f>1588</f>
        <v>1588.0</v>
      </c>
      <c r="L1519" s="2" t="s">
        <v>1363</v>
      </c>
      <c r="M1519" s="26" t="n">
        <f>39006</f>
        <v>39006.0</v>
      </c>
      <c r="N1519" s="3" t="s">
        <v>1114</v>
      </c>
      <c r="O1519" s="27" t="str">
        <f>"－"</f>
        <v>－</v>
      </c>
      <c r="P1519" s="29" t="s">
        <v>2699</v>
      </c>
      <c r="Q1519" s="25"/>
      <c r="R1519" s="29" t="s">
        <v>2700</v>
      </c>
      <c r="S1519" s="25" t="n">
        <f>17346015</f>
        <v>1.7346015E7</v>
      </c>
      <c r="T1519" s="25" t="n">
        <f>17163096</f>
        <v>1.7163096E7</v>
      </c>
      <c r="U1519" s="3" t="s">
        <v>706</v>
      </c>
      <c r="V1519" s="27" t="n">
        <f>141378600</f>
        <v>1.413786E8</v>
      </c>
      <c r="W1519" s="3" t="s">
        <v>1114</v>
      </c>
      <c r="X1519" s="27" t="str">
        <f>"－"</f>
        <v>－</v>
      </c>
      <c r="Y1519" s="27" t="n">
        <f>48034</f>
        <v>48034.0</v>
      </c>
      <c r="Z1519" s="25" t="n">
        <f>23910</f>
        <v>23910.0</v>
      </c>
      <c r="AA1519" s="25" t="n">
        <f>84075</f>
        <v>84075.0</v>
      </c>
      <c r="AB1519" s="2" t="s">
        <v>111</v>
      </c>
      <c r="AC1519" s="26" t="n">
        <f>116028</f>
        <v>116028.0</v>
      </c>
      <c r="AD1519" s="3" t="s">
        <v>265</v>
      </c>
      <c r="AE1519" s="27" t="n">
        <f>54243</f>
        <v>54243.0</v>
      </c>
    </row>
    <row r="1520">
      <c r="A1520" s="20" t="s">
        <v>2507</v>
      </c>
      <c r="B1520" s="21" t="s">
        <v>2508</v>
      </c>
      <c r="C1520" s="22" t="s">
        <v>1768</v>
      </c>
      <c r="D1520" s="23" t="s">
        <v>1769</v>
      </c>
      <c r="E1520" s="24" t="s">
        <v>96</v>
      </c>
      <c r="F1520" s="28" t="n">
        <f>121</f>
        <v>121.0</v>
      </c>
      <c r="G1520" s="25" t="n">
        <f>531401</f>
        <v>531401.0</v>
      </c>
      <c r="H1520" s="25"/>
      <c r="I1520" s="25" t="n">
        <f>402523</f>
        <v>402523.0</v>
      </c>
      <c r="J1520" s="25" t="n">
        <f>4392</f>
        <v>4392.0</v>
      </c>
      <c r="K1520" s="25" t="n">
        <f>3327</f>
        <v>3327.0</v>
      </c>
      <c r="L1520" s="2" t="s">
        <v>1363</v>
      </c>
      <c r="M1520" s="26" t="n">
        <f>78210</f>
        <v>78210.0</v>
      </c>
      <c r="N1520" s="3" t="s">
        <v>1114</v>
      </c>
      <c r="O1520" s="27" t="str">
        <f>"－"</f>
        <v>－</v>
      </c>
      <c r="P1520" s="29" t="s">
        <v>2701</v>
      </c>
      <c r="Q1520" s="25"/>
      <c r="R1520" s="29" t="s">
        <v>2702</v>
      </c>
      <c r="S1520" s="25" t="n">
        <f>37201794</f>
        <v>3.7201794E7</v>
      </c>
      <c r="T1520" s="25" t="n">
        <f>36871856</f>
        <v>3.6871856E7</v>
      </c>
      <c r="U1520" s="3" t="s">
        <v>193</v>
      </c>
      <c r="V1520" s="27" t="n">
        <f>299150100</f>
        <v>2.991501E8</v>
      </c>
      <c r="W1520" s="3" t="s">
        <v>1114</v>
      </c>
      <c r="X1520" s="27" t="str">
        <f>"－"</f>
        <v>－</v>
      </c>
      <c r="Y1520" s="27" t="n">
        <f>56300</f>
        <v>56300.0</v>
      </c>
      <c r="Z1520" s="25" t="n">
        <f>64022</f>
        <v>64022.0</v>
      </c>
      <c r="AA1520" s="25" t="n">
        <f>126419</f>
        <v>126419.0</v>
      </c>
      <c r="AB1520" s="2" t="s">
        <v>194</v>
      </c>
      <c r="AC1520" s="26" t="n">
        <f>189137</f>
        <v>189137.0</v>
      </c>
      <c r="AD1520" s="3" t="s">
        <v>265</v>
      </c>
      <c r="AE1520" s="27" t="n">
        <f>64240</f>
        <v>64240.0</v>
      </c>
    </row>
    <row r="1521">
      <c r="A1521" s="20" t="s">
        <v>2507</v>
      </c>
      <c r="B1521" s="21" t="s">
        <v>2508</v>
      </c>
      <c r="C1521" s="22" t="s">
        <v>1760</v>
      </c>
      <c r="D1521" s="23" t="s">
        <v>1761</v>
      </c>
      <c r="E1521" s="24" t="s">
        <v>102</v>
      </c>
      <c r="F1521" s="28" t="n">
        <f>124</f>
        <v>124.0</v>
      </c>
      <c r="G1521" s="25" t="n">
        <f>133145</f>
        <v>133145.0</v>
      </c>
      <c r="H1521" s="25"/>
      <c r="I1521" s="25" t="n">
        <f>75260</f>
        <v>75260.0</v>
      </c>
      <c r="J1521" s="25" t="n">
        <f>1074</f>
        <v>1074.0</v>
      </c>
      <c r="K1521" s="25" t="n">
        <f>607</f>
        <v>607.0</v>
      </c>
      <c r="L1521" s="2" t="s">
        <v>320</v>
      </c>
      <c r="M1521" s="26" t="n">
        <f>7460</f>
        <v>7460.0</v>
      </c>
      <c r="N1521" s="3" t="s">
        <v>215</v>
      </c>
      <c r="O1521" s="27" t="str">
        <f>"－"</f>
        <v>－</v>
      </c>
      <c r="P1521" s="29" t="s">
        <v>2703</v>
      </c>
      <c r="Q1521" s="25"/>
      <c r="R1521" s="29" t="s">
        <v>2704</v>
      </c>
      <c r="S1521" s="25" t="n">
        <f>17193269</f>
        <v>1.7193269E7</v>
      </c>
      <c r="T1521" s="25" t="n">
        <f>17025057</f>
        <v>1.7025057E7</v>
      </c>
      <c r="U1521" s="3" t="s">
        <v>633</v>
      </c>
      <c r="V1521" s="27" t="n">
        <f>285933800</f>
        <v>2.859338E8</v>
      </c>
      <c r="W1521" s="3" t="s">
        <v>215</v>
      </c>
      <c r="X1521" s="27" t="str">
        <f>"－"</f>
        <v>－</v>
      </c>
      <c r="Y1521" s="27" t="n">
        <f>4300</f>
        <v>4300.0</v>
      </c>
      <c r="Z1521" s="25" t="n">
        <f>2136</f>
        <v>2136.0</v>
      </c>
      <c r="AA1521" s="25" t="n">
        <f>21841</f>
        <v>21841.0</v>
      </c>
      <c r="AB1521" s="2" t="s">
        <v>671</v>
      </c>
      <c r="AC1521" s="26" t="n">
        <f>49337</f>
        <v>49337.0</v>
      </c>
      <c r="AD1521" s="3" t="s">
        <v>373</v>
      </c>
      <c r="AE1521" s="27" t="n">
        <f>799</f>
        <v>799.0</v>
      </c>
    </row>
    <row r="1522">
      <c r="A1522" s="20" t="s">
        <v>2507</v>
      </c>
      <c r="B1522" s="21" t="s">
        <v>2508</v>
      </c>
      <c r="C1522" s="22" t="s">
        <v>1764</v>
      </c>
      <c r="D1522" s="23" t="s">
        <v>1765</v>
      </c>
      <c r="E1522" s="24" t="s">
        <v>102</v>
      </c>
      <c r="F1522" s="28" t="n">
        <f>124</f>
        <v>124.0</v>
      </c>
      <c r="G1522" s="25" t="n">
        <f>250227</f>
        <v>250227.0</v>
      </c>
      <c r="H1522" s="25"/>
      <c r="I1522" s="25" t="n">
        <f>109736</f>
        <v>109736.0</v>
      </c>
      <c r="J1522" s="25" t="n">
        <f>2018</f>
        <v>2018.0</v>
      </c>
      <c r="K1522" s="25" t="n">
        <f>885</f>
        <v>885.0</v>
      </c>
      <c r="L1522" s="2" t="s">
        <v>103</v>
      </c>
      <c r="M1522" s="26" t="n">
        <f>30503</f>
        <v>30503.0</v>
      </c>
      <c r="N1522" s="3" t="s">
        <v>321</v>
      </c>
      <c r="O1522" s="27" t="str">
        <f>"－"</f>
        <v>－</v>
      </c>
      <c r="P1522" s="29" t="s">
        <v>2705</v>
      </c>
      <c r="Q1522" s="25"/>
      <c r="R1522" s="29" t="s">
        <v>2706</v>
      </c>
      <c r="S1522" s="25" t="n">
        <f>18493010</f>
        <v>1.849301E7</v>
      </c>
      <c r="T1522" s="25" t="n">
        <f>18215112</f>
        <v>1.8215112E7</v>
      </c>
      <c r="U1522" s="3" t="s">
        <v>103</v>
      </c>
      <c r="V1522" s="27" t="n">
        <f>442358600</f>
        <v>4.423586E8</v>
      </c>
      <c r="W1522" s="3" t="s">
        <v>321</v>
      </c>
      <c r="X1522" s="27" t="str">
        <f>"－"</f>
        <v>－</v>
      </c>
      <c r="Y1522" s="27" t="n">
        <f>12372</f>
        <v>12372.0</v>
      </c>
      <c r="Z1522" s="25" t="n">
        <f>3170</f>
        <v>3170.0</v>
      </c>
      <c r="AA1522" s="25" t="n">
        <f>48082</f>
        <v>48082.0</v>
      </c>
      <c r="AB1522" s="2" t="s">
        <v>80</v>
      </c>
      <c r="AC1522" s="26" t="n">
        <f>120069</f>
        <v>120069.0</v>
      </c>
      <c r="AD1522" s="3" t="s">
        <v>82</v>
      </c>
      <c r="AE1522" s="27" t="n">
        <f>34900</f>
        <v>34900.0</v>
      </c>
    </row>
    <row r="1523">
      <c r="A1523" s="20" t="s">
        <v>2507</v>
      </c>
      <c r="B1523" s="21" t="s">
        <v>2508</v>
      </c>
      <c r="C1523" s="22" t="s">
        <v>1768</v>
      </c>
      <c r="D1523" s="23" t="s">
        <v>1769</v>
      </c>
      <c r="E1523" s="24" t="s">
        <v>102</v>
      </c>
      <c r="F1523" s="28" t="n">
        <f>124</f>
        <v>124.0</v>
      </c>
      <c r="G1523" s="25" t="n">
        <f>383372</f>
        <v>383372.0</v>
      </c>
      <c r="H1523" s="25"/>
      <c r="I1523" s="25" t="n">
        <f>184996</f>
        <v>184996.0</v>
      </c>
      <c r="J1523" s="25" t="n">
        <f>3092</f>
        <v>3092.0</v>
      </c>
      <c r="K1523" s="25" t="n">
        <f>1492</f>
        <v>1492.0</v>
      </c>
      <c r="L1523" s="2" t="s">
        <v>103</v>
      </c>
      <c r="M1523" s="26" t="n">
        <f>31083</f>
        <v>31083.0</v>
      </c>
      <c r="N1523" s="3" t="s">
        <v>854</v>
      </c>
      <c r="O1523" s="27" t="str">
        <f>"－"</f>
        <v>－</v>
      </c>
      <c r="P1523" s="29" t="s">
        <v>2707</v>
      </c>
      <c r="Q1523" s="25"/>
      <c r="R1523" s="29" t="s">
        <v>2708</v>
      </c>
      <c r="S1523" s="25" t="n">
        <f>35686278</f>
        <v>3.5686278E7</v>
      </c>
      <c r="T1523" s="25" t="n">
        <f>35240169</f>
        <v>3.5240169E7</v>
      </c>
      <c r="U1523" s="3" t="s">
        <v>103</v>
      </c>
      <c r="V1523" s="27" t="n">
        <f>454692600</f>
        <v>4.546926E8</v>
      </c>
      <c r="W1523" s="3" t="s">
        <v>854</v>
      </c>
      <c r="X1523" s="27" t="str">
        <f>"－"</f>
        <v>－</v>
      </c>
      <c r="Y1523" s="27" t="n">
        <f>16672</f>
        <v>16672.0</v>
      </c>
      <c r="Z1523" s="25" t="n">
        <f>5306</f>
        <v>5306.0</v>
      </c>
      <c r="AA1523" s="25" t="n">
        <f>69923</f>
        <v>69923.0</v>
      </c>
      <c r="AB1523" s="2" t="s">
        <v>529</v>
      </c>
      <c r="AC1523" s="26" t="n">
        <f>168366</f>
        <v>168366.0</v>
      </c>
      <c r="AD1523" s="3" t="s">
        <v>373</v>
      </c>
      <c r="AE1523" s="27" t="n">
        <f>36987</f>
        <v>36987.0</v>
      </c>
    </row>
    <row r="1524">
      <c r="A1524" s="20" t="s">
        <v>2507</v>
      </c>
      <c r="B1524" s="21" t="s">
        <v>2508</v>
      </c>
      <c r="C1524" s="22" t="s">
        <v>1760</v>
      </c>
      <c r="D1524" s="23" t="s">
        <v>1761</v>
      </c>
      <c r="E1524" s="24" t="s">
        <v>107</v>
      </c>
      <c r="F1524" s="28" t="n">
        <f>117</f>
        <v>117.0</v>
      </c>
      <c r="G1524" s="25" t="n">
        <f>237007</f>
        <v>237007.0</v>
      </c>
      <c r="H1524" s="25"/>
      <c r="I1524" s="25" t="n">
        <f>109764</f>
        <v>109764.0</v>
      </c>
      <c r="J1524" s="25" t="n">
        <f>2026</f>
        <v>2026.0</v>
      </c>
      <c r="K1524" s="25" t="n">
        <f>938</f>
        <v>938.0</v>
      </c>
      <c r="L1524" s="2" t="s">
        <v>314</v>
      </c>
      <c r="M1524" s="26" t="n">
        <f>52420</f>
        <v>52420.0</v>
      </c>
      <c r="N1524" s="3" t="s">
        <v>156</v>
      </c>
      <c r="O1524" s="27" t="str">
        <f>"－"</f>
        <v>－</v>
      </c>
      <c r="P1524" s="29" t="s">
        <v>2709</v>
      </c>
      <c r="Q1524" s="25"/>
      <c r="R1524" s="29" t="s">
        <v>2710</v>
      </c>
      <c r="S1524" s="25" t="n">
        <f>14510096</f>
        <v>1.4510096E7</v>
      </c>
      <c r="T1524" s="25" t="n">
        <f>14228165</f>
        <v>1.4228165E7</v>
      </c>
      <c r="U1524" s="3" t="s">
        <v>754</v>
      </c>
      <c r="V1524" s="27" t="n">
        <f>306500750</f>
        <v>3.0650075E8</v>
      </c>
      <c r="W1524" s="3" t="s">
        <v>156</v>
      </c>
      <c r="X1524" s="27" t="str">
        <f>"－"</f>
        <v>－</v>
      </c>
      <c r="Y1524" s="27" t="n">
        <f>2880</f>
        <v>2880.0</v>
      </c>
      <c r="Z1524" s="25" t="n">
        <f>54800</f>
        <v>54800.0</v>
      </c>
      <c r="AA1524" s="25" t="n">
        <f>91885</f>
        <v>91885.0</v>
      </c>
      <c r="AB1524" s="2" t="s">
        <v>204</v>
      </c>
      <c r="AC1524" s="26" t="n">
        <f>95734</f>
        <v>95734.0</v>
      </c>
      <c r="AD1524" s="3" t="s">
        <v>520</v>
      </c>
      <c r="AE1524" s="27" t="n">
        <f>21339</f>
        <v>21339.0</v>
      </c>
    </row>
    <row r="1525">
      <c r="A1525" s="20" t="s">
        <v>2507</v>
      </c>
      <c r="B1525" s="21" t="s">
        <v>2508</v>
      </c>
      <c r="C1525" s="22" t="s">
        <v>1764</v>
      </c>
      <c r="D1525" s="23" t="s">
        <v>1765</v>
      </c>
      <c r="E1525" s="24" t="s">
        <v>107</v>
      </c>
      <c r="F1525" s="28" t="n">
        <f>117</f>
        <v>117.0</v>
      </c>
      <c r="G1525" s="25" t="n">
        <f>350934</f>
        <v>350934.0</v>
      </c>
      <c r="H1525" s="25"/>
      <c r="I1525" s="25" t="n">
        <f>59749</f>
        <v>59749.0</v>
      </c>
      <c r="J1525" s="25" t="n">
        <f>2999</f>
        <v>2999.0</v>
      </c>
      <c r="K1525" s="25" t="n">
        <f>511</f>
        <v>511.0</v>
      </c>
      <c r="L1525" s="2" t="s">
        <v>2202</v>
      </c>
      <c r="M1525" s="26" t="n">
        <f>17400</f>
        <v>17400.0</v>
      </c>
      <c r="N1525" s="3" t="s">
        <v>448</v>
      </c>
      <c r="O1525" s="27" t="str">
        <f>"－"</f>
        <v>－</v>
      </c>
      <c r="P1525" s="29" t="s">
        <v>2711</v>
      </c>
      <c r="Q1525" s="25"/>
      <c r="R1525" s="29" t="s">
        <v>2712</v>
      </c>
      <c r="S1525" s="25" t="n">
        <f>19342790</f>
        <v>1.934279E7</v>
      </c>
      <c r="T1525" s="25" t="n">
        <f>18626616</f>
        <v>1.8626616E7</v>
      </c>
      <c r="U1525" s="3" t="s">
        <v>765</v>
      </c>
      <c r="V1525" s="27" t="n">
        <f>425528700</f>
        <v>4.255287E8</v>
      </c>
      <c r="W1525" s="3" t="s">
        <v>448</v>
      </c>
      <c r="X1525" s="27" t="str">
        <f>"－"</f>
        <v>－</v>
      </c>
      <c r="Y1525" s="27" t="n">
        <f>8060</f>
        <v>8060.0</v>
      </c>
      <c r="Z1525" s="25" t="n">
        <f>18400</f>
        <v>18400.0</v>
      </c>
      <c r="AA1525" s="25" t="n">
        <f>47795</f>
        <v>47795.0</v>
      </c>
      <c r="AB1525" s="2" t="s">
        <v>565</v>
      </c>
      <c r="AC1525" s="26" t="n">
        <f>55722</f>
        <v>55722.0</v>
      </c>
      <c r="AD1525" s="3" t="s">
        <v>70</v>
      </c>
      <c r="AE1525" s="27" t="n">
        <f>26496</f>
        <v>26496.0</v>
      </c>
    </row>
    <row r="1526">
      <c r="A1526" s="20" t="s">
        <v>2507</v>
      </c>
      <c r="B1526" s="21" t="s">
        <v>2508</v>
      </c>
      <c r="C1526" s="22" t="s">
        <v>1768</v>
      </c>
      <c r="D1526" s="23" t="s">
        <v>1769</v>
      </c>
      <c r="E1526" s="24" t="s">
        <v>107</v>
      </c>
      <c r="F1526" s="28" t="n">
        <f>117</f>
        <v>117.0</v>
      </c>
      <c r="G1526" s="25" t="n">
        <f>587941</f>
        <v>587941.0</v>
      </c>
      <c r="H1526" s="25"/>
      <c r="I1526" s="25" t="n">
        <f>169513</f>
        <v>169513.0</v>
      </c>
      <c r="J1526" s="25" t="n">
        <f>5025</f>
        <v>5025.0</v>
      </c>
      <c r="K1526" s="25" t="n">
        <f>1449</f>
        <v>1449.0</v>
      </c>
      <c r="L1526" s="2" t="s">
        <v>314</v>
      </c>
      <c r="M1526" s="26" t="n">
        <f>56480</f>
        <v>56480.0</v>
      </c>
      <c r="N1526" s="3" t="s">
        <v>746</v>
      </c>
      <c r="O1526" s="27" t="str">
        <f>"－"</f>
        <v>－</v>
      </c>
      <c r="P1526" s="29" t="s">
        <v>2713</v>
      </c>
      <c r="Q1526" s="25"/>
      <c r="R1526" s="29" t="s">
        <v>2714</v>
      </c>
      <c r="S1526" s="25" t="n">
        <f>33852886</f>
        <v>3.3852886E7</v>
      </c>
      <c r="T1526" s="25" t="n">
        <f>32854781</f>
        <v>3.2854781E7</v>
      </c>
      <c r="U1526" s="3" t="s">
        <v>765</v>
      </c>
      <c r="V1526" s="27" t="n">
        <f>427163200</f>
        <v>4.271632E8</v>
      </c>
      <c r="W1526" s="3" t="s">
        <v>746</v>
      </c>
      <c r="X1526" s="27" t="str">
        <f>"－"</f>
        <v>－</v>
      </c>
      <c r="Y1526" s="27" t="n">
        <f>10940</f>
        <v>10940.0</v>
      </c>
      <c r="Z1526" s="25" t="n">
        <f>73200</f>
        <v>73200.0</v>
      </c>
      <c r="AA1526" s="25" t="n">
        <f>139680</f>
        <v>139680.0</v>
      </c>
      <c r="AB1526" s="2" t="s">
        <v>189</v>
      </c>
      <c r="AC1526" s="26" t="n">
        <f>141580</f>
        <v>141580.0</v>
      </c>
      <c r="AD1526" s="3" t="s">
        <v>520</v>
      </c>
      <c r="AE1526" s="27" t="n">
        <f>66116</f>
        <v>66116.0</v>
      </c>
    </row>
    <row r="1527">
      <c r="A1527" s="20" t="s">
        <v>2507</v>
      </c>
      <c r="B1527" s="21" t="s">
        <v>2508</v>
      </c>
      <c r="C1527" s="22" t="s">
        <v>1760</v>
      </c>
      <c r="D1527" s="23" t="s">
        <v>1761</v>
      </c>
      <c r="E1527" s="24" t="s">
        <v>113</v>
      </c>
      <c r="F1527" s="28" t="n">
        <f>124</f>
        <v>124.0</v>
      </c>
      <c r="G1527" s="25" t="n">
        <f>280306</f>
        <v>280306.0</v>
      </c>
      <c r="H1527" s="25"/>
      <c r="I1527" s="25" t="n">
        <f>111490</f>
        <v>111490.0</v>
      </c>
      <c r="J1527" s="25" t="n">
        <f>2261</f>
        <v>2261.0</v>
      </c>
      <c r="K1527" s="25" t="n">
        <f>899</f>
        <v>899.0</v>
      </c>
      <c r="L1527" s="2" t="s">
        <v>555</v>
      </c>
      <c r="M1527" s="26" t="n">
        <f>11027</f>
        <v>11027.0</v>
      </c>
      <c r="N1527" s="3" t="s">
        <v>254</v>
      </c>
      <c r="O1527" s="27" t="str">
        <f>"－"</f>
        <v>－</v>
      </c>
      <c r="P1527" s="29" t="s">
        <v>2715</v>
      </c>
      <c r="Q1527" s="25"/>
      <c r="R1527" s="29" t="s">
        <v>2716</v>
      </c>
      <c r="S1527" s="25" t="n">
        <f>18301506</f>
        <v>1.8301506E7</v>
      </c>
      <c r="T1527" s="25" t="n">
        <f>18021635</f>
        <v>1.8021635E7</v>
      </c>
      <c r="U1527" s="3" t="s">
        <v>2258</v>
      </c>
      <c r="V1527" s="27" t="n">
        <f>246000000</f>
        <v>2.46E8</v>
      </c>
      <c r="W1527" s="3" t="s">
        <v>254</v>
      </c>
      <c r="X1527" s="27" t="str">
        <f>"－"</f>
        <v>－</v>
      </c>
      <c r="Y1527" s="27" t="n">
        <f>9066</f>
        <v>9066.0</v>
      </c>
      <c r="Z1527" s="25" t="n">
        <f>46900</f>
        <v>46900.0</v>
      </c>
      <c r="AA1527" s="25" t="n">
        <f>36545</f>
        <v>36545.0</v>
      </c>
      <c r="AB1527" s="2" t="s">
        <v>90</v>
      </c>
      <c r="AC1527" s="26" t="n">
        <f>120454</f>
        <v>120454.0</v>
      </c>
      <c r="AD1527" s="3" t="s">
        <v>1063</v>
      </c>
      <c r="AE1527" s="27" t="n">
        <f>30595</f>
        <v>30595.0</v>
      </c>
    </row>
    <row r="1528">
      <c r="A1528" s="20" t="s">
        <v>2507</v>
      </c>
      <c r="B1528" s="21" t="s">
        <v>2508</v>
      </c>
      <c r="C1528" s="22" t="s">
        <v>1764</v>
      </c>
      <c r="D1528" s="23" t="s">
        <v>1765</v>
      </c>
      <c r="E1528" s="24" t="s">
        <v>113</v>
      </c>
      <c r="F1528" s="28" t="n">
        <f>124</f>
        <v>124.0</v>
      </c>
      <c r="G1528" s="25" t="n">
        <f>368899</f>
        <v>368899.0</v>
      </c>
      <c r="H1528" s="25"/>
      <c r="I1528" s="25" t="n">
        <f>110897</f>
        <v>110897.0</v>
      </c>
      <c r="J1528" s="25" t="n">
        <f>2975</f>
        <v>2975.0</v>
      </c>
      <c r="K1528" s="25" t="n">
        <f>894</f>
        <v>894.0</v>
      </c>
      <c r="L1528" s="2" t="s">
        <v>1610</v>
      </c>
      <c r="M1528" s="26" t="n">
        <f>16000</f>
        <v>16000.0</v>
      </c>
      <c r="N1528" s="3" t="s">
        <v>331</v>
      </c>
      <c r="O1528" s="27" t="str">
        <f>"－"</f>
        <v>－</v>
      </c>
      <c r="P1528" s="29" t="s">
        <v>2717</v>
      </c>
      <c r="Q1528" s="25"/>
      <c r="R1528" s="29" t="s">
        <v>2718</v>
      </c>
      <c r="S1528" s="25" t="n">
        <f>38583139</f>
        <v>3.8583139E7</v>
      </c>
      <c r="T1528" s="25" t="n">
        <f>37978436</f>
        <v>3.7978436E7</v>
      </c>
      <c r="U1528" s="3" t="s">
        <v>838</v>
      </c>
      <c r="V1528" s="27" t="n">
        <f>620632600</f>
        <v>6.206326E8</v>
      </c>
      <c r="W1528" s="3" t="s">
        <v>331</v>
      </c>
      <c r="X1528" s="27" t="str">
        <f>"－"</f>
        <v>－</v>
      </c>
      <c r="Y1528" s="27" t="n">
        <f>30639</f>
        <v>30639.0</v>
      </c>
      <c r="Z1528" s="25" t="n">
        <f>65400</f>
        <v>65400.0</v>
      </c>
      <c r="AA1528" s="25" t="n">
        <f>41364</f>
        <v>41364.0</v>
      </c>
      <c r="AB1528" s="2" t="s">
        <v>1041</v>
      </c>
      <c r="AC1528" s="26" t="n">
        <f>66302</f>
        <v>66302.0</v>
      </c>
      <c r="AD1528" s="3" t="s">
        <v>288</v>
      </c>
      <c r="AE1528" s="27" t="n">
        <f>34806</f>
        <v>34806.0</v>
      </c>
    </row>
    <row r="1529">
      <c r="A1529" s="20" t="s">
        <v>2507</v>
      </c>
      <c r="B1529" s="21" t="s">
        <v>2508</v>
      </c>
      <c r="C1529" s="22" t="s">
        <v>1768</v>
      </c>
      <c r="D1529" s="23" t="s">
        <v>1769</v>
      </c>
      <c r="E1529" s="24" t="s">
        <v>113</v>
      </c>
      <c r="F1529" s="28" t="n">
        <f>124</f>
        <v>124.0</v>
      </c>
      <c r="G1529" s="25" t="n">
        <f>649205</f>
        <v>649205.0</v>
      </c>
      <c r="H1529" s="25"/>
      <c r="I1529" s="25" t="n">
        <f>222387</f>
        <v>222387.0</v>
      </c>
      <c r="J1529" s="25" t="n">
        <f>5236</f>
        <v>5236.0</v>
      </c>
      <c r="K1529" s="25" t="n">
        <f>1793</f>
        <v>1793.0</v>
      </c>
      <c r="L1529" s="2" t="s">
        <v>1445</v>
      </c>
      <c r="M1529" s="26" t="n">
        <f>21910</f>
        <v>21910.0</v>
      </c>
      <c r="N1529" s="3" t="s">
        <v>82</v>
      </c>
      <c r="O1529" s="27" t="str">
        <f>"－"</f>
        <v>－</v>
      </c>
      <c r="P1529" s="29" t="s">
        <v>2719</v>
      </c>
      <c r="Q1529" s="25"/>
      <c r="R1529" s="29" t="s">
        <v>2720</v>
      </c>
      <c r="S1529" s="25" t="n">
        <f>56884645</f>
        <v>5.6884645E7</v>
      </c>
      <c r="T1529" s="25" t="n">
        <f>56000071</f>
        <v>5.6000071E7</v>
      </c>
      <c r="U1529" s="3" t="s">
        <v>838</v>
      </c>
      <c r="V1529" s="27" t="n">
        <f>651283700</f>
        <v>6.512837E8</v>
      </c>
      <c r="W1529" s="3" t="s">
        <v>82</v>
      </c>
      <c r="X1529" s="27" t="str">
        <f>"－"</f>
        <v>－</v>
      </c>
      <c r="Y1529" s="27" t="n">
        <f>39705</f>
        <v>39705.0</v>
      </c>
      <c r="Z1529" s="25" t="n">
        <f>112300</f>
        <v>112300.0</v>
      </c>
      <c r="AA1529" s="25" t="n">
        <f>77909</f>
        <v>77909.0</v>
      </c>
      <c r="AB1529" s="2" t="s">
        <v>295</v>
      </c>
      <c r="AC1529" s="26" t="n">
        <f>180906</f>
        <v>180906.0</v>
      </c>
      <c r="AD1529" s="3" t="s">
        <v>1063</v>
      </c>
      <c r="AE1529" s="27" t="n">
        <f>65636</f>
        <v>65636.0</v>
      </c>
    </row>
    <row r="1530">
      <c r="A1530" s="20" t="s">
        <v>2507</v>
      </c>
      <c r="B1530" s="21" t="s">
        <v>2508</v>
      </c>
      <c r="C1530" s="22" t="s">
        <v>1760</v>
      </c>
      <c r="D1530" s="23" t="s">
        <v>1761</v>
      </c>
      <c r="E1530" s="24" t="s">
        <v>119</v>
      </c>
      <c r="F1530" s="28" t="n">
        <f>119</f>
        <v>119.0</v>
      </c>
      <c r="G1530" s="25" t="n">
        <f>148362</f>
        <v>148362.0</v>
      </c>
      <c r="H1530" s="25"/>
      <c r="I1530" s="25" t="n">
        <f>18781</f>
        <v>18781.0</v>
      </c>
      <c r="J1530" s="25" t="n">
        <f>1247</f>
        <v>1247.0</v>
      </c>
      <c r="K1530" s="25" t="n">
        <f>158</f>
        <v>158.0</v>
      </c>
      <c r="L1530" s="2" t="s">
        <v>1531</v>
      </c>
      <c r="M1530" s="26" t="n">
        <f>9472</f>
        <v>9472.0</v>
      </c>
      <c r="N1530" s="3" t="s">
        <v>358</v>
      </c>
      <c r="O1530" s="27" t="str">
        <f>"－"</f>
        <v>－</v>
      </c>
      <c r="P1530" s="29" t="s">
        <v>2721</v>
      </c>
      <c r="Q1530" s="25"/>
      <c r="R1530" s="29" t="s">
        <v>2722</v>
      </c>
      <c r="S1530" s="25" t="n">
        <f>10666066</f>
        <v>1.0666066E7</v>
      </c>
      <c r="T1530" s="25" t="n">
        <f>10250972</f>
        <v>1.0250972E7</v>
      </c>
      <c r="U1530" s="3" t="s">
        <v>1531</v>
      </c>
      <c r="V1530" s="27" t="n">
        <f>36361290</f>
        <v>3.636129E7</v>
      </c>
      <c r="W1530" s="3" t="s">
        <v>358</v>
      </c>
      <c r="X1530" s="27" t="str">
        <f>"－"</f>
        <v>－</v>
      </c>
      <c r="Y1530" s="27" t="n">
        <f>17610</f>
        <v>17610.0</v>
      </c>
      <c r="Z1530" s="25" t="str">
        <f>"－"</f>
        <v>－</v>
      </c>
      <c r="AA1530" s="25" t="n">
        <f>20828</f>
        <v>20828.0</v>
      </c>
      <c r="AB1530" s="2" t="s">
        <v>111</v>
      </c>
      <c r="AC1530" s="26" t="n">
        <f>35423</f>
        <v>35423.0</v>
      </c>
      <c r="AD1530" s="3" t="s">
        <v>315</v>
      </c>
      <c r="AE1530" s="27" t="n">
        <f>20758</f>
        <v>20758.0</v>
      </c>
    </row>
    <row r="1531">
      <c r="A1531" s="20" t="s">
        <v>2507</v>
      </c>
      <c r="B1531" s="21" t="s">
        <v>2508</v>
      </c>
      <c r="C1531" s="22" t="s">
        <v>1764</v>
      </c>
      <c r="D1531" s="23" t="s">
        <v>1765</v>
      </c>
      <c r="E1531" s="24" t="s">
        <v>119</v>
      </c>
      <c r="F1531" s="28" t="n">
        <f>119</f>
        <v>119.0</v>
      </c>
      <c r="G1531" s="25" t="n">
        <f>496824</f>
        <v>496824.0</v>
      </c>
      <c r="H1531" s="25"/>
      <c r="I1531" s="25" t="n">
        <f>50407</f>
        <v>50407.0</v>
      </c>
      <c r="J1531" s="25" t="n">
        <f>4175</f>
        <v>4175.0</v>
      </c>
      <c r="K1531" s="25" t="n">
        <f>424</f>
        <v>424.0</v>
      </c>
      <c r="L1531" s="2" t="s">
        <v>307</v>
      </c>
      <c r="M1531" s="26" t="n">
        <f>21760</f>
        <v>21760.0</v>
      </c>
      <c r="N1531" s="3" t="s">
        <v>168</v>
      </c>
      <c r="O1531" s="27" t="str">
        <f>"－"</f>
        <v>－</v>
      </c>
      <c r="P1531" s="29" t="s">
        <v>2723</v>
      </c>
      <c r="Q1531" s="25"/>
      <c r="R1531" s="29" t="s">
        <v>2724</v>
      </c>
      <c r="S1531" s="25" t="n">
        <f>13292716</f>
        <v>1.3292716E7</v>
      </c>
      <c r="T1531" s="25" t="n">
        <f>11622953</f>
        <v>1.1622953E7</v>
      </c>
      <c r="U1531" s="3" t="s">
        <v>307</v>
      </c>
      <c r="V1531" s="27" t="n">
        <f>57976700</f>
        <v>5.79767E7</v>
      </c>
      <c r="W1531" s="3" t="s">
        <v>168</v>
      </c>
      <c r="X1531" s="27" t="str">
        <f>"－"</f>
        <v>－</v>
      </c>
      <c r="Y1531" s="27" t="n">
        <f>32360</f>
        <v>32360.0</v>
      </c>
      <c r="Z1531" s="25" t="n">
        <f>100</f>
        <v>100.0</v>
      </c>
      <c r="AA1531" s="25" t="n">
        <f>39038</f>
        <v>39038.0</v>
      </c>
      <c r="AB1531" s="2" t="s">
        <v>307</v>
      </c>
      <c r="AC1531" s="26" t="n">
        <f>61704</f>
        <v>61704.0</v>
      </c>
      <c r="AD1531" s="3" t="s">
        <v>565</v>
      </c>
      <c r="AE1531" s="27" t="n">
        <f>25866</f>
        <v>25866.0</v>
      </c>
    </row>
    <row r="1532">
      <c r="A1532" s="20" t="s">
        <v>2507</v>
      </c>
      <c r="B1532" s="21" t="s">
        <v>2508</v>
      </c>
      <c r="C1532" s="22" t="s">
        <v>1768</v>
      </c>
      <c r="D1532" s="23" t="s">
        <v>1769</v>
      </c>
      <c r="E1532" s="24" t="s">
        <v>119</v>
      </c>
      <c r="F1532" s="28" t="n">
        <f>119</f>
        <v>119.0</v>
      </c>
      <c r="G1532" s="25" t="n">
        <f>645186</f>
        <v>645186.0</v>
      </c>
      <c r="H1532" s="25"/>
      <c r="I1532" s="25" t="n">
        <f>69188</f>
        <v>69188.0</v>
      </c>
      <c r="J1532" s="25" t="n">
        <f>5422</f>
        <v>5422.0</v>
      </c>
      <c r="K1532" s="25" t="n">
        <f>581</f>
        <v>581.0</v>
      </c>
      <c r="L1532" s="2" t="s">
        <v>307</v>
      </c>
      <c r="M1532" s="26" t="n">
        <f>21890</f>
        <v>21890.0</v>
      </c>
      <c r="N1532" s="3" t="s">
        <v>1292</v>
      </c>
      <c r="O1532" s="27" t="n">
        <f>1</f>
        <v>1.0</v>
      </c>
      <c r="P1532" s="29" t="s">
        <v>2725</v>
      </c>
      <c r="Q1532" s="25"/>
      <c r="R1532" s="29" t="s">
        <v>2726</v>
      </c>
      <c r="S1532" s="25" t="n">
        <f>23958783</f>
        <v>2.3958783E7</v>
      </c>
      <c r="T1532" s="25" t="n">
        <f>21873925</f>
        <v>2.1873925E7</v>
      </c>
      <c r="U1532" s="3" t="s">
        <v>1531</v>
      </c>
      <c r="V1532" s="27" t="n">
        <f>91851600</f>
        <v>9.18516E7</v>
      </c>
      <c r="W1532" s="3" t="s">
        <v>1292</v>
      </c>
      <c r="X1532" s="27" t="n">
        <f>610</f>
        <v>610.0</v>
      </c>
      <c r="Y1532" s="27" t="n">
        <f>49970</f>
        <v>49970.0</v>
      </c>
      <c r="Z1532" s="25" t="n">
        <f>100</f>
        <v>100.0</v>
      </c>
      <c r="AA1532" s="25" t="n">
        <f>59866</f>
        <v>59866.0</v>
      </c>
      <c r="AB1532" s="2" t="s">
        <v>307</v>
      </c>
      <c r="AC1532" s="26" t="n">
        <f>91807</f>
        <v>91807.0</v>
      </c>
      <c r="AD1532" s="3" t="s">
        <v>112</v>
      </c>
      <c r="AE1532" s="27" t="n">
        <f>51668</f>
        <v>51668.0</v>
      </c>
    </row>
    <row r="1533">
      <c r="A1533" s="20" t="s">
        <v>2507</v>
      </c>
      <c r="B1533" s="21" t="s">
        <v>2508</v>
      </c>
      <c r="C1533" s="22" t="s">
        <v>1760</v>
      </c>
      <c r="D1533" s="23" t="s">
        <v>1761</v>
      </c>
      <c r="E1533" s="24" t="s">
        <v>124</v>
      </c>
      <c r="F1533" s="28" t="n">
        <f>124</f>
        <v>124.0</v>
      </c>
      <c r="G1533" s="25" t="n">
        <f>195717</f>
        <v>195717.0</v>
      </c>
      <c r="H1533" s="25"/>
      <c r="I1533" s="25" t="n">
        <f>10558</f>
        <v>10558.0</v>
      </c>
      <c r="J1533" s="25" t="n">
        <f>1578</f>
        <v>1578.0</v>
      </c>
      <c r="K1533" s="25" t="n">
        <f>85</f>
        <v>85.0</v>
      </c>
      <c r="L1533" s="2" t="s">
        <v>1011</v>
      </c>
      <c r="M1533" s="26" t="n">
        <f>14070</f>
        <v>14070.0</v>
      </c>
      <c r="N1533" s="3" t="s">
        <v>215</v>
      </c>
      <c r="O1533" s="27" t="str">
        <f>"－"</f>
        <v>－</v>
      </c>
      <c r="P1533" s="29" t="s">
        <v>2727</v>
      </c>
      <c r="Q1533" s="25"/>
      <c r="R1533" s="29" t="s">
        <v>2728</v>
      </c>
      <c r="S1533" s="25" t="n">
        <f>4985803</f>
        <v>4985803.0</v>
      </c>
      <c r="T1533" s="25" t="n">
        <f>4610628</f>
        <v>4610628.0</v>
      </c>
      <c r="U1533" s="3" t="s">
        <v>854</v>
      </c>
      <c r="V1533" s="27" t="n">
        <f>36495940</f>
        <v>3.649594E7</v>
      </c>
      <c r="W1533" s="3" t="s">
        <v>215</v>
      </c>
      <c r="X1533" s="27" t="str">
        <f>"－"</f>
        <v>－</v>
      </c>
      <c r="Y1533" s="27" t="n">
        <f>11283</f>
        <v>11283.0</v>
      </c>
      <c r="Z1533" s="25" t="str">
        <f>"－"</f>
        <v>－</v>
      </c>
      <c r="AA1533" s="25" t="n">
        <f>30536</f>
        <v>30536.0</v>
      </c>
      <c r="AB1533" s="2" t="s">
        <v>81</v>
      </c>
      <c r="AC1533" s="26" t="n">
        <f>52021</f>
        <v>52021.0</v>
      </c>
      <c r="AD1533" s="3" t="s">
        <v>67</v>
      </c>
      <c r="AE1533" s="27" t="n">
        <f>14551</f>
        <v>14551.0</v>
      </c>
    </row>
    <row r="1534">
      <c r="A1534" s="20" t="s">
        <v>2507</v>
      </c>
      <c r="B1534" s="21" t="s">
        <v>2508</v>
      </c>
      <c r="C1534" s="22" t="s">
        <v>1764</v>
      </c>
      <c r="D1534" s="23" t="s">
        <v>1765</v>
      </c>
      <c r="E1534" s="24" t="s">
        <v>124</v>
      </c>
      <c r="F1534" s="28" t="n">
        <f>124</f>
        <v>124.0</v>
      </c>
      <c r="G1534" s="25" t="n">
        <f>506709</f>
        <v>506709.0</v>
      </c>
      <c r="H1534" s="25"/>
      <c r="I1534" s="25" t="n">
        <f>10244</f>
        <v>10244.0</v>
      </c>
      <c r="J1534" s="25" t="n">
        <f>4086</f>
        <v>4086.0</v>
      </c>
      <c r="K1534" s="25" t="n">
        <f>83</f>
        <v>83.0</v>
      </c>
      <c r="L1534" s="2" t="s">
        <v>49</v>
      </c>
      <c r="M1534" s="26" t="n">
        <f>26063</f>
        <v>26063.0</v>
      </c>
      <c r="N1534" s="3" t="s">
        <v>891</v>
      </c>
      <c r="O1534" s="27" t="str">
        <f>"－"</f>
        <v>－</v>
      </c>
      <c r="P1534" s="29" t="s">
        <v>2729</v>
      </c>
      <c r="Q1534" s="25"/>
      <c r="R1534" s="29" t="s">
        <v>2730</v>
      </c>
      <c r="S1534" s="25" t="n">
        <f>5232019</f>
        <v>5232019.0</v>
      </c>
      <c r="T1534" s="25" t="n">
        <f>2926412</f>
        <v>2926412.0</v>
      </c>
      <c r="U1534" s="3" t="s">
        <v>49</v>
      </c>
      <c r="V1534" s="27" t="n">
        <f>50198000</f>
        <v>5.0198E7</v>
      </c>
      <c r="W1534" s="3" t="s">
        <v>891</v>
      </c>
      <c r="X1534" s="27" t="str">
        <f>"－"</f>
        <v>－</v>
      </c>
      <c r="Y1534" s="27" t="n">
        <f>96861</f>
        <v>96861.0</v>
      </c>
      <c r="Z1534" s="25" t="str">
        <f>"－"</f>
        <v>－</v>
      </c>
      <c r="AA1534" s="25" t="n">
        <f>28487</f>
        <v>28487.0</v>
      </c>
      <c r="AB1534" s="2" t="s">
        <v>302</v>
      </c>
      <c r="AC1534" s="26" t="n">
        <f>65648</f>
        <v>65648.0</v>
      </c>
      <c r="AD1534" s="3" t="s">
        <v>67</v>
      </c>
      <c r="AE1534" s="27" t="n">
        <f>20474</f>
        <v>20474.0</v>
      </c>
    </row>
    <row r="1535">
      <c r="A1535" s="20" t="s">
        <v>2507</v>
      </c>
      <c r="B1535" s="21" t="s">
        <v>2508</v>
      </c>
      <c r="C1535" s="22" t="s">
        <v>1768</v>
      </c>
      <c r="D1535" s="23" t="s">
        <v>1769</v>
      </c>
      <c r="E1535" s="24" t="s">
        <v>124</v>
      </c>
      <c r="F1535" s="28" t="n">
        <f>124</f>
        <v>124.0</v>
      </c>
      <c r="G1535" s="25" t="n">
        <f>702426</f>
        <v>702426.0</v>
      </c>
      <c r="H1535" s="25"/>
      <c r="I1535" s="25" t="n">
        <f>20802</f>
        <v>20802.0</v>
      </c>
      <c r="J1535" s="25" t="n">
        <f>5665</f>
        <v>5665.0</v>
      </c>
      <c r="K1535" s="25" t="n">
        <f>168</f>
        <v>168.0</v>
      </c>
      <c r="L1535" s="2" t="s">
        <v>1011</v>
      </c>
      <c r="M1535" s="26" t="n">
        <f>34076</f>
        <v>34076.0</v>
      </c>
      <c r="N1535" s="3" t="s">
        <v>846</v>
      </c>
      <c r="O1535" s="27" t="str">
        <f>"－"</f>
        <v>－</v>
      </c>
      <c r="P1535" s="29" t="s">
        <v>2731</v>
      </c>
      <c r="Q1535" s="25"/>
      <c r="R1535" s="29" t="s">
        <v>2732</v>
      </c>
      <c r="S1535" s="25" t="n">
        <f>10217822</f>
        <v>1.0217822E7</v>
      </c>
      <c r="T1535" s="25" t="n">
        <f>7537040</f>
        <v>7537040.0</v>
      </c>
      <c r="U1535" s="3" t="s">
        <v>854</v>
      </c>
      <c r="V1535" s="27" t="n">
        <f>66279340</f>
        <v>6.627934E7</v>
      </c>
      <c r="W1535" s="3" t="s">
        <v>846</v>
      </c>
      <c r="X1535" s="27" t="str">
        <f>"－"</f>
        <v>－</v>
      </c>
      <c r="Y1535" s="27" t="n">
        <f>108144</f>
        <v>108144.0</v>
      </c>
      <c r="Z1535" s="25" t="str">
        <f>"－"</f>
        <v>－</v>
      </c>
      <c r="AA1535" s="25" t="n">
        <f>59023</f>
        <v>59023.0</v>
      </c>
      <c r="AB1535" s="2" t="s">
        <v>302</v>
      </c>
      <c r="AC1535" s="26" t="n">
        <f>117631</f>
        <v>117631.0</v>
      </c>
      <c r="AD1535" s="3" t="s">
        <v>67</v>
      </c>
      <c r="AE1535" s="27" t="n">
        <f>35025</f>
        <v>35025.0</v>
      </c>
    </row>
    <row r="1536">
      <c r="A1536" s="20" t="s">
        <v>2507</v>
      </c>
      <c r="B1536" s="21" t="s">
        <v>2508</v>
      </c>
      <c r="C1536" s="22" t="s">
        <v>1760</v>
      </c>
      <c r="D1536" s="23" t="s">
        <v>1761</v>
      </c>
      <c r="E1536" s="24" t="s">
        <v>130</v>
      </c>
      <c r="F1536" s="28" t="n">
        <f>121</f>
        <v>121.0</v>
      </c>
      <c r="G1536" s="25" t="n">
        <f>281012</f>
        <v>281012.0</v>
      </c>
      <c r="H1536" s="25"/>
      <c r="I1536" s="25" t="n">
        <f>18745</f>
        <v>18745.0</v>
      </c>
      <c r="J1536" s="25" t="n">
        <f>2322</f>
        <v>2322.0</v>
      </c>
      <c r="K1536" s="25" t="n">
        <f>155</f>
        <v>155.0</v>
      </c>
      <c r="L1536" s="2" t="s">
        <v>1096</v>
      </c>
      <c r="M1536" s="26" t="n">
        <f>22000</f>
        <v>22000.0</v>
      </c>
      <c r="N1536" s="3" t="s">
        <v>448</v>
      </c>
      <c r="O1536" s="27" t="str">
        <f>"－"</f>
        <v>－</v>
      </c>
      <c r="P1536" s="29" t="s">
        <v>2733</v>
      </c>
      <c r="Q1536" s="25"/>
      <c r="R1536" s="29" t="s">
        <v>2734</v>
      </c>
      <c r="S1536" s="25" t="n">
        <f>5521407</f>
        <v>5521407.0</v>
      </c>
      <c r="T1536" s="25" t="n">
        <f>4588991</f>
        <v>4588991.0</v>
      </c>
      <c r="U1536" s="3" t="s">
        <v>679</v>
      </c>
      <c r="V1536" s="27" t="n">
        <f>88333950</f>
        <v>8.833395E7</v>
      </c>
      <c r="W1536" s="3" t="s">
        <v>448</v>
      </c>
      <c r="X1536" s="27" t="str">
        <f>"－"</f>
        <v>－</v>
      </c>
      <c r="Y1536" s="27" t="n">
        <f>728</f>
        <v>728.0</v>
      </c>
      <c r="Z1536" s="25" t="n">
        <f>5772</f>
        <v>5772.0</v>
      </c>
      <c r="AA1536" s="25" t="n">
        <f>17643</f>
        <v>17643.0</v>
      </c>
      <c r="AB1536" s="2" t="s">
        <v>698</v>
      </c>
      <c r="AC1536" s="26" t="n">
        <f>55425</f>
        <v>55425.0</v>
      </c>
      <c r="AD1536" s="3" t="s">
        <v>290</v>
      </c>
      <c r="AE1536" s="27" t="n">
        <f>8703</f>
        <v>8703.0</v>
      </c>
    </row>
    <row r="1537">
      <c r="A1537" s="20" t="s">
        <v>2507</v>
      </c>
      <c r="B1537" s="21" t="s">
        <v>2508</v>
      </c>
      <c r="C1537" s="22" t="s">
        <v>1764</v>
      </c>
      <c r="D1537" s="23" t="s">
        <v>1765</v>
      </c>
      <c r="E1537" s="24" t="s">
        <v>130</v>
      </c>
      <c r="F1537" s="28" t="n">
        <f>121</f>
        <v>121.0</v>
      </c>
      <c r="G1537" s="25" t="n">
        <f>772619</f>
        <v>772619.0</v>
      </c>
      <c r="H1537" s="25"/>
      <c r="I1537" s="25" t="n">
        <f>12324</f>
        <v>12324.0</v>
      </c>
      <c r="J1537" s="25" t="n">
        <f>6385</f>
        <v>6385.0</v>
      </c>
      <c r="K1537" s="25" t="n">
        <f>102</f>
        <v>102.0</v>
      </c>
      <c r="L1537" s="2" t="s">
        <v>217</v>
      </c>
      <c r="M1537" s="26" t="n">
        <f>35000</f>
        <v>35000.0</v>
      </c>
      <c r="N1537" s="3" t="s">
        <v>120</v>
      </c>
      <c r="O1537" s="27" t="str">
        <f>"－"</f>
        <v>－</v>
      </c>
      <c r="P1537" s="29" t="s">
        <v>2735</v>
      </c>
      <c r="Q1537" s="25"/>
      <c r="R1537" s="29" t="s">
        <v>2736</v>
      </c>
      <c r="S1537" s="25" t="n">
        <f>4888949</f>
        <v>4888949.0</v>
      </c>
      <c r="T1537" s="25" t="n">
        <f>1672087</f>
        <v>1672087.0</v>
      </c>
      <c r="U1537" s="3" t="s">
        <v>679</v>
      </c>
      <c r="V1537" s="27" t="n">
        <f>162515800</f>
        <v>1.625158E8</v>
      </c>
      <c r="W1537" s="3" t="s">
        <v>120</v>
      </c>
      <c r="X1537" s="27" t="str">
        <f>"－"</f>
        <v>－</v>
      </c>
      <c r="Y1537" s="27" t="n">
        <f>55319</f>
        <v>55319.0</v>
      </c>
      <c r="Z1537" s="25" t="n">
        <f>11541</f>
        <v>11541.0</v>
      </c>
      <c r="AA1537" s="25" t="n">
        <f>26594</f>
        <v>26594.0</v>
      </c>
      <c r="AB1537" s="2" t="s">
        <v>448</v>
      </c>
      <c r="AC1537" s="26" t="n">
        <f>61478</f>
        <v>61478.0</v>
      </c>
      <c r="AD1537" s="3" t="s">
        <v>134</v>
      </c>
      <c r="AE1537" s="27" t="n">
        <f>17530</f>
        <v>17530.0</v>
      </c>
    </row>
    <row r="1538">
      <c r="A1538" s="20" t="s">
        <v>2507</v>
      </c>
      <c r="B1538" s="21" t="s">
        <v>2508</v>
      </c>
      <c r="C1538" s="22" t="s">
        <v>1768</v>
      </c>
      <c r="D1538" s="23" t="s">
        <v>1769</v>
      </c>
      <c r="E1538" s="24" t="s">
        <v>130</v>
      </c>
      <c r="F1538" s="28" t="n">
        <f>121</f>
        <v>121.0</v>
      </c>
      <c r="G1538" s="25" t="n">
        <f>1053631</f>
        <v>1053631.0</v>
      </c>
      <c r="H1538" s="25"/>
      <c r="I1538" s="25" t="n">
        <f>31069</f>
        <v>31069.0</v>
      </c>
      <c r="J1538" s="25" t="n">
        <f>8708</f>
        <v>8708.0</v>
      </c>
      <c r="K1538" s="25" t="n">
        <f>257</f>
        <v>257.0</v>
      </c>
      <c r="L1538" s="2" t="s">
        <v>1096</v>
      </c>
      <c r="M1538" s="26" t="n">
        <f>52000</f>
        <v>52000.0</v>
      </c>
      <c r="N1538" s="3" t="s">
        <v>282</v>
      </c>
      <c r="O1538" s="27" t="str">
        <f>"－"</f>
        <v>－</v>
      </c>
      <c r="P1538" s="29" t="s">
        <v>2737</v>
      </c>
      <c r="Q1538" s="25"/>
      <c r="R1538" s="29" t="s">
        <v>2738</v>
      </c>
      <c r="S1538" s="25" t="n">
        <f>10410356</f>
        <v>1.0410356E7</v>
      </c>
      <c r="T1538" s="25" t="n">
        <f>6261078</f>
        <v>6261078.0</v>
      </c>
      <c r="U1538" s="3" t="s">
        <v>679</v>
      </c>
      <c r="V1538" s="27" t="n">
        <f>250849750</f>
        <v>2.5084975E8</v>
      </c>
      <c r="W1538" s="3" t="s">
        <v>282</v>
      </c>
      <c r="X1538" s="27" t="str">
        <f>"－"</f>
        <v>－</v>
      </c>
      <c r="Y1538" s="27" t="n">
        <f>56047</f>
        <v>56047.0</v>
      </c>
      <c r="Z1538" s="25" t="n">
        <f>17313</f>
        <v>17313.0</v>
      </c>
      <c r="AA1538" s="25" t="n">
        <f>44237</f>
        <v>44237.0</v>
      </c>
      <c r="AB1538" s="2" t="s">
        <v>698</v>
      </c>
      <c r="AC1538" s="26" t="n">
        <f>113904</f>
        <v>113904.0</v>
      </c>
      <c r="AD1538" s="3" t="s">
        <v>134</v>
      </c>
      <c r="AE1538" s="27" t="n">
        <f>27913</f>
        <v>27913.0</v>
      </c>
    </row>
    <row r="1539">
      <c r="A1539" s="20" t="s">
        <v>2507</v>
      </c>
      <c r="B1539" s="21" t="s">
        <v>2508</v>
      </c>
      <c r="C1539" s="22" t="s">
        <v>1760</v>
      </c>
      <c r="D1539" s="23" t="s">
        <v>1761</v>
      </c>
      <c r="E1539" s="24" t="s">
        <v>136</v>
      </c>
      <c r="F1539" s="28" t="n">
        <f>124</f>
        <v>124.0</v>
      </c>
      <c r="G1539" s="25" t="n">
        <f>274087</f>
        <v>274087.0</v>
      </c>
      <c r="H1539" s="25"/>
      <c r="I1539" s="25" t="n">
        <f>18351</f>
        <v>18351.0</v>
      </c>
      <c r="J1539" s="25" t="n">
        <f>2210</f>
        <v>2210.0</v>
      </c>
      <c r="K1539" s="25" t="n">
        <f>148</f>
        <v>148.0</v>
      </c>
      <c r="L1539" s="2" t="s">
        <v>1388</v>
      </c>
      <c r="M1539" s="26" t="n">
        <f>20300</f>
        <v>20300.0</v>
      </c>
      <c r="N1539" s="3" t="s">
        <v>215</v>
      </c>
      <c r="O1539" s="27" t="str">
        <f>"－"</f>
        <v>－</v>
      </c>
      <c r="P1539" s="29" t="s">
        <v>2739</v>
      </c>
      <c r="Q1539" s="25"/>
      <c r="R1539" s="29" t="s">
        <v>2740</v>
      </c>
      <c r="S1539" s="25" t="n">
        <f>4821573</f>
        <v>4821573.0</v>
      </c>
      <c r="T1539" s="25" t="n">
        <f>4378524</f>
        <v>4378524.0</v>
      </c>
      <c r="U1539" s="3" t="s">
        <v>761</v>
      </c>
      <c r="V1539" s="27" t="n">
        <f>71228020</f>
        <v>7.122802E7</v>
      </c>
      <c r="W1539" s="3" t="s">
        <v>215</v>
      </c>
      <c r="X1539" s="27" t="str">
        <f>"－"</f>
        <v>－</v>
      </c>
      <c r="Y1539" s="27" t="n">
        <f>18902</f>
        <v>18902.0</v>
      </c>
      <c r="Z1539" s="25" t="str">
        <f>"－"</f>
        <v>－</v>
      </c>
      <c r="AA1539" s="25" t="n">
        <f>5222</f>
        <v>5222.0</v>
      </c>
      <c r="AB1539" s="2" t="s">
        <v>1136</v>
      </c>
      <c r="AC1539" s="26" t="n">
        <f>31911</f>
        <v>31911.0</v>
      </c>
      <c r="AD1539" s="3" t="s">
        <v>49</v>
      </c>
      <c r="AE1539" s="27" t="n">
        <f>1496</f>
        <v>1496.0</v>
      </c>
    </row>
    <row r="1540">
      <c r="A1540" s="20" t="s">
        <v>2507</v>
      </c>
      <c r="B1540" s="21" t="s">
        <v>2508</v>
      </c>
      <c r="C1540" s="22" t="s">
        <v>1764</v>
      </c>
      <c r="D1540" s="23" t="s">
        <v>1765</v>
      </c>
      <c r="E1540" s="24" t="s">
        <v>136</v>
      </c>
      <c r="F1540" s="28" t="n">
        <f>124</f>
        <v>124.0</v>
      </c>
      <c r="G1540" s="25" t="n">
        <f>705227</f>
        <v>705227.0</v>
      </c>
      <c r="H1540" s="25"/>
      <c r="I1540" s="25" t="n">
        <f>5693</f>
        <v>5693.0</v>
      </c>
      <c r="J1540" s="25" t="n">
        <f>5687</f>
        <v>5687.0</v>
      </c>
      <c r="K1540" s="25" t="n">
        <f>46</f>
        <v>46.0</v>
      </c>
      <c r="L1540" s="2" t="s">
        <v>1408</v>
      </c>
      <c r="M1540" s="26" t="n">
        <f>42000</f>
        <v>42000.0</v>
      </c>
      <c r="N1540" s="3" t="s">
        <v>854</v>
      </c>
      <c r="O1540" s="27" t="str">
        <f>"－"</f>
        <v>－</v>
      </c>
      <c r="P1540" s="29" t="s">
        <v>2741</v>
      </c>
      <c r="Q1540" s="25"/>
      <c r="R1540" s="29" t="s">
        <v>2742</v>
      </c>
      <c r="S1540" s="25" t="n">
        <f>2494759</f>
        <v>2494759.0</v>
      </c>
      <c r="T1540" s="25" t="n">
        <f>512415</f>
        <v>512415.0</v>
      </c>
      <c r="U1540" s="3" t="s">
        <v>175</v>
      </c>
      <c r="V1540" s="27" t="n">
        <f>17215090</f>
        <v>1.721509E7</v>
      </c>
      <c r="W1540" s="3" t="s">
        <v>854</v>
      </c>
      <c r="X1540" s="27" t="str">
        <f>"－"</f>
        <v>－</v>
      </c>
      <c r="Y1540" s="27" t="n">
        <f>24264</f>
        <v>24264.0</v>
      </c>
      <c r="Z1540" s="25" t="str">
        <f>"－"</f>
        <v>－</v>
      </c>
      <c r="AA1540" s="25" t="n">
        <f>22789</f>
        <v>22789.0</v>
      </c>
      <c r="AB1540" s="2" t="s">
        <v>1097</v>
      </c>
      <c r="AC1540" s="26" t="n">
        <f>52805</f>
        <v>52805.0</v>
      </c>
      <c r="AD1540" s="3" t="s">
        <v>879</v>
      </c>
      <c r="AE1540" s="27" t="n">
        <f>14330</f>
        <v>14330.0</v>
      </c>
    </row>
    <row r="1541">
      <c r="A1541" s="20" t="s">
        <v>2507</v>
      </c>
      <c r="B1541" s="21" t="s">
        <v>2508</v>
      </c>
      <c r="C1541" s="22" t="s">
        <v>1768</v>
      </c>
      <c r="D1541" s="23" t="s">
        <v>1769</v>
      </c>
      <c r="E1541" s="24" t="s">
        <v>136</v>
      </c>
      <c r="F1541" s="28" t="n">
        <f>124</f>
        <v>124.0</v>
      </c>
      <c r="G1541" s="25" t="n">
        <f>979314</f>
        <v>979314.0</v>
      </c>
      <c r="H1541" s="25"/>
      <c r="I1541" s="25" t="n">
        <f>24044</f>
        <v>24044.0</v>
      </c>
      <c r="J1541" s="25" t="n">
        <f>7898</f>
        <v>7898.0</v>
      </c>
      <c r="K1541" s="25" t="n">
        <f>194</f>
        <v>194.0</v>
      </c>
      <c r="L1541" s="2" t="s">
        <v>1408</v>
      </c>
      <c r="M1541" s="26" t="n">
        <f>62171</f>
        <v>62171.0</v>
      </c>
      <c r="N1541" s="3" t="s">
        <v>393</v>
      </c>
      <c r="O1541" s="27" t="str">
        <f>"－"</f>
        <v>－</v>
      </c>
      <c r="P1541" s="29" t="s">
        <v>2743</v>
      </c>
      <c r="Q1541" s="25"/>
      <c r="R1541" s="29" t="s">
        <v>2744</v>
      </c>
      <c r="S1541" s="25" t="n">
        <f>7316332</f>
        <v>7316332.0</v>
      </c>
      <c r="T1541" s="25" t="n">
        <f>4890940</f>
        <v>4890940.0</v>
      </c>
      <c r="U1541" s="3" t="s">
        <v>761</v>
      </c>
      <c r="V1541" s="27" t="n">
        <f>79692020</f>
        <v>7.969202E7</v>
      </c>
      <c r="W1541" s="3" t="s">
        <v>393</v>
      </c>
      <c r="X1541" s="27" t="str">
        <f>"－"</f>
        <v>－</v>
      </c>
      <c r="Y1541" s="27" t="n">
        <f>43166</f>
        <v>43166.0</v>
      </c>
      <c r="Z1541" s="25" t="str">
        <f>"－"</f>
        <v>－</v>
      </c>
      <c r="AA1541" s="25" t="n">
        <f>28011</f>
        <v>28011.0</v>
      </c>
      <c r="AB1541" s="2" t="s">
        <v>1136</v>
      </c>
      <c r="AC1541" s="26" t="n">
        <f>84662</f>
        <v>84662.0</v>
      </c>
      <c r="AD1541" s="3" t="s">
        <v>106</v>
      </c>
      <c r="AE1541" s="27" t="n">
        <f>22065</f>
        <v>22065.0</v>
      </c>
    </row>
    <row r="1542">
      <c r="A1542" s="20" t="s">
        <v>2507</v>
      </c>
      <c r="B1542" s="21" t="s">
        <v>2508</v>
      </c>
      <c r="C1542" s="22" t="s">
        <v>1760</v>
      </c>
      <c r="D1542" s="23" t="s">
        <v>1761</v>
      </c>
      <c r="E1542" s="24" t="s">
        <v>142</v>
      </c>
      <c r="F1542" s="28" t="n">
        <f>120</f>
        <v>120.0</v>
      </c>
      <c r="G1542" s="25" t="n">
        <f>375048</f>
        <v>375048.0</v>
      </c>
      <c r="H1542" s="25"/>
      <c r="I1542" s="25" t="n">
        <f>34131</f>
        <v>34131.0</v>
      </c>
      <c r="J1542" s="25" t="n">
        <f>3125</f>
        <v>3125.0</v>
      </c>
      <c r="K1542" s="25" t="n">
        <f>284</f>
        <v>284.0</v>
      </c>
      <c r="L1542" s="2" t="s">
        <v>855</v>
      </c>
      <c r="M1542" s="26" t="n">
        <f>20016</f>
        <v>20016.0</v>
      </c>
      <c r="N1542" s="3" t="s">
        <v>156</v>
      </c>
      <c r="O1542" s="27" t="str">
        <f>"－"</f>
        <v>－</v>
      </c>
      <c r="P1542" s="29" t="s">
        <v>2745</v>
      </c>
      <c r="Q1542" s="25"/>
      <c r="R1542" s="29" t="s">
        <v>2746</v>
      </c>
      <c r="S1542" s="25" t="n">
        <f>4259848</f>
        <v>4259848.0</v>
      </c>
      <c r="T1542" s="25" t="n">
        <f>3447418</f>
        <v>3447418.0</v>
      </c>
      <c r="U1542" s="3" t="s">
        <v>56</v>
      </c>
      <c r="V1542" s="27" t="n">
        <f>50150780</f>
        <v>5.015078E7</v>
      </c>
      <c r="W1542" s="3" t="s">
        <v>156</v>
      </c>
      <c r="X1542" s="27" t="str">
        <f>"－"</f>
        <v>－</v>
      </c>
      <c r="Y1542" s="27" t="n">
        <f>8866</f>
        <v>8866.0</v>
      </c>
      <c r="Z1542" s="25" t="str">
        <f>"－"</f>
        <v>－</v>
      </c>
      <c r="AA1542" s="25" t="n">
        <f>14231</f>
        <v>14231.0</v>
      </c>
      <c r="AB1542" s="2" t="s">
        <v>366</v>
      </c>
      <c r="AC1542" s="26" t="n">
        <f>26974</f>
        <v>26974.0</v>
      </c>
      <c r="AD1542" s="3" t="s">
        <v>1179</v>
      </c>
      <c r="AE1542" s="27" t="n">
        <f>4512</f>
        <v>4512.0</v>
      </c>
    </row>
    <row r="1543">
      <c r="A1543" s="20" t="s">
        <v>2507</v>
      </c>
      <c r="B1543" s="21" t="s">
        <v>2508</v>
      </c>
      <c r="C1543" s="22" t="s">
        <v>1764</v>
      </c>
      <c r="D1543" s="23" t="s">
        <v>1765</v>
      </c>
      <c r="E1543" s="24" t="s">
        <v>142</v>
      </c>
      <c r="F1543" s="28" t="n">
        <f>120</f>
        <v>120.0</v>
      </c>
      <c r="G1543" s="25" t="n">
        <f>716340</f>
        <v>716340.0</v>
      </c>
      <c r="H1543" s="25"/>
      <c r="I1543" s="25" t="n">
        <f>4328</f>
        <v>4328.0</v>
      </c>
      <c r="J1543" s="25" t="n">
        <f>5970</f>
        <v>5970.0</v>
      </c>
      <c r="K1543" s="25" t="n">
        <f>36</f>
        <v>36.0</v>
      </c>
      <c r="L1543" s="2" t="s">
        <v>1943</v>
      </c>
      <c r="M1543" s="26" t="n">
        <f>27000</f>
        <v>27000.0</v>
      </c>
      <c r="N1543" s="3" t="s">
        <v>698</v>
      </c>
      <c r="O1543" s="27" t="str">
        <f>"－"</f>
        <v>－</v>
      </c>
      <c r="P1543" s="29" t="s">
        <v>2747</v>
      </c>
      <c r="Q1543" s="25"/>
      <c r="R1543" s="29" t="s">
        <v>2748</v>
      </c>
      <c r="S1543" s="25" t="n">
        <f>2611762</f>
        <v>2611762.0</v>
      </c>
      <c r="T1543" s="25" t="n">
        <f>652570</f>
        <v>652570.0</v>
      </c>
      <c r="U1543" s="3" t="s">
        <v>123</v>
      </c>
      <c r="V1543" s="27" t="n">
        <f>41986210</f>
        <v>4.198621E7</v>
      </c>
      <c r="W1543" s="3" t="s">
        <v>698</v>
      </c>
      <c r="X1543" s="27" t="str">
        <f>"－"</f>
        <v>－</v>
      </c>
      <c r="Y1543" s="27" t="n">
        <f>23811</f>
        <v>23811.0</v>
      </c>
      <c r="Z1543" s="25" t="str">
        <f>"－"</f>
        <v>－</v>
      </c>
      <c r="AA1543" s="25" t="n">
        <f>9298</f>
        <v>9298.0</v>
      </c>
      <c r="AB1543" s="2" t="s">
        <v>849</v>
      </c>
      <c r="AC1543" s="26" t="n">
        <f>41851</f>
        <v>41851.0</v>
      </c>
      <c r="AD1543" s="3" t="s">
        <v>400</v>
      </c>
      <c r="AE1543" s="27" t="n">
        <f>5256</f>
        <v>5256.0</v>
      </c>
    </row>
    <row r="1544">
      <c r="A1544" s="20" t="s">
        <v>2507</v>
      </c>
      <c r="B1544" s="21" t="s">
        <v>2508</v>
      </c>
      <c r="C1544" s="22" t="s">
        <v>1768</v>
      </c>
      <c r="D1544" s="23" t="s">
        <v>1769</v>
      </c>
      <c r="E1544" s="24" t="s">
        <v>142</v>
      </c>
      <c r="F1544" s="28" t="n">
        <f>120</f>
        <v>120.0</v>
      </c>
      <c r="G1544" s="25" t="n">
        <f>1091388</f>
        <v>1091388.0</v>
      </c>
      <c r="H1544" s="25"/>
      <c r="I1544" s="25" t="n">
        <f>38459</f>
        <v>38459.0</v>
      </c>
      <c r="J1544" s="25" t="n">
        <f>9095</f>
        <v>9095.0</v>
      </c>
      <c r="K1544" s="25" t="n">
        <f>320</f>
        <v>320.0</v>
      </c>
      <c r="L1544" s="2" t="s">
        <v>855</v>
      </c>
      <c r="M1544" s="26" t="n">
        <f>46016</f>
        <v>46016.0</v>
      </c>
      <c r="N1544" s="3" t="s">
        <v>1941</v>
      </c>
      <c r="O1544" s="27" t="str">
        <f>"－"</f>
        <v>－</v>
      </c>
      <c r="P1544" s="29" t="s">
        <v>2749</v>
      </c>
      <c r="Q1544" s="25"/>
      <c r="R1544" s="29" t="s">
        <v>2750</v>
      </c>
      <c r="S1544" s="25" t="n">
        <f>6871610</f>
        <v>6871610.0</v>
      </c>
      <c r="T1544" s="25" t="n">
        <f>4099987</f>
        <v>4099987.0</v>
      </c>
      <c r="U1544" s="3" t="s">
        <v>56</v>
      </c>
      <c r="V1544" s="27" t="n">
        <f>54340780</f>
        <v>5.434078E7</v>
      </c>
      <c r="W1544" s="3" t="s">
        <v>1941</v>
      </c>
      <c r="X1544" s="27" t="str">
        <f>"－"</f>
        <v>－</v>
      </c>
      <c r="Y1544" s="27" t="n">
        <f>32677</f>
        <v>32677.0</v>
      </c>
      <c r="Z1544" s="25" t="str">
        <f>"－"</f>
        <v>－</v>
      </c>
      <c r="AA1544" s="25" t="n">
        <f>23529</f>
        <v>23529.0</v>
      </c>
      <c r="AB1544" s="2" t="s">
        <v>849</v>
      </c>
      <c r="AC1544" s="26" t="n">
        <f>65996</f>
        <v>65996.0</v>
      </c>
      <c r="AD1544" s="3" t="s">
        <v>688</v>
      </c>
      <c r="AE1544" s="27" t="n">
        <f>12681</f>
        <v>12681.0</v>
      </c>
    </row>
    <row r="1545">
      <c r="A1545" s="20" t="s">
        <v>2507</v>
      </c>
      <c r="B1545" s="21" t="s">
        <v>2508</v>
      </c>
      <c r="C1545" s="22" t="s">
        <v>1760</v>
      </c>
      <c r="D1545" s="23" t="s">
        <v>1761</v>
      </c>
      <c r="E1545" s="24" t="s">
        <v>148</v>
      </c>
      <c r="F1545" s="28" t="n">
        <f>124</f>
        <v>124.0</v>
      </c>
      <c r="G1545" s="25" t="n">
        <f>244988</f>
        <v>244988.0</v>
      </c>
      <c r="H1545" s="25"/>
      <c r="I1545" s="25" t="n">
        <f>36045</f>
        <v>36045.0</v>
      </c>
      <c r="J1545" s="25" t="n">
        <f>1976</f>
        <v>1976.0</v>
      </c>
      <c r="K1545" s="25" t="n">
        <f>291</f>
        <v>291.0</v>
      </c>
      <c r="L1545" s="2" t="s">
        <v>63</v>
      </c>
      <c r="M1545" s="26" t="n">
        <f>10485</f>
        <v>10485.0</v>
      </c>
      <c r="N1545" s="3" t="s">
        <v>720</v>
      </c>
      <c r="O1545" s="27" t="str">
        <f>"－"</f>
        <v>－</v>
      </c>
      <c r="P1545" s="29" t="s">
        <v>2751</v>
      </c>
      <c r="Q1545" s="25"/>
      <c r="R1545" s="29" t="s">
        <v>2752</v>
      </c>
      <c r="S1545" s="25" t="n">
        <f>3654119</f>
        <v>3654119.0</v>
      </c>
      <c r="T1545" s="25" t="n">
        <f>2877635</f>
        <v>2877635.0</v>
      </c>
      <c r="U1545" s="3" t="s">
        <v>761</v>
      </c>
      <c r="V1545" s="27" t="n">
        <f>50580650</f>
        <v>5.058065E7</v>
      </c>
      <c r="W1545" s="3" t="s">
        <v>720</v>
      </c>
      <c r="X1545" s="27" t="str">
        <f>"－"</f>
        <v>－</v>
      </c>
      <c r="Y1545" s="27" t="n">
        <f>20870</f>
        <v>20870.0</v>
      </c>
      <c r="Z1545" s="25" t="str">
        <f>"－"</f>
        <v>－</v>
      </c>
      <c r="AA1545" s="25" t="n">
        <f>30286</f>
        <v>30286.0</v>
      </c>
      <c r="AB1545" s="2" t="s">
        <v>129</v>
      </c>
      <c r="AC1545" s="26" t="n">
        <f>30286</f>
        <v>30286.0</v>
      </c>
      <c r="AD1545" s="3" t="s">
        <v>192</v>
      </c>
      <c r="AE1545" s="27" t="n">
        <f>3831</f>
        <v>3831.0</v>
      </c>
    </row>
    <row r="1546">
      <c r="A1546" s="20" t="s">
        <v>2507</v>
      </c>
      <c r="B1546" s="21" t="s">
        <v>2508</v>
      </c>
      <c r="C1546" s="22" t="s">
        <v>1764</v>
      </c>
      <c r="D1546" s="23" t="s">
        <v>1765</v>
      </c>
      <c r="E1546" s="24" t="s">
        <v>148</v>
      </c>
      <c r="F1546" s="28" t="n">
        <f>124</f>
        <v>124.0</v>
      </c>
      <c r="G1546" s="25" t="n">
        <f>723452</f>
        <v>723452.0</v>
      </c>
      <c r="H1546" s="25"/>
      <c r="I1546" s="25" t="n">
        <f>2545</f>
        <v>2545.0</v>
      </c>
      <c r="J1546" s="25" t="n">
        <f>5834</f>
        <v>5834.0</v>
      </c>
      <c r="K1546" s="25" t="n">
        <f>21</f>
        <v>21.0</v>
      </c>
      <c r="L1546" s="2" t="s">
        <v>197</v>
      </c>
      <c r="M1546" s="26" t="n">
        <f>22000</f>
        <v>22000.0</v>
      </c>
      <c r="N1546" s="3" t="s">
        <v>254</v>
      </c>
      <c r="O1546" s="27" t="str">
        <f>"－"</f>
        <v>－</v>
      </c>
      <c r="P1546" s="29" t="s">
        <v>2753</v>
      </c>
      <c r="Q1546" s="25"/>
      <c r="R1546" s="29" t="s">
        <v>2754</v>
      </c>
      <c r="S1546" s="25" t="n">
        <f>3373755</f>
        <v>3373755.0</v>
      </c>
      <c r="T1546" s="25" t="n">
        <f>920528</f>
        <v>920528.0</v>
      </c>
      <c r="U1546" s="3" t="s">
        <v>858</v>
      </c>
      <c r="V1546" s="27" t="n">
        <f>51079160</f>
        <v>5.107916E7</v>
      </c>
      <c r="W1546" s="3" t="s">
        <v>254</v>
      </c>
      <c r="X1546" s="27" t="str">
        <f>"－"</f>
        <v>－</v>
      </c>
      <c r="Y1546" s="27" t="n">
        <f>14254</f>
        <v>14254.0</v>
      </c>
      <c r="Z1546" s="25" t="str">
        <f>"－"</f>
        <v>－</v>
      </c>
      <c r="AA1546" s="25" t="n">
        <f>15736</f>
        <v>15736.0</v>
      </c>
      <c r="AB1546" s="2" t="s">
        <v>529</v>
      </c>
      <c r="AC1546" s="26" t="n">
        <f>32253</f>
        <v>32253.0</v>
      </c>
      <c r="AD1546" s="3" t="s">
        <v>68</v>
      </c>
      <c r="AE1546" s="27" t="n">
        <f>6298</f>
        <v>6298.0</v>
      </c>
    </row>
    <row r="1547">
      <c r="A1547" s="20" t="s">
        <v>2507</v>
      </c>
      <c r="B1547" s="21" t="s">
        <v>2508</v>
      </c>
      <c r="C1547" s="22" t="s">
        <v>1768</v>
      </c>
      <c r="D1547" s="23" t="s">
        <v>1769</v>
      </c>
      <c r="E1547" s="24" t="s">
        <v>148</v>
      </c>
      <c r="F1547" s="28" t="n">
        <f>124</f>
        <v>124.0</v>
      </c>
      <c r="G1547" s="25" t="n">
        <f>968440</f>
        <v>968440.0</v>
      </c>
      <c r="H1547" s="25"/>
      <c r="I1547" s="25" t="n">
        <f>38590</f>
        <v>38590.0</v>
      </c>
      <c r="J1547" s="25" t="n">
        <f>7810</f>
        <v>7810.0</v>
      </c>
      <c r="K1547" s="25" t="n">
        <f>311</f>
        <v>311.0</v>
      </c>
      <c r="L1547" s="2" t="s">
        <v>197</v>
      </c>
      <c r="M1547" s="26" t="n">
        <f>28185</f>
        <v>28185.0</v>
      </c>
      <c r="N1547" s="3" t="s">
        <v>296</v>
      </c>
      <c r="O1547" s="27" t="str">
        <f>"－"</f>
        <v>－</v>
      </c>
      <c r="P1547" s="29" t="s">
        <v>2755</v>
      </c>
      <c r="Q1547" s="25"/>
      <c r="R1547" s="29" t="s">
        <v>2756</v>
      </c>
      <c r="S1547" s="25" t="n">
        <f>7027873</f>
        <v>7027873.0</v>
      </c>
      <c r="T1547" s="25" t="n">
        <f>3798163</f>
        <v>3798163.0</v>
      </c>
      <c r="U1547" s="3" t="s">
        <v>761</v>
      </c>
      <c r="V1547" s="27" t="n">
        <f>53399305</f>
        <v>5.3399305E7</v>
      </c>
      <c r="W1547" s="3" t="s">
        <v>296</v>
      </c>
      <c r="X1547" s="27" t="str">
        <f>"－"</f>
        <v>－</v>
      </c>
      <c r="Y1547" s="27" t="n">
        <f>35124</f>
        <v>35124.0</v>
      </c>
      <c r="Z1547" s="25" t="str">
        <f>"－"</f>
        <v>－</v>
      </c>
      <c r="AA1547" s="25" t="n">
        <f>46022</f>
        <v>46022.0</v>
      </c>
      <c r="AB1547" s="2" t="s">
        <v>90</v>
      </c>
      <c r="AC1547" s="26" t="n">
        <f>50041</f>
        <v>50041.0</v>
      </c>
      <c r="AD1547" s="3" t="s">
        <v>972</v>
      </c>
      <c r="AE1547" s="27" t="n">
        <f>14448</f>
        <v>14448.0</v>
      </c>
    </row>
    <row r="1548">
      <c r="A1548" s="20" t="s">
        <v>2507</v>
      </c>
      <c r="B1548" s="21" t="s">
        <v>2508</v>
      </c>
      <c r="C1548" s="22" t="s">
        <v>1760</v>
      </c>
      <c r="D1548" s="23" t="s">
        <v>1761</v>
      </c>
      <c r="E1548" s="24" t="s">
        <v>151</v>
      </c>
      <c r="F1548" s="28" t="n">
        <f>122</f>
        <v>122.0</v>
      </c>
      <c r="G1548" s="25" t="n">
        <f>423138</f>
        <v>423138.0</v>
      </c>
      <c r="H1548" s="25"/>
      <c r="I1548" s="25" t="n">
        <f>26350</f>
        <v>26350.0</v>
      </c>
      <c r="J1548" s="25" t="n">
        <f>3468</f>
        <v>3468.0</v>
      </c>
      <c r="K1548" s="25" t="n">
        <f>216</f>
        <v>216.0</v>
      </c>
      <c r="L1548" s="2" t="s">
        <v>1922</v>
      </c>
      <c r="M1548" s="26" t="n">
        <f>15000</f>
        <v>15000.0</v>
      </c>
      <c r="N1548" s="3" t="s">
        <v>328</v>
      </c>
      <c r="O1548" s="27" t="str">
        <f>"－"</f>
        <v>－</v>
      </c>
      <c r="P1548" s="29" t="s">
        <v>2757</v>
      </c>
      <c r="Q1548" s="25"/>
      <c r="R1548" s="29" t="s">
        <v>2758</v>
      </c>
      <c r="S1548" s="25" t="n">
        <f>3751256</f>
        <v>3751256.0</v>
      </c>
      <c r="T1548" s="25" t="n">
        <f>2317969</f>
        <v>2317969.0</v>
      </c>
      <c r="U1548" s="3" t="s">
        <v>1094</v>
      </c>
      <c r="V1548" s="27" t="n">
        <f>30249690</f>
        <v>3.024969E7</v>
      </c>
      <c r="W1548" s="3" t="s">
        <v>328</v>
      </c>
      <c r="X1548" s="27" t="str">
        <f>"－"</f>
        <v>－</v>
      </c>
      <c r="Y1548" s="27" t="n">
        <f>13491</f>
        <v>13491.0</v>
      </c>
      <c r="Z1548" s="25" t="str">
        <f>"－"</f>
        <v>－</v>
      </c>
      <c r="AA1548" s="25" t="n">
        <f>115193</f>
        <v>115193.0</v>
      </c>
      <c r="AB1548" s="2" t="s">
        <v>739</v>
      </c>
      <c r="AC1548" s="26" t="n">
        <f>117771</f>
        <v>117771.0</v>
      </c>
      <c r="AD1548" s="3" t="s">
        <v>74</v>
      </c>
      <c r="AE1548" s="27" t="n">
        <f>5286</f>
        <v>5286.0</v>
      </c>
    </row>
    <row r="1549">
      <c r="A1549" s="20" t="s">
        <v>2507</v>
      </c>
      <c r="B1549" s="21" t="s">
        <v>2508</v>
      </c>
      <c r="C1549" s="22" t="s">
        <v>1764</v>
      </c>
      <c r="D1549" s="23" t="s">
        <v>1765</v>
      </c>
      <c r="E1549" s="24" t="s">
        <v>151</v>
      </c>
      <c r="F1549" s="28" t="n">
        <f>122</f>
        <v>122.0</v>
      </c>
      <c r="G1549" s="25" t="n">
        <f>903408</f>
        <v>903408.0</v>
      </c>
      <c r="H1549" s="25"/>
      <c r="I1549" s="25" t="n">
        <f>27739</f>
        <v>27739.0</v>
      </c>
      <c r="J1549" s="25" t="n">
        <f>7405</f>
        <v>7405.0</v>
      </c>
      <c r="K1549" s="25" t="n">
        <f>227</f>
        <v>227.0</v>
      </c>
      <c r="L1549" s="2" t="s">
        <v>427</v>
      </c>
      <c r="M1549" s="26" t="n">
        <f>30020</f>
        <v>30020.0</v>
      </c>
      <c r="N1549" s="3" t="s">
        <v>706</v>
      </c>
      <c r="O1549" s="27" t="str">
        <f>"－"</f>
        <v>－</v>
      </c>
      <c r="P1549" s="29" t="s">
        <v>2759</v>
      </c>
      <c r="Q1549" s="25"/>
      <c r="R1549" s="29" t="s">
        <v>2760</v>
      </c>
      <c r="S1549" s="25" t="n">
        <f>7326037</f>
        <v>7326037.0</v>
      </c>
      <c r="T1549" s="25" t="n">
        <f>3292592</f>
        <v>3292592.0</v>
      </c>
      <c r="U1549" s="3" t="s">
        <v>236</v>
      </c>
      <c r="V1549" s="27" t="n">
        <f>134082260</f>
        <v>1.3408226E8</v>
      </c>
      <c r="W1549" s="3" t="s">
        <v>706</v>
      </c>
      <c r="X1549" s="27" t="str">
        <f>"－"</f>
        <v>－</v>
      </c>
      <c r="Y1549" s="27" t="n">
        <f>27293</f>
        <v>27293.0</v>
      </c>
      <c r="Z1549" s="25" t="str">
        <f>"－"</f>
        <v>－</v>
      </c>
      <c r="AA1549" s="25" t="n">
        <f>71991</f>
        <v>71991.0</v>
      </c>
      <c r="AB1549" s="2" t="s">
        <v>739</v>
      </c>
      <c r="AC1549" s="26" t="n">
        <f>71991</f>
        <v>71991.0</v>
      </c>
      <c r="AD1549" s="3" t="s">
        <v>863</v>
      </c>
      <c r="AE1549" s="27" t="n">
        <f>3921</f>
        <v>3921.0</v>
      </c>
    </row>
    <row r="1550">
      <c r="A1550" s="20" t="s">
        <v>2507</v>
      </c>
      <c r="B1550" s="21" t="s">
        <v>2508</v>
      </c>
      <c r="C1550" s="22" t="s">
        <v>1768</v>
      </c>
      <c r="D1550" s="23" t="s">
        <v>1769</v>
      </c>
      <c r="E1550" s="24" t="s">
        <v>151</v>
      </c>
      <c r="F1550" s="28" t="n">
        <f>122</f>
        <v>122.0</v>
      </c>
      <c r="G1550" s="25" t="n">
        <f>1326546</f>
        <v>1326546.0</v>
      </c>
      <c r="H1550" s="25"/>
      <c r="I1550" s="25" t="n">
        <f>54089</f>
        <v>54089.0</v>
      </c>
      <c r="J1550" s="25" t="n">
        <f>10873</f>
        <v>10873.0</v>
      </c>
      <c r="K1550" s="25" t="n">
        <f>443</f>
        <v>443.0</v>
      </c>
      <c r="L1550" s="2" t="s">
        <v>963</v>
      </c>
      <c r="M1550" s="26" t="n">
        <f>37090</f>
        <v>37090.0</v>
      </c>
      <c r="N1550" s="3" t="s">
        <v>468</v>
      </c>
      <c r="O1550" s="27" t="str">
        <f>"－"</f>
        <v>－</v>
      </c>
      <c r="P1550" s="29" t="s">
        <v>2761</v>
      </c>
      <c r="Q1550" s="25"/>
      <c r="R1550" s="29" t="s">
        <v>2762</v>
      </c>
      <c r="S1550" s="25" t="n">
        <f>11077292</f>
        <v>1.1077292E7</v>
      </c>
      <c r="T1550" s="25" t="n">
        <f>5610561</f>
        <v>5610561.0</v>
      </c>
      <c r="U1550" s="3" t="s">
        <v>236</v>
      </c>
      <c r="V1550" s="27" t="n">
        <f>134082260</f>
        <v>1.3408226E8</v>
      </c>
      <c r="W1550" s="3" t="s">
        <v>468</v>
      </c>
      <c r="X1550" s="27" t="str">
        <f>"－"</f>
        <v>－</v>
      </c>
      <c r="Y1550" s="27" t="n">
        <f>40784</f>
        <v>40784.0</v>
      </c>
      <c r="Z1550" s="25" t="str">
        <f>"－"</f>
        <v>－</v>
      </c>
      <c r="AA1550" s="25" t="n">
        <f>187184</f>
        <v>187184.0</v>
      </c>
      <c r="AB1550" s="2" t="s">
        <v>739</v>
      </c>
      <c r="AC1550" s="26" t="n">
        <f>189762</f>
        <v>189762.0</v>
      </c>
      <c r="AD1550" s="3" t="s">
        <v>863</v>
      </c>
      <c r="AE1550" s="27" t="n">
        <f>17246</f>
        <v>17246.0</v>
      </c>
    </row>
    <row r="1551">
      <c r="A1551" s="20" t="s">
        <v>2507</v>
      </c>
      <c r="B1551" s="21" t="s">
        <v>2508</v>
      </c>
      <c r="C1551" s="22" t="s">
        <v>1760</v>
      </c>
      <c r="D1551" s="23" t="s">
        <v>1761</v>
      </c>
      <c r="E1551" s="24" t="s">
        <v>157</v>
      </c>
      <c r="F1551" s="28" t="n">
        <f>124</f>
        <v>124.0</v>
      </c>
      <c r="G1551" s="25" t="n">
        <f>632545</f>
        <v>632545.0</v>
      </c>
      <c r="H1551" s="25"/>
      <c r="I1551" s="25" t="n">
        <f>395965</f>
        <v>395965.0</v>
      </c>
      <c r="J1551" s="25" t="n">
        <f>5101</f>
        <v>5101.0</v>
      </c>
      <c r="K1551" s="25" t="n">
        <f>3193</f>
        <v>3193.0</v>
      </c>
      <c r="L1551" s="2" t="s">
        <v>393</v>
      </c>
      <c r="M1551" s="26" t="n">
        <f>118545</f>
        <v>118545.0</v>
      </c>
      <c r="N1551" s="3" t="s">
        <v>225</v>
      </c>
      <c r="O1551" s="27" t="str">
        <f>"－"</f>
        <v>－</v>
      </c>
      <c r="P1551" s="29" t="s">
        <v>2763</v>
      </c>
      <c r="Q1551" s="25"/>
      <c r="R1551" s="29" t="s">
        <v>2764</v>
      </c>
      <c r="S1551" s="25" t="n">
        <f>8619744</f>
        <v>8619744.0</v>
      </c>
      <c r="T1551" s="25" t="n">
        <f>7634110</f>
        <v>7634110.0</v>
      </c>
      <c r="U1551" s="3" t="s">
        <v>67</v>
      </c>
      <c r="V1551" s="27" t="n">
        <f>125353070</f>
        <v>1.2535307E8</v>
      </c>
      <c r="W1551" s="3" t="s">
        <v>225</v>
      </c>
      <c r="X1551" s="27" t="str">
        <f>"－"</f>
        <v>－</v>
      </c>
      <c r="Y1551" s="27" t="n">
        <f>110490</f>
        <v>110490.0</v>
      </c>
      <c r="Z1551" s="25" t="n">
        <f>21905</f>
        <v>21905.0</v>
      </c>
      <c r="AA1551" s="25" t="n">
        <f>118693</f>
        <v>118693.0</v>
      </c>
      <c r="AB1551" s="2" t="s">
        <v>320</v>
      </c>
      <c r="AC1551" s="26" t="n">
        <f>168158</f>
        <v>168158.0</v>
      </c>
      <c r="AD1551" s="3" t="s">
        <v>309</v>
      </c>
      <c r="AE1551" s="27" t="n">
        <f>4880</f>
        <v>4880.0</v>
      </c>
    </row>
    <row r="1552">
      <c r="A1552" s="20" t="s">
        <v>2507</v>
      </c>
      <c r="B1552" s="21" t="s">
        <v>2508</v>
      </c>
      <c r="C1552" s="22" t="s">
        <v>1764</v>
      </c>
      <c r="D1552" s="23" t="s">
        <v>1765</v>
      </c>
      <c r="E1552" s="24" t="s">
        <v>157</v>
      </c>
      <c r="F1552" s="28" t="n">
        <f>124</f>
        <v>124.0</v>
      </c>
      <c r="G1552" s="25" t="n">
        <f>741351</f>
        <v>741351.0</v>
      </c>
      <c r="H1552" s="25"/>
      <c r="I1552" s="25" t="n">
        <f>26205</f>
        <v>26205.0</v>
      </c>
      <c r="J1552" s="25" t="n">
        <f>5979</f>
        <v>5979.0</v>
      </c>
      <c r="K1552" s="25" t="n">
        <f>211</f>
        <v>211.0</v>
      </c>
      <c r="L1552" s="2" t="s">
        <v>1445</v>
      </c>
      <c r="M1552" s="26" t="n">
        <f>31160</f>
        <v>31160.0</v>
      </c>
      <c r="N1552" s="3" t="s">
        <v>225</v>
      </c>
      <c r="O1552" s="27" t="str">
        <f>"－"</f>
        <v>－</v>
      </c>
      <c r="P1552" s="29" t="s">
        <v>2765</v>
      </c>
      <c r="Q1552" s="25"/>
      <c r="R1552" s="29" t="s">
        <v>2766</v>
      </c>
      <c r="S1552" s="25" t="n">
        <f>5842007</f>
        <v>5842007.0</v>
      </c>
      <c r="T1552" s="25" t="n">
        <f>3056971</f>
        <v>3056971.0</v>
      </c>
      <c r="U1552" s="3" t="s">
        <v>947</v>
      </c>
      <c r="V1552" s="27" t="n">
        <f>100821638</f>
        <v>1.00821638E8</v>
      </c>
      <c r="W1552" s="3" t="s">
        <v>225</v>
      </c>
      <c r="X1552" s="27" t="str">
        <f>"－"</f>
        <v>－</v>
      </c>
      <c r="Y1552" s="27" t="n">
        <f>69874</f>
        <v>69874.0</v>
      </c>
      <c r="Z1552" s="25" t="str">
        <f>"－"</f>
        <v>－</v>
      </c>
      <c r="AA1552" s="25" t="n">
        <f>20215</f>
        <v>20215.0</v>
      </c>
      <c r="AB1552" s="2" t="s">
        <v>1158</v>
      </c>
      <c r="AC1552" s="26" t="n">
        <f>86434</f>
        <v>86434.0</v>
      </c>
      <c r="AD1552" s="3" t="s">
        <v>137</v>
      </c>
      <c r="AE1552" s="27" t="n">
        <f>12944</f>
        <v>12944.0</v>
      </c>
    </row>
    <row r="1553">
      <c r="A1553" s="20" t="s">
        <v>2507</v>
      </c>
      <c r="B1553" s="21" t="s">
        <v>2508</v>
      </c>
      <c r="C1553" s="22" t="s">
        <v>1768</v>
      </c>
      <c r="D1553" s="23" t="s">
        <v>1769</v>
      </c>
      <c r="E1553" s="24" t="s">
        <v>157</v>
      </c>
      <c r="F1553" s="28" t="n">
        <f>124</f>
        <v>124.0</v>
      </c>
      <c r="G1553" s="25" t="n">
        <f>1373896</f>
        <v>1373896.0</v>
      </c>
      <c r="H1553" s="25"/>
      <c r="I1553" s="25" t="n">
        <f>422170</f>
        <v>422170.0</v>
      </c>
      <c r="J1553" s="25" t="n">
        <f>11080</f>
        <v>11080.0</v>
      </c>
      <c r="K1553" s="25" t="n">
        <f>3405</f>
        <v>3405.0</v>
      </c>
      <c r="L1553" s="2" t="s">
        <v>393</v>
      </c>
      <c r="M1553" s="26" t="n">
        <f>118546</f>
        <v>118546.0</v>
      </c>
      <c r="N1553" s="3" t="s">
        <v>225</v>
      </c>
      <c r="O1553" s="27" t="str">
        <f>"－"</f>
        <v>－</v>
      </c>
      <c r="P1553" s="29" t="s">
        <v>2767</v>
      </c>
      <c r="Q1553" s="25"/>
      <c r="R1553" s="29" t="s">
        <v>2768</v>
      </c>
      <c r="S1553" s="25" t="n">
        <f>14461751</f>
        <v>1.4461751E7</v>
      </c>
      <c r="T1553" s="25" t="n">
        <f>10691081</f>
        <v>1.0691081E7</v>
      </c>
      <c r="U1553" s="3" t="s">
        <v>67</v>
      </c>
      <c r="V1553" s="27" t="n">
        <f>127403070</f>
        <v>1.2740307E8</v>
      </c>
      <c r="W1553" s="3" t="s">
        <v>225</v>
      </c>
      <c r="X1553" s="27" t="str">
        <f>"－"</f>
        <v>－</v>
      </c>
      <c r="Y1553" s="27" t="n">
        <f>180364</f>
        <v>180364.0</v>
      </c>
      <c r="Z1553" s="25" t="n">
        <f>21905</f>
        <v>21905.0</v>
      </c>
      <c r="AA1553" s="25" t="n">
        <f>138908</f>
        <v>138908.0</v>
      </c>
      <c r="AB1553" s="2" t="s">
        <v>1408</v>
      </c>
      <c r="AC1553" s="26" t="n">
        <f>234518</f>
        <v>234518.0</v>
      </c>
      <c r="AD1553" s="3" t="s">
        <v>141</v>
      </c>
      <c r="AE1553" s="27" t="n">
        <f>65750</f>
        <v>65750.0</v>
      </c>
    </row>
    <row r="1554">
      <c r="A1554" s="20" t="s">
        <v>2507</v>
      </c>
      <c r="B1554" s="21" t="s">
        <v>2508</v>
      </c>
      <c r="C1554" s="22" t="s">
        <v>1760</v>
      </c>
      <c r="D1554" s="23" t="s">
        <v>1761</v>
      </c>
      <c r="E1554" s="24" t="s">
        <v>160</v>
      </c>
      <c r="F1554" s="28" t="n">
        <f>58</f>
        <v>58.0</v>
      </c>
      <c r="G1554" s="25" t="n">
        <f>147957</f>
        <v>147957.0</v>
      </c>
      <c r="H1554" s="25"/>
      <c r="I1554" s="25" t="n">
        <f>46590</f>
        <v>46590.0</v>
      </c>
      <c r="J1554" s="25" t="n">
        <f>2551</f>
        <v>2551.0</v>
      </c>
      <c r="K1554" s="25" t="n">
        <f>803</f>
        <v>803.0</v>
      </c>
      <c r="L1554" s="2" t="s">
        <v>226</v>
      </c>
      <c r="M1554" s="26" t="n">
        <f>15939</f>
        <v>15939.0</v>
      </c>
      <c r="N1554" s="3" t="s">
        <v>358</v>
      </c>
      <c r="O1554" s="27" t="str">
        <f>"－"</f>
        <v>－</v>
      </c>
      <c r="P1554" s="29" t="s">
        <v>2769</v>
      </c>
      <c r="Q1554" s="25"/>
      <c r="R1554" s="29" t="s">
        <v>2770</v>
      </c>
      <c r="S1554" s="25" t="n">
        <f>6501233</f>
        <v>6501233.0</v>
      </c>
      <c r="T1554" s="25" t="n">
        <f>5775300</f>
        <v>5775300.0</v>
      </c>
      <c r="U1554" s="3" t="s">
        <v>226</v>
      </c>
      <c r="V1554" s="27" t="n">
        <f>87286520</f>
        <v>8.728652E7</v>
      </c>
      <c r="W1554" s="3" t="s">
        <v>358</v>
      </c>
      <c r="X1554" s="27" t="str">
        <f>"－"</f>
        <v>－</v>
      </c>
      <c r="Y1554" s="27" t="n">
        <f>4048</f>
        <v>4048.0</v>
      </c>
      <c r="Z1554" s="25" t="str">
        <f>"－"</f>
        <v>－</v>
      </c>
      <c r="AA1554" s="25" t="n">
        <f>35001</f>
        <v>35001.0</v>
      </c>
      <c r="AB1554" s="2" t="s">
        <v>706</v>
      </c>
      <c r="AC1554" s="26" t="n">
        <f>121517</f>
        <v>121517.0</v>
      </c>
      <c r="AD1554" s="3" t="s">
        <v>70</v>
      </c>
      <c r="AE1554" s="27" t="n">
        <f>10453</f>
        <v>10453.0</v>
      </c>
    </row>
    <row r="1555">
      <c r="A1555" s="20" t="s">
        <v>2507</v>
      </c>
      <c r="B1555" s="21" t="s">
        <v>2508</v>
      </c>
      <c r="C1555" s="22" t="s">
        <v>1764</v>
      </c>
      <c r="D1555" s="23" t="s">
        <v>1765</v>
      </c>
      <c r="E1555" s="24" t="s">
        <v>160</v>
      </c>
      <c r="F1555" s="28" t="n">
        <f>58</f>
        <v>58.0</v>
      </c>
      <c r="G1555" s="25" t="n">
        <f>257788</f>
        <v>257788.0</v>
      </c>
      <c r="H1555" s="25"/>
      <c r="I1555" s="25" t="n">
        <f>2591</f>
        <v>2591.0</v>
      </c>
      <c r="J1555" s="25" t="n">
        <f>4445</f>
        <v>4445.0</v>
      </c>
      <c r="K1555" s="25" t="n">
        <f>45</f>
        <v>45.0</v>
      </c>
      <c r="L1555" s="2" t="s">
        <v>97</v>
      </c>
      <c r="M1555" s="26" t="n">
        <f>18000</f>
        <v>18000.0</v>
      </c>
      <c r="N1555" s="3" t="s">
        <v>520</v>
      </c>
      <c r="O1555" s="27" t="str">
        <f>"－"</f>
        <v>－</v>
      </c>
      <c r="P1555" s="29" t="s">
        <v>2771</v>
      </c>
      <c r="Q1555" s="25"/>
      <c r="R1555" s="29" t="s">
        <v>2772</v>
      </c>
      <c r="S1555" s="25" t="n">
        <f>8310429</f>
        <v>8310429.0</v>
      </c>
      <c r="T1555" s="25" t="n">
        <f>3317207</f>
        <v>3317207.0</v>
      </c>
      <c r="U1555" s="3" t="s">
        <v>625</v>
      </c>
      <c r="V1555" s="27" t="n">
        <f>192758720</f>
        <v>1.9275872E8</v>
      </c>
      <c r="W1555" s="3" t="s">
        <v>520</v>
      </c>
      <c r="X1555" s="27" t="str">
        <f>"－"</f>
        <v>－</v>
      </c>
      <c r="Y1555" s="27" t="n">
        <f>25315</f>
        <v>25315.0</v>
      </c>
      <c r="Z1555" s="25" t="str">
        <f>"－"</f>
        <v>－</v>
      </c>
      <c r="AA1555" s="25" t="n">
        <f>36194</f>
        <v>36194.0</v>
      </c>
      <c r="AB1555" s="2" t="s">
        <v>97</v>
      </c>
      <c r="AC1555" s="26" t="n">
        <f>43662</f>
        <v>43662.0</v>
      </c>
      <c r="AD1555" s="3" t="s">
        <v>84</v>
      </c>
      <c r="AE1555" s="27" t="n">
        <f>18678</f>
        <v>18678.0</v>
      </c>
    </row>
    <row r="1556">
      <c r="A1556" s="20" t="s">
        <v>2507</v>
      </c>
      <c r="B1556" s="21" t="s">
        <v>2508</v>
      </c>
      <c r="C1556" s="22" t="s">
        <v>1768</v>
      </c>
      <c r="D1556" s="23" t="s">
        <v>1769</v>
      </c>
      <c r="E1556" s="24" t="s">
        <v>160</v>
      </c>
      <c r="F1556" s="28" t="n">
        <f>58</f>
        <v>58.0</v>
      </c>
      <c r="G1556" s="25" t="n">
        <f>405745</f>
        <v>405745.0</v>
      </c>
      <c r="H1556" s="25"/>
      <c r="I1556" s="25" t="n">
        <f>49181</f>
        <v>49181.0</v>
      </c>
      <c r="J1556" s="25" t="n">
        <f>6996</f>
        <v>6996.0</v>
      </c>
      <c r="K1556" s="25" t="n">
        <f>848</f>
        <v>848.0</v>
      </c>
      <c r="L1556" s="2" t="s">
        <v>226</v>
      </c>
      <c r="M1556" s="26" t="n">
        <f>23939</f>
        <v>23939.0</v>
      </c>
      <c r="N1556" s="3" t="s">
        <v>411</v>
      </c>
      <c r="O1556" s="27" t="str">
        <f>"－"</f>
        <v>－</v>
      </c>
      <c r="P1556" s="29" t="s">
        <v>2773</v>
      </c>
      <c r="Q1556" s="25"/>
      <c r="R1556" s="29" t="s">
        <v>2774</v>
      </c>
      <c r="S1556" s="25" t="n">
        <f>14811662</f>
        <v>1.4811662E7</v>
      </c>
      <c r="T1556" s="25" t="n">
        <f>9092507</f>
        <v>9092507.0</v>
      </c>
      <c r="U1556" s="3" t="s">
        <v>625</v>
      </c>
      <c r="V1556" s="27" t="n">
        <f>196036020</f>
        <v>1.9603602E8</v>
      </c>
      <c r="W1556" s="3" t="s">
        <v>411</v>
      </c>
      <c r="X1556" s="27" t="str">
        <f>"－"</f>
        <v>－</v>
      </c>
      <c r="Y1556" s="27" t="n">
        <f>29363</f>
        <v>29363.0</v>
      </c>
      <c r="Z1556" s="25" t="str">
        <f>"－"</f>
        <v>－</v>
      </c>
      <c r="AA1556" s="25" t="n">
        <f>71195</f>
        <v>71195.0</v>
      </c>
      <c r="AB1556" s="2" t="s">
        <v>706</v>
      </c>
      <c r="AC1556" s="26" t="n">
        <f>141774</f>
        <v>141774.0</v>
      </c>
      <c r="AD1556" s="3" t="s">
        <v>84</v>
      </c>
      <c r="AE1556" s="27" t="n">
        <f>29852</f>
        <v>29852.0</v>
      </c>
    </row>
    <row r="1557">
      <c r="A1557" s="20" t="s">
        <v>2775</v>
      </c>
      <c r="B1557" s="21" t="s">
        <v>2776</v>
      </c>
      <c r="C1557" s="22" t="s">
        <v>1760</v>
      </c>
      <c r="D1557" s="23" t="s">
        <v>1761</v>
      </c>
      <c r="E1557" s="24" t="s">
        <v>124</v>
      </c>
      <c r="F1557" s="28" t="n">
        <f>108</f>
        <v>108.0</v>
      </c>
      <c r="G1557" s="25" t="str">
        <f>"－"</f>
        <v>－</v>
      </c>
      <c r="H1557" s="25"/>
      <c r="I1557" s="25" t="str">
        <f>"－"</f>
        <v>－</v>
      </c>
      <c r="J1557" s="25" t="str">
        <f>"－"</f>
        <v>－</v>
      </c>
      <c r="K1557" s="25" t="str">
        <f>"－"</f>
        <v>－</v>
      </c>
      <c r="L1557" s="2" t="s">
        <v>198</v>
      </c>
      <c r="M1557" s="26" t="str">
        <f>"－"</f>
        <v>－</v>
      </c>
      <c r="N1557" s="3" t="s">
        <v>198</v>
      </c>
      <c r="O1557" s="27" t="str">
        <f>"－"</f>
        <v>－</v>
      </c>
      <c r="P1557" s="29" t="s">
        <v>262</v>
      </c>
      <c r="Q1557" s="25"/>
      <c r="R1557" s="29" t="s">
        <v>262</v>
      </c>
      <c r="S1557" s="25" t="str">
        <f>"－"</f>
        <v>－</v>
      </c>
      <c r="T1557" s="25" t="str">
        <f>"－"</f>
        <v>－</v>
      </c>
      <c r="U1557" s="3" t="s">
        <v>198</v>
      </c>
      <c r="V1557" s="27" t="str">
        <f>"－"</f>
        <v>－</v>
      </c>
      <c r="W1557" s="3" t="s">
        <v>198</v>
      </c>
      <c r="X1557" s="27" t="str">
        <f>"－"</f>
        <v>－</v>
      </c>
      <c r="Y1557" s="27" t="str">
        <f>"－"</f>
        <v>－</v>
      </c>
      <c r="Z1557" s="25" t="str">
        <f>"－"</f>
        <v>－</v>
      </c>
      <c r="AA1557" s="25" t="str">
        <f>"－"</f>
        <v>－</v>
      </c>
      <c r="AB1557" s="2" t="s">
        <v>198</v>
      </c>
      <c r="AC1557" s="26" t="str">
        <f>"－"</f>
        <v>－</v>
      </c>
      <c r="AD1557" s="3" t="s">
        <v>198</v>
      </c>
      <c r="AE1557" s="27" t="str">
        <f>"－"</f>
        <v>－</v>
      </c>
    </row>
    <row r="1558">
      <c r="A1558" s="20" t="s">
        <v>2775</v>
      </c>
      <c r="B1558" s="21" t="s">
        <v>2776</v>
      </c>
      <c r="C1558" s="22" t="s">
        <v>1764</v>
      </c>
      <c r="D1558" s="23" t="s">
        <v>1765</v>
      </c>
      <c r="E1558" s="24" t="s">
        <v>124</v>
      </c>
      <c r="F1558" s="28" t="n">
        <f>108</f>
        <v>108.0</v>
      </c>
      <c r="G1558" s="25" t="str">
        <f>"－"</f>
        <v>－</v>
      </c>
      <c r="H1558" s="25"/>
      <c r="I1558" s="25" t="str">
        <f>"－"</f>
        <v>－</v>
      </c>
      <c r="J1558" s="25" t="str">
        <f>"－"</f>
        <v>－</v>
      </c>
      <c r="K1558" s="25" t="str">
        <f>"－"</f>
        <v>－</v>
      </c>
      <c r="L1558" s="2" t="s">
        <v>198</v>
      </c>
      <c r="M1558" s="26" t="str">
        <f>"－"</f>
        <v>－</v>
      </c>
      <c r="N1558" s="3" t="s">
        <v>198</v>
      </c>
      <c r="O1558" s="27" t="str">
        <f>"－"</f>
        <v>－</v>
      </c>
      <c r="P1558" s="29" t="s">
        <v>262</v>
      </c>
      <c r="Q1558" s="25"/>
      <c r="R1558" s="29" t="s">
        <v>262</v>
      </c>
      <c r="S1558" s="25" t="str">
        <f>"－"</f>
        <v>－</v>
      </c>
      <c r="T1558" s="25" t="str">
        <f>"－"</f>
        <v>－</v>
      </c>
      <c r="U1558" s="3" t="s">
        <v>198</v>
      </c>
      <c r="V1558" s="27" t="str">
        <f>"－"</f>
        <v>－</v>
      </c>
      <c r="W1558" s="3" t="s">
        <v>198</v>
      </c>
      <c r="X1558" s="27" t="str">
        <f>"－"</f>
        <v>－</v>
      </c>
      <c r="Y1558" s="27" t="str">
        <f>"－"</f>
        <v>－</v>
      </c>
      <c r="Z1558" s="25" t="str">
        <f>"－"</f>
        <v>－</v>
      </c>
      <c r="AA1558" s="25" t="str">
        <f>"－"</f>
        <v>－</v>
      </c>
      <c r="AB1558" s="2" t="s">
        <v>198</v>
      </c>
      <c r="AC1558" s="26" t="str">
        <f>"－"</f>
        <v>－</v>
      </c>
      <c r="AD1558" s="3" t="s">
        <v>198</v>
      </c>
      <c r="AE1558" s="27" t="str">
        <f>"－"</f>
        <v>－</v>
      </c>
    </row>
    <row r="1559">
      <c r="A1559" s="20" t="s">
        <v>2775</v>
      </c>
      <c r="B1559" s="21" t="s">
        <v>2776</v>
      </c>
      <c r="C1559" s="22" t="s">
        <v>1768</v>
      </c>
      <c r="D1559" s="23" t="s">
        <v>1769</v>
      </c>
      <c r="E1559" s="24" t="s">
        <v>124</v>
      </c>
      <c r="F1559" s="28" t="n">
        <f>108</f>
        <v>108.0</v>
      </c>
      <c r="G1559" s="25" t="str">
        <f>"－"</f>
        <v>－</v>
      </c>
      <c r="H1559" s="25"/>
      <c r="I1559" s="25" t="str">
        <f>"－"</f>
        <v>－</v>
      </c>
      <c r="J1559" s="25" t="str">
        <f>"－"</f>
        <v>－</v>
      </c>
      <c r="K1559" s="25" t="str">
        <f>"－"</f>
        <v>－</v>
      </c>
      <c r="L1559" s="2" t="s">
        <v>198</v>
      </c>
      <c r="M1559" s="26" t="str">
        <f>"－"</f>
        <v>－</v>
      </c>
      <c r="N1559" s="3" t="s">
        <v>198</v>
      </c>
      <c r="O1559" s="27" t="str">
        <f>"－"</f>
        <v>－</v>
      </c>
      <c r="P1559" s="29" t="s">
        <v>262</v>
      </c>
      <c r="Q1559" s="25"/>
      <c r="R1559" s="29" t="s">
        <v>262</v>
      </c>
      <c r="S1559" s="25" t="str">
        <f>"－"</f>
        <v>－</v>
      </c>
      <c r="T1559" s="25" t="str">
        <f>"－"</f>
        <v>－</v>
      </c>
      <c r="U1559" s="3" t="s">
        <v>198</v>
      </c>
      <c r="V1559" s="27" t="str">
        <f>"－"</f>
        <v>－</v>
      </c>
      <c r="W1559" s="3" t="s">
        <v>198</v>
      </c>
      <c r="X1559" s="27" t="str">
        <f>"－"</f>
        <v>－</v>
      </c>
      <c r="Y1559" s="27" t="str">
        <f>"－"</f>
        <v>－</v>
      </c>
      <c r="Z1559" s="25" t="str">
        <f>"－"</f>
        <v>－</v>
      </c>
      <c r="AA1559" s="25" t="str">
        <f>"－"</f>
        <v>－</v>
      </c>
      <c r="AB1559" s="2" t="s">
        <v>198</v>
      </c>
      <c r="AC1559" s="26" t="str">
        <f>"－"</f>
        <v>－</v>
      </c>
      <c r="AD1559" s="3" t="s">
        <v>198</v>
      </c>
      <c r="AE1559" s="27" t="str">
        <f>"－"</f>
        <v>－</v>
      </c>
    </row>
    <row r="1560">
      <c r="A1560" s="20" t="s">
        <v>2775</v>
      </c>
      <c r="B1560" s="21" t="s">
        <v>2776</v>
      </c>
      <c r="C1560" s="22" t="s">
        <v>1760</v>
      </c>
      <c r="D1560" s="23" t="s">
        <v>1761</v>
      </c>
      <c r="E1560" s="24" t="s">
        <v>130</v>
      </c>
      <c r="F1560" s="28" t="n">
        <f>121</f>
        <v>121.0</v>
      </c>
      <c r="G1560" s="25" t="str">
        <f>"－"</f>
        <v>－</v>
      </c>
      <c r="H1560" s="25"/>
      <c r="I1560" s="25" t="str">
        <f>"－"</f>
        <v>－</v>
      </c>
      <c r="J1560" s="25" t="str">
        <f>"－"</f>
        <v>－</v>
      </c>
      <c r="K1560" s="25" t="str">
        <f>"－"</f>
        <v>－</v>
      </c>
      <c r="L1560" s="2" t="s">
        <v>156</v>
      </c>
      <c r="M1560" s="26" t="str">
        <f>"－"</f>
        <v>－</v>
      </c>
      <c r="N1560" s="3" t="s">
        <v>156</v>
      </c>
      <c r="O1560" s="27" t="str">
        <f>"－"</f>
        <v>－</v>
      </c>
      <c r="P1560" s="29" t="s">
        <v>262</v>
      </c>
      <c r="Q1560" s="25"/>
      <c r="R1560" s="29" t="s">
        <v>262</v>
      </c>
      <c r="S1560" s="25" t="str">
        <f>"－"</f>
        <v>－</v>
      </c>
      <c r="T1560" s="25" t="str">
        <f>"－"</f>
        <v>－</v>
      </c>
      <c r="U1560" s="3" t="s">
        <v>156</v>
      </c>
      <c r="V1560" s="27" t="str">
        <f>"－"</f>
        <v>－</v>
      </c>
      <c r="W1560" s="3" t="s">
        <v>156</v>
      </c>
      <c r="X1560" s="27" t="str">
        <f>"－"</f>
        <v>－</v>
      </c>
      <c r="Y1560" s="27" t="str">
        <f>"－"</f>
        <v>－</v>
      </c>
      <c r="Z1560" s="25" t="str">
        <f>"－"</f>
        <v>－</v>
      </c>
      <c r="AA1560" s="25" t="str">
        <f>"－"</f>
        <v>－</v>
      </c>
      <c r="AB1560" s="2" t="s">
        <v>156</v>
      </c>
      <c r="AC1560" s="26" t="str">
        <f>"－"</f>
        <v>－</v>
      </c>
      <c r="AD1560" s="3" t="s">
        <v>156</v>
      </c>
      <c r="AE1560" s="27" t="str">
        <f>"－"</f>
        <v>－</v>
      </c>
    </row>
    <row r="1561">
      <c r="A1561" s="20" t="s">
        <v>2775</v>
      </c>
      <c r="B1561" s="21" t="s">
        <v>2776</v>
      </c>
      <c r="C1561" s="22" t="s">
        <v>1764</v>
      </c>
      <c r="D1561" s="23" t="s">
        <v>1765</v>
      </c>
      <c r="E1561" s="24" t="s">
        <v>130</v>
      </c>
      <c r="F1561" s="28" t="n">
        <f>121</f>
        <v>121.0</v>
      </c>
      <c r="G1561" s="25" t="str">
        <f>"－"</f>
        <v>－</v>
      </c>
      <c r="H1561" s="25"/>
      <c r="I1561" s="25" t="str">
        <f>"－"</f>
        <v>－</v>
      </c>
      <c r="J1561" s="25" t="str">
        <f>"－"</f>
        <v>－</v>
      </c>
      <c r="K1561" s="25" t="str">
        <f>"－"</f>
        <v>－</v>
      </c>
      <c r="L1561" s="2" t="s">
        <v>156</v>
      </c>
      <c r="M1561" s="26" t="str">
        <f>"－"</f>
        <v>－</v>
      </c>
      <c r="N1561" s="3" t="s">
        <v>156</v>
      </c>
      <c r="O1561" s="27" t="str">
        <f>"－"</f>
        <v>－</v>
      </c>
      <c r="P1561" s="29" t="s">
        <v>262</v>
      </c>
      <c r="Q1561" s="25"/>
      <c r="R1561" s="29" t="s">
        <v>262</v>
      </c>
      <c r="S1561" s="25" t="str">
        <f>"－"</f>
        <v>－</v>
      </c>
      <c r="T1561" s="25" t="str">
        <f>"－"</f>
        <v>－</v>
      </c>
      <c r="U1561" s="3" t="s">
        <v>156</v>
      </c>
      <c r="V1561" s="27" t="str">
        <f>"－"</f>
        <v>－</v>
      </c>
      <c r="W1561" s="3" t="s">
        <v>156</v>
      </c>
      <c r="X1561" s="27" t="str">
        <f>"－"</f>
        <v>－</v>
      </c>
      <c r="Y1561" s="27" t="str">
        <f>"－"</f>
        <v>－</v>
      </c>
      <c r="Z1561" s="25" t="str">
        <f>"－"</f>
        <v>－</v>
      </c>
      <c r="AA1561" s="25" t="str">
        <f>"－"</f>
        <v>－</v>
      </c>
      <c r="AB1561" s="2" t="s">
        <v>156</v>
      </c>
      <c r="AC1561" s="26" t="str">
        <f>"－"</f>
        <v>－</v>
      </c>
      <c r="AD1561" s="3" t="s">
        <v>156</v>
      </c>
      <c r="AE1561" s="27" t="str">
        <f>"－"</f>
        <v>－</v>
      </c>
    </row>
    <row r="1562">
      <c r="A1562" s="20" t="s">
        <v>2775</v>
      </c>
      <c r="B1562" s="21" t="s">
        <v>2776</v>
      </c>
      <c r="C1562" s="22" t="s">
        <v>1768</v>
      </c>
      <c r="D1562" s="23" t="s">
        <v>1769</v>
      </c>
      <c r="E1562" s="24" t="s">
        <v>130</v>
      </c>
      <c r="F1562" s="28" t="n">
        <f>121</f>
        <v>121.0</v>
      </c>
      <c r="G1562" s="25" t="str">
        <f>"－"</f>
        <v>－</v>
      </c>
      <c r="H1562" s="25"/>
      <c r="I1562" s="25" t="str">
        <f>"－"</f>
        <v>－</v>
      </c>
      <c r="J1562" s="25" t="str">
        <f>"－"</f>
        <v>－</v>
      </c>
      <c r="K1562" s="25" t="str">
        <f>"－"</f>
        <v>－</v>
      </c>
      <c r="L1562" s="2" t="s">
        <v>156</v>
      </c>
      <c r="M1562" s="26" t="str">
        <f>"－"</f>
        <v>－</v>
      </c>
      <c r="N1562" s="3" t="s">
        <v>156</v>
      </c>
      <c r="O1562" s="27" t="str">
        <f>"－"</f>
        <v>－</v>
      </c>
      <c r="P1562" s="29" t="s">
        <v>262</v>
      </c>
      <c r="Q1562" s="25"/>
      <c r="R1562" s="29" t="s">
        <v>262</v>
      </c>
      <c r="S1562" s="25" t="str">
        <f>"－"</f>
        <v>－</v>
      </c>
      <c r="T1562" s="25" t="str">
        <f>"－"</f>
        <v>－</v>
      </c>
      <c r="U1562" s="3" t="s">
        <v>156</v>
      </c>
      <c r="V1562" s="27" t="str">
        <f>"－"</f>
        <v>－</v>
      </c>
      <c r="W1562" s="3" t="s">
        <v>156</v>
      </c>
      <c r="X1562" s="27" t="str">
        <f>"－"</f>
        <v>－</v>
      </c>
      <c r="Y1562" s="27" t="str">
        <f>"－"</f>
        <v>－</v>
      </c>
      <c r="Z1562" s="25" t="str">
        <f>"－"</f>
        <v>－</v>
      </c>
      <c r="AA1562" s="25" t="str">
        <f>"－"</f>
        <v>－</v>
      </c>
      <c r="AB1562" s="2" t="s">
        <v>156</v>
      </c>
      <c r="AC1562" s="26" t="str">
        <f>"－"</f>
        <v>－</v>
      </c>
      <c r="AD1562" s="3" t="s">
        <v>156</v>
      </c>
      <c r="AE1562" s="27" t="str">
        <f>"－"</f>
        <v>－</v>
      </c>
    </row>
    <row r="1563">
      <c r="A1563" s="20" t="s">
        <v>2775</v>
      </c>
      <c r="B1563" s="21" t="s">
        <v>2776</v>
      </c>
      <c r="C1563" s="22" t="s">
        <v>1760</v>
      </c>
      <c r="D1563" s="23" t="s">
        <v>1761</v>
      </c>
      <c r="E1563" s="24" t="s">
        <v>136</v>
      </c>
      <c r="F1563" s="28" t="n">
        <f>124</f>
        <v>124.0</v>
      </c>
      <c r="G1563" s="25" t="str">
        <f>"－"</f>
        <v>－</v>
      </c>
      <c r="H1563" s="25"/>
      <c r="I1563" s="25" t="str">
        <f>"－"</f>
        <v>－</v>
      </c>
      <c r="J1563" s="25" t="str">
        <f>"－"</f>
        <v>－</v>
      </c>
      <c r="K1563" s="25" t="str">
        <f>"－"</f>
        <v>－</v>
      </c>
      <c r="L1563" s="2" t="s">
        <v>68</v>
      </c>
      <c r="M1563" s="26" t="str">
        <f>"－"</f>
        <v>－</v>
      </c>
      <c r="N1563" s="3" t="s">
        <v>68</v>
      </c>
      <c r="O1563" s="27" t="str">
        <f>"－"</f>
        <v>－</v>
      </c>
      <c r="P1563" s="29" t="s">
        <v>262</v>
      </c>
      <c r="Q1563" s="25"/>
      <c r="R1563" s="29" t="s">
        <v>262</v>
      </c>
      <c r="S1563" s="25" t="str">
        <f>"－"</f>
        <v>－</v>
      </c>
      <c r="T1563" s="25" t="str">
        <f>"－"</f>
        <v>－</v>
      </c>
      <c r="U1563" s="3" t="s">
        <v>68</v>
      </c>
      <c r="V1563" s="27" t="str">
        <f>"－"</f>
        <v>－</v>
      </c>
      <c r="W1563" s="3" t="s">
        <v>68</v>
      </c>
      <c r="X1563" s="27" t="str">
        <f>"－"</f>
        <v>－</v>
      </c>
      <c r="Y1563" s="27" t="str">
        <f>"－"</f>
        <v>－</v>
      </c>
      <c r="Z1563" s="25" t="str">
        <f>"－"</f>
        <v>－</v>
      </c>
      <c r="AA1563" s="25" t="str">
        <f>"－"</f>
        <v>－</v>
      </c>
      <c r="AB1563" s="2" t="s">
        <v>68</v>
      </c>
      <c r="AC1563" s="26" t="str">
        <f>"－"</f>
        <v>－</v>
      </c>
      <c r="AD1563" s="3" t="s">
        <v>68</v>
      </c>
      <c r="AE1563" s="27" t="str">
        <f>"－"</f>
        <v>－</v>
      </c>
    </row>
    <row r="1564">
      <c r="A1564" s="20" t="s">
        <v>2775</v>
      </c>
      <c r="B1564" s="21" t="s">
        <v>2776</v>
      </c>
      <c r="C1564" s="22" t="s">
        <v>1764</v>
      </c>
      <c r="D1564" s="23" t="s">
        <v>1765</v>
      </c>
      <c r="E1564" s="24" t="s">
        <v>136</v>
      </c>
      <c r="F1564" s="28" t="n">
        <f>124</f>
        <v>124.0</v>
      </c>
      <c r="G1564" s="25" t="str">
        <f>"－"</f>
        <v>－</v>
      </c>
      <c r="H1564" s="25"/>
      <c r="I1564" s="25" t="str">
        <f>"－"</f>
        <v>－</v>
      </c>
      <c r="J1564" s="25" t="str">
        <f>"－"</f>
        <v>－</v>
      </c>
      <c r="K1564" s="25" t="str">
        <f>"－"</f>
        <v>－</v>
      </c>
      <c r="L1564" s="2" t="s">
        <v>68</v>
      </c>
      <c r="M1564" s="26" t="str">
        <f>"－"</f>
        <v>－</v>
      </c>
      <c r="N1564" s="3" t="s">
        <v>68</v>
      </c>
      <c r="O1564" s="27" t="str">
        <f>"－"</f>
        <v>－</v>
      </c>
      <c r="P1564" s="29" t="s">
        <v>262</v>
      </c>
      <c r="Q1564" s="25"/>
      <c r="R1564" s="29" t="s">
        <v>262</v>
      </c>
      <c r="S1564" s="25" t="str">
        <f>"－"</f>
        <v>－</v>
      </c>
      <c r="T1564" s="25" t="str">
        <f>"－"</f>
        <v>－</v>
      </c>
      <c r="U1564" s="3" t="s">
        <v>68</v>
      </c>
      <c r="V1564" s="27" t="str">
        <f>"－"</f>
        <v>－</v>
      </c>
      <c r="W1564" s="3" t="s">
        <v>68</v>
      </c>
      <c r="X1564" s="27" t="str">
        <f>"－"</f>
        <v>－</v>
      </c>
      <c r="Y1564" s="27" t="str">
        <f>"－"</f>
        <v>－</v>
      </c>
      <c r="Z1564" s="25" t="str">
        <f>"－"</f>
        <v>－</v>
      </c>
      <c r="AA1564" s="25" t="str">
        <f>"－"</f>
        <v>－</v>
      </c>
      <c r="AB1564" s="2" t="s">
        <v>68</v>
      </c>
      <c r="AC1564" s="26" t="str">
        <f>"－"</f>
        <v>－</v>
      </c>
      <c r="AD1564" s="3" t="s">
        <v>68</v>
      </c>
      <c r="AE1564" s="27" t="str">
        <f>"－"</f>
        <v>－</v>
      </c>
    </row>
    <row r="1565">
      <c r="A1565" s="20" t="s">
        <v>2775</v>
      </c>
      <c r="B1565" s="21" t="s">
        <v>2776</v>
      </c>
      <c r="C1565" s="22" t="s">
        <v>1768</v>
      </c>
      <c r="D1565" s="23" t="s">
        <v>1769</v>
      </c>
      <c r="E1565" s="24" t="s">
        <v>136</v>
      </c>
      <c r="F1565" s="28" t="n">
        <f>124</f>
        <v>124.0</v>
      </c>
      <c r="G1565" s="25" t="str">
        <f>"－"</f>
        <v>－</v>
      </c>
      <c r="H1565" s="25"/>
      <c r="I1565" s="25" t="str">
        <f>"－"</f>
        <v>－</v>
      </c>
      <c r="J1565" s="25" t="str">
        <f>"－"</f>
        <v>－</v>
      </c>
      <c r="K1565" s="25" t="str">
        <f>"－"</f>
        <v>－</v>
      </c>
      <c r="L1565" s="2" t="s">
        <v>68</v>
      </c>
      <c r="M1565" s="26" t="str">
        <f>"－"</f>
        <v>－</v>
      </c>
      <c r="N1565" s="3" t="s">
        <v>68</v>
      </c>
      <c r="O1565" s="27" t="str">
        <f>"－"</f>
        <v>－</v>
      </c>
      <c r="P1565" s="29" t="s">
        <v>262</v>
      </c>
      <c r="Q1565" s="25"/>
      <c r="R1565" s="29" t="s">
        <v>262</v>
      </c>
      <c r="S1565" s="25" t="str">
        <f>"－"</f>
        <v>－</v>
      </c>
      <c r="T1565" s="25" t="str">
        <f>"－"</f>
        <v>－</v>
      </c>
      <c r="U1565" s="3" t="s">
        <v>68</v>
      </c>
      <c r="V1565" s="27" t="str">
        <f>"－"</f>
        <v>－</v>
      </c>
      <c r="W1565" s="3" t="s">
        <v>68</v>
      </c>
      <c r="X1565" s="27" t="str">
        <f>"－"</f>
        <v>－</v>
      </c>
      <c r="Y1565" s="27" t="str">
        <f>"－"</f>
        <v>－</v>
      </c>
      <c r="Z1565" s="25" t="str">
        <f>"－"</f>
        <v>－</v>
      </c>
      <c r="AA1565" s="25" t="str">
        <f>"－"</f>
        <v>－</v>
      </c>
      <c r="AB1565" s="2" t="s">
        <v>68</v>
      </c>
      <c r="AC1565" s="26" t="str">
        <f>"－"</f>
        <v>－</v>
      </c>
      <c r="AD1565" s="3" t="s">
        <v>68</v>
      </c>
      <c r="AE1565" s="27" t="str">
        <f>"－"</f>
        <v>－</v>
      </c>
    </row>
    <row r="1566">
      <c r="A1566" s="20" t="s">
        <v>2775</v>
      </c>
      <c r="B1566" s="21" t="s">
        <v>2776</v>
      </c>
      <c r="C1566" s="22" t="s">
        <v>1760</v>
      </c>
      <c r="D1566" s="23" t="s">
        <v>1761</v>
      </c>
      <c r="E1566" s="24" t="s">
        <v>142</v>
      </c>
      <c r="F1566" s="28" t="n">
        <f>120</f>
        <v>120.0</v>
      </c>
      <c r="G1566" s="25" t="str">
        <f>"－"</f>
        <v>－</v>
      </c>
      <c r="H1566" s="25"/>
      <c r="I1566" s="25" t="str">
        <f>"－"</f>
        <v>－</v>
      </c>
      <c r="J1566" s="25" t="str">
        <f>"－"</f>
        <v>－</v>
      </c>
      <c r="K1566" s="25" t="str">
        <f>"－"</f>
        <v>－</v>
      </c>
      <c r="L1566" s="2" t="s">
        <v>156</v>
      </c>
      <c r="M1566" s="26" t="str">
        <f>"－"</f>
        <v>－</v>
      </c>
      <c r="N1566" s="3" t="s">
        <v>156</v>
      </c>
      <c r="O1566" s="27" t="str">
        <f>"－"</f>
        <v>－</v>
      </c>
      <c r="P1566" s="29" t="s">
        <v>262</v>
      </c>
      <c r="Q1566" s="25"/>
      <c r="R1566" s="29" t="s">
        <v>262</v>
      </c>
      <c r="S1566" s="25" t="str">
        <f>"－"</f>
        <v>－</v>
      </c>
      <c r="T1566" s="25" t="str">
        <f>"－"</f>
        <v>－</v>
      </c>
      <c r="U1566" s="3" t="s">
        <v>156</v>
      </c>
      <c r="V1566" s="27" t="str">
        <f>"－"</f>
        <v>－</v>
      </c>
      <c r="W1566" s="3" t="s">
        <v>156</v>
      </c>
      <c r="X1566" s="27" t="str">
        <f>"－"</f>
        <v>－</v>
      </c>
      <c r="Y1566" s="27" t="str">
        <f>"－"</f>
        <v>－</v>
      </c>
      <c r="Z1566" s="25" t="str">
        <f>"－"</f>
        <v>－</v>
      </c>
      <c r="AA1566" s="25" t="str">
        <f>"－"</f>
        <v>－</v>
      </c>
      <c r="AB1566" s="2" t="s">
        <v>156</v>
      </c>
      <c r="AC1566" s="26" t="str">
        <f>"－"</f>
        <v>－</v>
      </c>
      <c r="AD1566" s="3" t="s">
        <v>156</v>
      </c>
      <c r="AE1566" s="27" t="str">
        <f>"－"</f>
        <v>－</v>
      </c>
    </row>
    <row r="1567">
      <c r="A1567" s="20" t="s">
        <v>2775</v>
      </c>
      <c r="B1567" s="21" t="s">
        <v>2776</v>
      </c>
      <c r="C1567" s="22" t="s">
        <v>1764</v>
      </c>
      <c r="D1567" s="23" t="s">
        <v>1765</v>
      </c>
      <c r="E1567" s="24" t="s">
        <v>142</v>
      </c>
      <c r="F1567" s="28" t="n">
        <f>120</f>
        <v>120.0</v>
      </c>
      <c r="G1567" s="25" t="str">
        <f>"－"</f>
        <v>－</v>
      </c>
      <c r="H1567" s="25"/>
      <c r="I1567" s="25" t="str">
        <f>"－"</f>
        <v>－</v>
      </c>
      <c r="J1567" s="25" t="str">
        <f>"－"</f>
        <v>－</v>
      </c>
      <c r="K1567" s="25" t="str">
        <f>"－"</f>
        <v>－</v>
      </c>
      <c r="L1567" s="2" t="s">
        <v>156</v>
      </c>
      <c r="M1567" s="26" t="str">
        <f>"－"</f>
        <v>－</v>
      </c>
      <c r="N1567" s="3" t="s">
        <v>156</v>
      </c>
      <c r="O1567" s="27" t="str">
        <f>"－"</f>
        <v>－</v>
      </c>
      <c r="P1567" s="29" t="s">
        <v>262</v>
      </c>
      <c r="Q1567" s="25"/>
      <c r="R1567" s="29" t="s">
        <v>262</v>
      </c>
      <c r="S1567" s="25" t="str">
        <f>"－"</f>
        <v>－</v>
      </c>
      <c r="T1567" s="25" t="str">
        <f>"－"</f>
        <v>－</v>
      </c>
      <c r="U1567" s="3" t="s">
        <v>156</v>
      </c>
      <c r="V1567" s="27" t="str">
        <f>"－"</f>
        <v>－</v>
      </c>
      <c r="W1567" s="3" t="s">
        <v>156</v>
      </c>
      <c r="X1567" s="27" t="str">
        <f>"－"</f>
        <v>－</v>
      </c>
      <c r="Y1567" s="27" t="str">
        <f>"－"</f>
        <v>－</v>
      </c>
      <c r="Z1567" s="25" t="str">
        <f>"－"</f>
        <v>－</v>
      </c>
      <c r="AA1567" s="25" t="str">
        <f>"－"</f>
        <v>－</v>
      </c>
      <c r="AB1567" s="2" t="s">
        <v>156</v>
      </c>
      <c r="AC1567" s="26" t="str">
        <f>"－"</f>
        <v>－</v>
      </c>
      <c r="AD1567" s="3" t="s">
        <v>156</v>
      </c>
      <c r="AE1567" s="27" t="str">
        <f>"－"</f>
        <v>－</v>
      </c>
    </row>
    <row r="1568">
      <c r="A1568" s="20" t="s">
        <v>2775</v>
      </c>
      <c r="B1568" s="21" t="s">
        <v>2776</v>
      </c>
      <c r="C1568" s="22" t="s">
        <v>1768</v>
      </c>
      <c r="D1568" s="23" t="s">
        <v>1769</v>
      </c>
      <c r="E1568" s="24" t="s">
        <v>142</v>
      </c>
      <c r="F1568" s="28" t="n">
        <f>120</f>
        <v>120.0</v>
      </c>
      <c r="G1568" s="25" t="str">
        <f>"－"</f>
        <v>－</v>
      </c>
      <c r="H1568" s="25"/>
      <c r="I1568" s="25" t="str">
        <f>"－"</f>
        <v>－</v>
      </c>
      <c r="J1568" s="25" t="str">
        <f>"－"</f>
        <v>－</v>
      </c>
      <c r="K1568" s="25" t="str">
        <f>"－"</f>
        <v>－</v>
      </c>
      <c r="L1568" s="2" t="s">
        <v>156</v>
      </c>
      <c r="M1568" s="26" t="str">
        <f>"－"</f>
        <v>－</v>
      </c>
      <c r="N1568" s="3" t="s">
        <v>156</v>
      </c>
      <c r="O1568" s="27" t="str">
        <f>"－"</f>
        <v>－</v>
      </c>
      <c r="P1568" s="29" t="s">
        <v>262</v>
      </c>
      <c r="Q1568" s="25"/>
      <c r="R1568" s="29" t="s">
        <v>262</v>
      </c>
      <c r="S1568" s="25" t="str">
        <f>"－"</f>
        <v>－</v>
      </c>
      <c r="T1568" s="25" t="str">
        <f>"－"</f>
        <v>－</v>
      </c>
      <c r="U1568" s="3" t="s">
        <v>156</v>
      </c>
      <c r="V1568" s="27" t="str">
        <f>"－"</f>
        <v>－</v>
      </c>
      <c r="W1568" s="3" t="s">
        <v>156</v>
      </c>
      <c r="X1568" s="27" t="str">
        <f>"－"</f>
        <v>－</v>
      </c>
      <c r="Y1568" s="27" t="str">
        <f>"－"</f>
        <v>－</v>
      </c>
      <c r="Z1568" s="25" t="str">
        <f>"－"</f>
        <v>－</v>
      </c>
      <c r="AA1568" s="25" t="str">
        <f>"－"</f>
        <v>－</v>
      </c>
      <c r="AB1568" s="2" t="s">
        <v>156</v>
      </c>
      <c r="AC1568" s="26" t="str">
        <f>"－"</f>
        <v>－</v>
      </c>
      <c r="AD1568" s="3" t="s">
        <v>156</v>
      </c>
      <c r="AE1568" s="27" t="str">
        <f>"－"</f>
        <v>－</v>
      </c>
    </row>
    <row r="1569">
      <c r="A1569" s="20" t="s">
        <v>2775</v>
      </c>
      <c r="B1569" s="21" t="s">
        <v>2776</v>
      </c>
      <c r="C1569" s="22" t="s">
        <v>1760</v>
      </c>
      <c r="D1569" s="23" t="s">
        <v>1761</v>
      </c>
      <c r="E1569" s="24" t="s">
        <v>148</v>
      </c>
      <c r="F1569" s="28" t="n">
        <f>124</f>
        <v>124.0</v>
      </c>
      <c r="G1569" s="25" t="str">
        <f>"－"</f>
        <v>－</v>
      </c>
      <c r="H1569" s="25"/>
      <c r="I1569" s="25" t="str">
        <f>"－"</f>
        <v>－</v>
      </c>
      <c r="J1569" s="25" t="str">
        <f>"－"</f>
        <v>－</v>
      </c>
      <c r="K1569" s="25" t="str">
        <f>"－"</f>
        <v>－</v>
      </c>
      <c r="L1569" s="2" t="s">
        <v>68</v>
      </c>
      <c r="M1569" s="26" t="str">
        <f>"－"</f>
        <v>－</v>
      </c>
      <c r="N1569" s="3" t="s">
        <v>68</v>
      </c>
      <c r="O1569" s="27" t="str">
        <f>"－"</f>
        <v>－</v>
      </c>
      <c r="P1569" s="29" t="s">
        <v>262</v>
      </c>
      <c r="Q1569" s="25"/>
      <c r="R1569" s="29" t="s">
        <v>262</v>
      </c>
      <c r="S1569" s="25" t="str">
        <f>"－"</f>
        <v>－</v>
      </c>
      <c r="T1569" s="25" t="str">
        <f>"－"</f>
        <v>－</v>
      </c>
      <c r="U1569" s="3" t="s">
        <v>68</v>
      </c>
      <c r="V1569" s="27" t="str">
        <f>"－"</f>
        <v>－</v>
      </c>
      <c r="W1569" s="3" t="s">
        <v>68</v>
      </c>
      <c r="X1569" s="27" t="str">
        <f>"－"</f>
        <v>－</v>
      </c>
      <c r="Y1569" s="27" t="str">
        <f>"－"</f>
        <v>－</v>
      </c>
      <c r="Z1569" s="25" t="str">
        <f>"－"</f>
        <v>－</v>
      </c>
      <c r="AA1569" s="25" t="str">
        <f>"－"</f>
        <v>－</v>
      </c>
      <c r="AB1569" s="2" t="s">
        <v>68</v>
      </c>
      <c r="AC1569" s="26" t="str">
        <f>"－"</f>
        <v>－</v>
      </c>
      <c r="AD1569" s="3" t="s">
        <v>68</v>
      </c>
      <c r="AE1569" s="27" t="str">
        <f>"－"</f>
        <v>－</v>
      </c>
    </row>
    <row r="1570">
      <c r="A1570" s="20" t="s">
        <v>2775</v>
      </c>
      <c r="B1570" s="21" t="s">
        <v>2776</v>
      </c>
      <c r="C1570" s="22" t="s">
        <v>1764</v>
      </c>
      <c r="D1570" s="23" t="s">
        <v>1765</v>
      </c>
      <c r="E1570" s="24" t="s">
        <v>148</v>
      </c>
      <c r="F1570" s="28" t="n">
        <f>124</f>
        <v>124.0</v>
      </c>
      <c r="G1570" s="25" t="str">
        <f>"－"</f>
        <v>－</v>
      </c>
      <c r="H1570" s="25"/>
      <c r="I1570" s="25" t="str">
        <f>"－"</f>
        <v>－</v>
      </c>
      <c r="J1570" s="25" t="str">
        <f>"－"</f>
        <v>－</v>
      </c>
      <c r="K1570" s="25" t="str">
        <f>"－"</f>
        <v>－</v>
      </c>
      <c r="L1570" s="2" t="s">
        <v>68</v>
      </c>
      <c r="M1570" s="26" t="str">
        <f>"－"</f>
        <v>－</v>
      </c>
      <c r="N1570" s="3" t="s">
        <v>68</v>
      </c>
      <c r="O1570" s="27" t="str">
        <f>"－"</f>
        <v>－</v>
      </c>
      <c r="P1570" s="29" t="s">
        <v>262</v>
      </c>
      <c r="Q1570" s="25"/>
      <c r="R1570" s="29" t="s">
        <v>262</v>
      </c>
      <c r="S1570" s="25" t="str">
        <f>"－"</f>
        <v>－</v>
      </c>
      <c r="T1570" s="25" t="str">
        <f>"－"</f>
        <v>－</v>
      </c>
      <c r="U1570" s="3" t="s">
        <v>68</v>
      </c>
      <c r="V1570" s="27" t="str">
        <f>"－"</f>
        <v>－</v>
      </c>
      <c r="W1570" s="3" t="s">
        <v>68</v>
      </c>
      <c r="X1570" s="27" t="str">
        <f>"－"</f>
        <v>－</v>
      </c>
      <c r="Y1570" s="27" t="str">
        <f>"－"</f>
        <v>－</v>
      </c>
      <c r="Z1570" s="25" t="str">
        <f>"－"</f>
        <v>－</v>
      </c>
      <c r="AA1570" s="25" t="str">
        <f>"－"</f>
        <v>－</v>
      </c>
      <c r="AB1570" s="2" t="s">
        <v>68</v>
      </c>
      <c r="AC1570" s="26" t="str">
        <f>"－"</f>
        <v>－</v>
      </c>
      <c r="AD1570" s="3" t="s">
        <v>68</v>
      </c>
      <c r="AE1570" s="27" t="str">
        <f>"－"</f>
        <v>－</v>
      </c>
    </row>
    <row r="1571">
      <c r="A1571" s="20" t="s">
        <v>2775</v>
      </c>
      <c r="B1571" s="21" t="s">
        <v>2776</v>
      </c>
      <c r="C1571" s="22" t="s">
        <v>1768</v>
      </c>
      <c r="D1571" s="23" t="s">
        <v>1769</v>
      </c>
      <c r="E1571" s="24" t="s">
        <v>148</v>
      </c>
      <c r="F1571" s="28" t="n">
        <f>124</f>
        <v>124.0</v>
      </c>
      <c r="G1571" s="25" t="str">
        <f>"－"</f>
        <v>－</v>
      </c>
      <c r="H1571" s="25"/>
      <c r="I1571" s="25" t="str">
        <f>"－"</f>
        <v>－</v>
      </c>
      <c r="J1571" s="25" t="str">
        <f>"－"</f>
        <v>－</v>
      </c>
      <c r="K1571" s="25" t="str">
        <f>"－"</f>
        <v>－</v>
      </c>
      <c r="L1571" s="2" t="s">
        <v>68</v>
      </c>
      <c r="M1571" s="26" t="str">
        <f>"－"</f>
        <v>－</v>
      </c>
      <c r="N1571" s="3" t="s">
        <v>68</v>
      </c>
      <c r="O1571" s="27" t="str">
        <f>"－"</f>
        <v>－</v>
      </c>
      <c r="P1571" s="29" t="s">
        <v>262</v>
      </c>
      <c r="Q1571" s="25"/>
      <c r="R1571" s="29" t="s">
        <v>262</v>
      </c>
      <c r="S1571" s="25" t="str">
        <f>"－"</f>
        <v>－</v>
      </c>
      <c r="T1571" s="25" t="str">
        <f>"－"</f>
        <v>－</v>
      </c>
      <c r="U1571" s="3" t="s">
        <v>68</v>
      </c>
      <c r="V1571" s="27" t="str">
        <f>"－"</f>
        <v>－</v>
      </c>
      <c r="W1571" s="3" t="s">
        <v>68</v>
      </c>
      <c r="X1571" s="27" t="str">
        <f>"－"</f>
        <v>－</v>
      </c>
      <c r="Y1571" s="27" t="str">
        <f>"－"</f>
        <v>－</v>
      </c>
      <c r="Z1571" s="25" t="str">
        <f>"－"</f>
        <v>－</v>
      </c>
      <c r="AA1571" s="25" t="str">
        <f>"－"</f>
        <v>－</v>
      </c>
      <c r="AB1571" s="2" t="s">
        <v>68</v>
      </c>
      <c r="AC1571" s="26" t="str">
        <f>"－"</f>
        <v>－</v>
      </c>
      <c r="AD1571" s="3" t="s">
        <v>68</v>
      </c>
      <c r="AE1571" s="27" t="str">
        <f>"－"</f>
        <v>－</v>
      </c>
    </row>
    <row r="1572">
      <c r="A1572" s="20" t="s">
        <v>2775</v>
      </c>
      <c r="B1572" s="21" t="s">
        <v>2776</v>
      </c>
      <c r="C1572" s="22" t="s">
        <v>1760</v>
      </c>
      <c r="D1572" s="23" t="s">
        <v>1761</v>
      </c>
      <c r="E1572" s="24" t="s">
        <v>151</v>
      </c>
      <c r="F1572" s="28" t="n">
        <f>122</f>
        <v>122.0</v>
      </c>
      <c r="G1572" s="25" t="str">
        <f>"－"</f>
        <v>－</v>
      </c>
      <c r="H1572" s="25"/>
      <c r="I1572" s="25" t="str">
        <f>"－"</f>
        <v>－</v>
      </c>
      <c r="J1572" s="25" t="str">
        <f>"－"</f>
        <v>－</v>
      </c>
      <c r="K1572" s="25" t="str">
        <f>"－"</f>
        <v>－</v>
      </c>
      <c r="L1572" s="2" t="s">
        <v>156</v>
      </c>
      <c r="M1572" s="26" t="str">
        <f>"－"</f>
        <v>－</v>
      </c>
      <c r="N1572" s="3" t="s">
        <v>156</v>
      </c>
      <c r="O1572" s="27" t="str">
        <f>"－"</f>
        <v>－</v>
      </c>
      <c r="P1572" s="29" t="s">
        <v>262</v>
      </c>
      <c r="Q1572" s="25"/>
      <c r="R1572" s="29" t="s">
        <v>262</v>
      </c>
      <c r="S1572" s="25" t="str">
        <f>"－"</f>
        <v>－</v>
      </c>
      <c r="T1572" s="25" t="str">
        <f>"－"</f>
        <v>－</v>
      </c>
      <c r="U1572" s="3" t="s">
        <v>156</v>
      </c>
      <c r="V1572" s="27" t="str">
        <f>"－"</f>
        <v>－</v>
      </c>
      <c r="W1572" s="3" t="s">
        <v>156</v>
      </c>
      <c r="X1572" s="27" t="str">
        <f>"－"</f>
        <v>－</v>
      </c>
      <c r="Y1572" s="27" t="str">
        <f>"－"</f>
        <v>－</v>
      </c>
      <c r="Z1572" s="25" t="str">
        <f>"－"</f>
        <v>－</v>
      </c>
      <c r="AA1572" s="25" t="str">
        <f>"－"</f>
        <v>－</v>
      </c>
      <c r="AB1572" s="2" t="s">
        <v>156</v>
      </c>
      <c r="AC1572" s="26" t="str">
        <f>"－"</f>
        <v>－</v>
      </c>
      <c r="AD1572" s="3" t="s">
        <v>156</v>
      </c>
      <c r="AE1572" s="27" t="str">
        <f>"－"</f>
        <v>－</v>
      </c>
    </row>
    <row r="1573">
      <c r="A1573" s="20" t="s">
        <v>2775</v>
      </c>
      <c r="B1573" s="21" t="s">
        <v>2776</v>
      </c>
      <c r="C1573" s="22" t="s">
        <v>1764</v>
      </c>
      <c r="D1573" s="23" t="s">
        <v>1765</v>
      </c>
      <c r="E1573" s="24" t="s">
        <v>151</v>
      </c>
      <c r="F1573" s="28" t="n">
        <f>122</f>
        <v>122.0</v>
      </c>
      <c r="G1573" s="25" t="str">
        <f>"－"</f>
        <v>－</v>
      </c>
      <c r="H1573" s="25"/>
      <c r="I1573" s="25" t="str">
        <f>"－"</f>
        <v>－</v>
      </c>
      <c r="J1573" s="25" t="str">
        <f>"－"</f>
        <v>－</v>
      </c>
      <c r="K1573" s="25" t="str">
        <f>"－"</f>
        <v>－</v>
      </c>
      <c r="L1573" s="2" t="s">
        <v>156</v>
      </c>
      <c r="M1573" s="26" t="str">
        <f>"－"</f>
        <v>－</v>
      </c>
      <c r="N1573" s="3" t="s">
        <v>156</v>
      </c>
      <c r="O1573" s="27" t="str">
        <f>"－"</f>
        <v>－</v>
      </c>
      <c r="P1573" s="29" t="s">
        <v>262</v>
      </c>
      <c r="Q1573" s="25"/>
      <c r="R1573" s="29" t="s">
        <v>262</v>
      </c>
      <c r="S1573" s="25" t="str">
        <f>"－"</f>
        <v>－</v>
      </c>
      <c r="T1573" s="25" t="str">
        <f>"－"</f>
        <v>－</v>
      </c>
      <c r="U1573" s="3" t="s">
        <v>156</v>
      </c>
      <c r="V1573" s="27" t="str">
        <f>"－"</f>
        <v>－</v>
      </c>
      <c r="W1573" s="3" t="s">
        <v>156</v>
      </c>
      <c r="X1573" s="27" t="str">
        <f>"－"</f>
        <v>－</v>
      </c>
      <c r="Y1573" s="27" t="str">
        <f>"－"</f>
        <v>－</v>
      </c>
      <c r="Z1573" s="25" t="str">
        <f>"－"</f>
        <v>－</v>
      </c>
      <c r="AA1573" s="25" t="str">
        <f>"－"</f>
        <v>－</v>
      </c>
      <c r="AB1573" s="2" t="s">
        <v>156</v>
      </c>
      <c r="AC1573" s="26" t="str">
        <f>"－"</f>
        <v>－</v>
      </c>
      <c r="AD1573" s="3" t="s">
        <v>156</v>
      </c>
      <c r="AE1573" s="27" t="str">
        <f>"－"</f>
        <v>－</v>
      </c>
    </row>
    <row r="1574">
      <c r="A1574" s="20" t="s">
        <v>2775</v>
      </c>
      <c r="B1574" s="21" t="s">
        <v>2776</v>
      </c>
      <c r="C1574" s="22" t="s">
        <v>1768</v>
      </c>
      <c r="D1574" s="23" t="s">
        <v>1769</v>
      </c>
      <c r="E1574" s="24" t="s">
        <v>151</v>
      </c>
      <c r="F1574" s="28" t="n">
        <f>122</f>
        <v>122.0</v>
      </c>
      <c r="G1574" s="25" t="str">
        <f>"－"</f>
        <v>－</v>
      </c>
      <c r="H1574" s="25"/>
      <c r="I1574" s="25" t="str">
        <f>"－"</f>
        <v>－</v>
      </c>
      <c r="J1574" s="25" t="str">
        <f>"－"</f>
        <v>－</v>
      </c>
      <c r="K1574" s="25" t="str">
        <f>"－"</f>
        <v>－</v>
      </c>
      <c r="L1574" s="2" t="s">
        <v>156</v>
      </c>
      <c r="M1574" s="26" t="str">
        <f>"－"</f>
        <v>－</v>
      </c>
      <c r="N1574" s="3" t="s">
        <v>156</v>
      </c>
      <c r="O1574" s="27" t="str">
        <f>"－"</f>
        <v>－</v>
      </c>
      <c r="P1574" s="29" t="s">
        <v>262</v>
      </c>
      <c r="Q1574" s="25"/>
      <c r="R1574" s="29" t="s">
        <v>262</v>
      </c>
      <c r="S1574" s="25" t="str">
        <f>"－"</f>
        <v>－</v>
      </c>
      <c r="T1574" s="25" t="str">
        <f>"－"</f>
        <v>－</v>
      </c>
      <c r="U1574" s="3" t="s">
        <v>156</v>
      </c>
      <c r="V1574" s="27" t="str">
        <f>"－"</f>
        <v>－</v>
      </c>
      <c r="W1574" s="3" t="s">
        <v>156</v>
      </c>
      <c r="X1574" s="27" t="str">
        <f>"－"</f>
        <v>－</v>
      </c>
      <c r="Y1574" s="27" t="str">
        <f>"－"</f>
        <v>－</v>
      </c>
      <c r="Z1574" s="25" t="str">
        <f>"－"</f>
        <v>－</v>
      </c>
      <c r="AA1574" s="25" t="str">
        <f>"－"</f>
        <v>－</v>
      </c>
      <c r="AB1574" s="2" t="s">
        <v>156</v>
      </c>
      <c r="AC1574" s="26" t="str">
        <f>"－"</f>
        <v>－</v>
      </c>
      <c r="AD1574" s="3" t="s">
        <v>156</v>
      </c>
      <c r="AE1574" s="27" t="str">
        <f>"－"</f>
        <v>－</v>
      </c>
    </row>
    <row r="1575">
      <c r="A1575" s="20" t="s">
        <v>2775</v>
      </c>
      <c r="B1575" s="21" t="s">
        <v>2776</v>
      </c>
      <c r="C1575" s="22" t="s">
        <v>1760</v>
      </c>
      <c r="D1575" s="23" t="s">
        <v>1761</v>
      </c>
      <c r="E1575" s="24" t="s">
        <v>157</v>
      </c>
      <c r="F1575" s="28" t="n">
        <f>124</f>
        <v>124.0</v>
      </c>
      <c r="G1575" s="25" t="str">
        <f>"－"</f>
        <v>－</v>
      </c>
      <c r="H1575" s="25"/>
      <c r="I1575" s="25" t="str">
        <f>"－"</f>
        <v>－</v>
      </c>
      <c r="J1575" s="25" t="str">
        <f>"－"</f>
        <v>－</v>
      </c>
      <c r="K1575" s="25" t="str">
        <f>"－"</f>
        <v>－</v>
      </c>
      <c r="L1575" s="2" t="s">
        <v>633</v>
      </c>
      <c r="M1575" s="26" t="str">
        <f>"－"</f>
        <v>－</v>
      </c>
      <c r="N1575" s="3" t="s">
        <v>633</v>
      </c>
      <c r="O1575" s="27" t="str">
        <f>"－"</f>
        <v>－</v>
      </c>
      <c r="P1575" s="29" t="s">
        <v>262</v>
      </c>
      <c r="Q1575" s="25"/>
      <c r="R1575" s="29" t="s">
        <v>262</v>
      </c>
      <c r="S1575" s="25" t="str">
        <f>"－"</f>
        <v>－</v>
      </c>
      <c r="T1575" s="25" t="str">
        <f>"－"</f>
        <v>－</v>
      </c>
      <c r="U1575" s="3" t="s">
        <v>633</v>
      </c>
      <c r="V1575" s="27" t="str">
        <f>"－"</f>
        <v>－</v>
      </c>
      <c r="W1575" s="3" t="s">
        <v>633</v>
      </c>
      <c r="X1575" s="27" t="str">
        <f>"－"</f>
        <v>－</v>
      </c>
      <c r="Y1575" s="27" t="str">
        <f>"－"</f>
        <v>－</v>
      </c>
      <c r="Z1575" s="25" t="str">
        <f>"－"</f>
        <v>－</v>
      </c>
      <c r="AA1575" s="25" t="str">
        <f>"－"</f>
        <v>－</v>
      </c>
      <c r="AB1575" s="2" t="s">
        <v>633</v>
      </c>
      <c r="AC1575" s="26" t="str">
        <f>"－"</f>
        <v>－</v>
      </c>
      <c r="AD1575" s="3" t="s">
        <v>633</v>
      </c>
      <c r="AE1575" s="27" t="str">
        <f>"－"</f>
        <v>－</v>
      </c>
    </row>
    <row r="1576">
      <c r="A1576" s="20" t="s">
        <v>2775</v>
      </c>
      <c r="B1576" s="21" t="s">
        <v>2776</v>
      </c>
      <c r="C1576" s="22" t="s">
        <v>1764</v>
      </c>
      <c r="D1576" s="23" t="s">
        <v>1765</v>
      </c>
      <c r="E1576" s="24" t="s">
        <v>157</v>
      </c>
      <c r="F1576" s="28" t="n">
        <f>124</f>
        <v>124.0</v>
      </c>
      <c r="G1576" s="25" t="str">
        <f>"－"</f>
        <v>－</v>
      </c>
      <c r="H1576" s="25"/>
      <c r="I1576" s="25" t="str">
        <f>"－"</f>
        <v>－</v>
      </c>
      <c r="J1576" s="25" t="str">
        <f>"－"</f>
        <v>－</v>
      </c>
      <c r="K1576" s="25" t="str">
        <f>"－"</f>
        <v>－</v>
      </c>
      <c r="L1576" s="2" t="s">
        <v>633</v>
      </c>
      <c r="M1576" s="26" t="str">
        <f>"－"</f>
        <v>－</v>
      </c>
      <c r="N1576" s="3" t="s">
        <v>633</v>
      </c>
      <c r="O1576" s="27" t="str">
        <f>"－"</f>
        <v>－</v>
      </c>
      <c r="P1576" s="29" t="s">
        <v>262</v>
      </c>
      <c r="Q1576" s="25"/>
      <c r="R1576" s="29" t="s">
        <v>262</v>
      </c>
      <c r="S1576" s="25" t="str">
        <f>"－"</f>
        <v>－</v>
      </c>
      <c r="T1576" s="25" t="str">
        <f>"－"</f>
        <v>－</v>
      </c>
      <c r="U1576" s="3" t="s">
        <v>633</v>
      </c>
      <c r="V1576" s="27" t="str">
        <f>"－"</f>
        <v>－</v>
      </c>
      <c r="W1576" s="3" t="s">
        <v>633</v>
      </c>
      <c r="X1576" s="27" t="str">
        <f>"－"</f>
        <v>－</v>
      </c>
      <c r="Y1576" s="27" t="str">
        <f>"－"</f>
        <v>－</v>
      </c>
      <c r="Z1576" s="25" t="str">
        <f>"－"</f>
        <v>－</v>
      </c>
      <c r="AA1576" s="25" t="str">
        <f>"－"</f>
        <v>－</v>
      </c>
      <c r="AB1576" s="2" t="s">
        <v>633</v>
      </c>
      <c r="AC1576" s="26" t="str">
        <f>"－"</f>
        <v>－</v>
      </c>
      <c r="AD1576" s="3" t="s">
        <v>633</v>
      </c>
      <c r="AE1576" s="27" t="str">
        <f>"－"</f>
        <v>－</v>
      </c>
    </row>
    <row r="1577">
      <c r="A1577" s="20" t="s">
        <v>2775</v>
      </c>
      <c r="B1577" s="21" t="s">
        <v>2776</v>
      </c>
      <c r="C1577" s="22" t="s">
        <v>1768</v>
      </c>
      <c r="D1577" s="23" t="s">
        <v>1769</v>
      </c>
      <c r="E1577" s="24" t="s">
        <v>157</v>
      </c>
      <c r="F1577" s="28" t="n">
        <f>124</f>
        <v>124.0</v>
      </c>
      <c r="G1577" s="25" t="str">
        <f>"－"</f>
        <v>－</v>
      </c>
      <c r="H1577" s="25"/>
      <c r="I1577" s="25" t="str">
        <f>"－"</f>
        <v>－</v>
      </c>
      <c r="J1577" s="25" t="str">
        <f>"－"</f>
        <v>－</v>
      </c>
      <c r="K1577" s="25" t="str">
        <f>"－"</f>
        <v>－</v>
      </c>
      <c r="L1577" s="2" t="s">
        <v>633</v>
      </c>
      <c r="M1577" s="26" t="str">
        <f>"－"</f>
        <v>－</v>
      </c>
      <c r="N1577" s="3" t="s">
        <v>633</v>
      </c>
      <c r="O1577" s="27" t="str">
        <f>"－"</f>
        <v>－</v>
      </c>
      <c r="P1577" s="29" t="s">
        <v>262</v>
      </c>
      <c r="Q1577" s="25"/>
      <c r="R1577" s="29" t="s">
        <v>262</v>
      </c>
      <c r="S1577" s="25" t="str">
        <f>"－"</f>
        <v>－</v>
      </c>
      <c r="T1577" s="25" t="str">
        <f>"－"</f>
        <v>－</v>
      </c>
      <c r="U1577" s="3" t="s">
        <v>633</v>
      </c>
      <c r="V1577" s="27" t="str">
        <f>"－"</f>
        <v>－</v>
      </c>
      <c r="W1577" s="3" t="s">
        <v>633</v>
      </c>
      <c r="X1577" s="27" t="str">
        <f>"－"</f>
        <v>－</v>
      </c>
      <c r="Y1577" s="27" t="str">
        <f>"－"</f>
        <v>－</v>
      </c>
      <c r="Z1577" s="25" t="str">
        <f>"－"</f>
        <v>－</v>
      </c>
      <c r="AA1577" s="25" t="str">
        <f>"－"</f>
        <v>－</v>
      </c>
      <c r="AB1577" s="2" t="s">
        <v>633</v>
      </c>
      <c r="AC1577" s="26" t="str">
        <f>"－"</f>
        <v>－</v>
      </c>
      <c r="AD1577" s="3" t="s">
        <v>633</v>
      </c>
      <c r="AE1577" s="27" t="str">
        <f>"－"</f>
        <v>－</v>
      </c>
    </row>
    <row r="1578">
      <c r="A1578" s="20" t="s">
        <v>2775</v>
      </c>
      <c r="B1578" s="21" t="s">
        <v>2776</v>
      </c>
      <c r="C1578" s="22" t="s">
        <v>1760</v>
      </c>
      <c r="D1578" s="23" t="s">
        <v>1761</v>
      </c>
      <c r="E1578" s="24" t="s">
        <v>160</v>
      </c>
      <c r="F1578" s="28" t="n">
        <f>58</f>
        <v>58.0</v>
      </c>
      <c r="G1578" s="25" t="str">
        <f>"－"</f>
        <v>－</v>
      </c>
      <c r="H1578" s="25"/>
      <c r="I1578" s="25" t="str">
        <f>"－"</f>
        <v>－</v>
      </c>
      <c r="J1578" s="25" t="str">
        <f>"－"</f>
        <v>－</v>
      </c>
      <c r="K1578" s="25" t="str">
        <f>"－"</f>
        <v>－</v>
      </c>
      <c r="L1578" s="2" t="s">
        <v>156</v>
      </c>
      <c r="M1578" s="26" t="str">
        <f>"－"</f>
        <v>－</v>
      </c>
      <c r="N1578" s="3" t="s">
        <v>156</v>
      </c>
      <c r="O1578" s="27" t="str">
        <f>"－"</f>
        <v>－</v>
      </c>
      <c r="P1578" s="29" t="s">
        <v>262</v>
      </c>
      <c r="Q1578" s="25"/>
      <c r="R1578" s="29" t="s">
        <v>262</v>
      </c>
      <c r="S1578" s="25" t="str">
        <f>"－"</f>
        <v>－</v>
      </c>
      <c r="T1578" s="25" t="str">
        <f>"－"</f>
        <v>－</v>
      </c>
      <c r="U1578" s="3" t="s">
        <v>156</v>
      </c>
      <c r="V1578" s="27" t="str">
        <f>"－"</f>
        <v>－</v>
      </c>
      <c r="W1578" s="3" t="s">
        <v>156</v>
      </c>
      <c r="X1578" s="27" t="str">
        <f>"－"</f>
        <v>－</v>
      </c>
      <c r="Y1578" s="27" t="str">
        <f>"－"</f>
        <v>－</v>
      </c>
      <c r="Z1578" s="25" t="str">
        <f>"－"</f>
        <v>－</v>
      </c>
      <c r="AA1578" s="25" t="str">
        <f>"－"</f>
        <v>－</v>
      </c>
      <c r="AB1578" s="2" t="s">
        <v>156</v>
      </c>
      <c r="AC1578" s="26" t="str">
        <f>"－"</f>
        <v>－</v>
      </c>
      <c r="AD1578" s="3" t="s">
        <v>156</v>
      </c>
      <c r="AE1578" s="27" t="str">
        <f>"－"</f>
        <v>－</v>
      </c>
    </row>
    <row r="1579">
      <c r="A1579" s="20" t="s">
        <v>2775</v>
      </c>
      <c r="B1579" s="21" t="s">
        <v>2776</v>
      </c>
      <c r="C1579" s="22" t="s">
        <v>1764</v>
      </c>
      <c r="D1579" s="23" t="s">
        <v>1765</v>
      </c>
      <c r="E1579" s="24" t="s">
        <v>160</v>
      </c>
      <c r="F1579" s="28" t="n">
        <f>58</f>
        <v>58.0</v>
      </c>
      <c r="G1579" s="25" t="str">
        <f>"－"</f>
        <v>－</v>
      </c>
      <c r="H1579" s="25"/>
      <c r="I1579" s="25" t="str">
        <f>"－"</f>
        <v>－</v>
      </c>
      <c r="J1579" s="25" t="str">
        <f>"－"</f>
        <v>－</v>
      </c>
      <c r="K1579" s="25" t="str">
        <f>"－"</f>
        <v>－</v>
      </c>
      <c r="L1579" s="2" t="s">
        <v>156</v>
      </c>
      <c r="M1579" s="26" t="str">
        <f>"－"</f>
        <v>－</v>
      </c>
      <c r="N1579" s="3" t="s">
        <v>156</v>
      </c>
      <c r="O1579" s="27" t="str">
        <f>"－"</f>
        <v>－</v>
      </c>
      <c r="P1579" s="29" t="s">
        <v>262</v>
      </c>
      <c r="Q1579" s="25"/>
      <c r="R1579" s="29" t="s">
        <v>262</v>
      </c>
      <c r="S1579" s="25" t="str">
        <f>"－"</f>
        <v>－</v>
      </c>
      <c r="T1579" s="25" t="str">
        <f>"－"</f>
        <v>－</v>
      </c>
      <c r="U1579" s="3" t="s">
        <v>156</v>
      </c>
      <c r="V1579" s="27" t="str">
        <f>"－"</f>
        <v>－</v>
      </c>
      <c r="W1579" s="3" t="s">
        <v>156</v>
      </c>
      <c r="X1579" s="27" t="str">
        <f>"－"</f>
        <v>－</v>
      </c>
      <c r="Y1579" s="27" t="str">
        <f>"－"</f>
        <v>－</v>
      </c>
      <c r="Z1579" s="25" t="str">
        <f>"－"</f>
        <v>－</v>
      </c>
      <c r="AA1579" s="25" t="str">
        <f>"－"</f>
        <v>－</v>
      </c>
      <c r="AB1579" s="2" t="s">
        <v>156</v>
      </c>
      <c r="AC1579" s="26" t="str">
        <f>"－"</f>
        <v>－</v>
      </c>
      <c r="AD1579" s="3" t="s">
        <v>156</v>
      </c>
      <c r="AE1579" s="27" t="str">
        <f>"－"</f>
        <v>－</v>
      </c>
    </row>
    <row r="1580">
      <c r="A1580" s="20" t="s">
        <v>2775</v>
      </c>
      <c r="B1580" s="21" t="s">
        <v>2776</v>
      </c>
      <c r="C1580" s="22" t="s">
        <v>1768</v>
      </c>
      <c r="D1580" s="23" t="s">
        <v>1769</v>
      </c>
      <c r="E1580" s="24" t="s">
        <v>160</v>
      </c>
      <c r="F1580" s="28" t="n">
        <f>58</f>
        <v>58.0</v>
      </c>
      <c r="G1580" s="25" t="str">
        <f>"－"</f>
        <v>－</v>
      </c>
      <c r="H1580" s="25"/>
      <c r="I1580" s="25" t="str">
        <f>"－"</f>
        <v>－</v>
      </c>
      <c r="J1580" s="25" t="str">
        <f>"－"</f>
        <v>－</v>
      </c>
      <c r="K1580" s="25" t="str">
        <f>"－"</f>
        <v>－</v>
      </c>
      <c r="L1580" s="2" t="s">
        <v>156</v>
      </c>
      <c r="M1580" s="26" t="str">
        <f>"－"</f>
        <v>－</v>
      </c>
      <c r="N1580" s="3" t="s">
        <v>156</v>
      </c>
      <c r="O1580" s="27" t="str">
        <f>"－"</f>
        <v>－</v>
      </c>
      <c r="P1580" s="29" t="s">
        <v>262</v>
      </c>
      <c r="Q1580" s="25"/>
      <c r="R1580" s="29" t="s">
        <v>262</v>
      </c>
      <c r="S1580" s="25" t="str">
        <f>"－"</f>
        <v>－</v>
      </c>
      <c r="T1580" s="25" t="str">
        <f>"－"</f>
        <v>－</v>
      </c>
      <c r="U1580" s="3" t="s">
        <v>156</v>
      </c>
      <c r="V1580" s="27" t="str">
        <f>"－"</f>
        <v>－</v>
      </c>
      <c r="W1580" s="3" t="s">
        <v>156</v>
      </c>
      <c r="X1580" s="27" t="str">
        <f>"－"</f>
        <v>－</v>
      </c>
      <c r="Y1580" s="27" t="str">
        <f>"－"</f>
        <v>－</v>
      </c>
      <c r="Z1580" s="25" t="str">
        <f>"－"</f>
        <v>－</v>
      </c>
      <c r="AA1580" s="25" t="str">
        <f>"－"</f>
        <v>－</v>
      </c>
      <c r="AB1580" s="2" t="s">
        <v>156</v>
      </c>
      <c r="AC1580" s="26" t="str">
        <f>"－"</f>
        <v>－</v>
      </c>
      <c r="AD1580" s="3" t="s">
        <v>156</v>
      </c>
      <c r="AE1580" s="27" t="str">
        <f>"－"</f>
        <v>－</v>
      </c>
    </row>
  </sheetData>
  <mergeCells count="24">
    <mergeCell ref="AA3:AE3"/>
    <mergeCell ref="G4:G5"/>
    <mergeCell ref="J4:J5"/>
    <mergeCell ref="L4:M4"/>
    <mergeCell ref="N4:O4"/>
    <mergeCell ref="AB4:AC4"/>
    <mergeCell ref="AD4:AE4"/>
    <mergeCell ref="U4:V4"/>
    <mergeCell ref="W4:X4"/>
    <mergeCell ref="P4:P5"/>
    <mergeCell ref="S4:S5"/>
    <mergeCell ref="AA4:AA5"/>
    <mergeCell ref="F3:F5"/>
    <mergeCell ref="G3:O3"/>
    <mergeCell ref="P3:X3"/>
    <mergeCell ref="Y3:Y5"/>
    <mergeCell ref="Z3:Z5"/>
    <mergeCell ref="A1:E1"/>
    <mergeCell ref="A2:E2"/>
    <mergeCell ref="E3:E5"/>
    <mergeCell ref="A3:A6"/>
    <mergeCell ref="B3:B6"/>
    <mergeCell ref="D3:D6"/>
    <mergeCell ref="C3:C6"/>
  </mergeCells>
  <phoneticPr fontId="4"/>
  <printOptions horizontalCentered="1"/>
  <pageMargins bottom="0.47244094488188981" footer="0.11811023622047245" header="0.11811023622047245" left="0.23622047244094491" right="0.23622047244094491" top="0.35433070866141736"/>
  <pageSetup fitToHeight="0" orientation="landscape" paperSize="9" r:id="rId1" scale="17" useFirstPageNumber="1"/>
  <headerFooter>
    <oddFooter>&amp;C&amp;P/&amp;N&amp;RCopyright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BO_DM0043</vt:lpstr>
      <vt:lpstr>BO_DM0043!Print_Titles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2018-03-27T02:12:34Z</cp:lastPrinted>
  <dcterms:modified xsi:type="dcterms:W3CDTF">2020-08-31T01:11:36Z</dcterms:modified>
</cp:coreProperties>
</file>