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-tahara\Desktop\"/>
    </mc:Choice>
  </mc:AlternateContent>
  <xr:revisionPtr revIDLastSave="0" documentId="13_ncr:1_{FFA10C58-691F-4C36-B4F5-A8D278723238}" xr6:coauthVersionLast="41" xr6:coauthVersionMax="41" xr10:uidLastSave="{00000000-0000-0000-0000-000000000000}"/>
  <bookViews>
    <workbookView xWindow="-108" yWindow="-108" windowWidth="23256" windowHeight="12576" xr2:uid="{00000000-000D-0000-FFFF-FFFF00000000}"/>
  </bookViews>
  <sheets>
    <sheet name="PERPBR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G25" i="1" l="1"/>
  <c r="AF25" i="1"/>
  <c r="AE25" i="1"/>
  <c r="AD25" i="1"/>
  <c r="AC25" i="1"/>
  <c r="AB25" i="1"/>
  <c r="AA25" i="1"/>
  <c r="Z25" i="1"/>
  <c r="X25" i="1"/>
  <c r="W25" i="1"/>
  <c r="V25" i="1"/>
  <c r="U25" i="1"/>
  <c r="T25" i="1"/>
  <c r="S25" i="1"/>
  <c r="R25" i="1"/>
  <c r="Q25" i="1"/>
  <c r="O25" i="1"/>
  <c r="N25" i="1"/>
  <c r="AG24" i="1"/>
  <c r="AF24" i="1"/>
  <c r="AE24" i="1"/>
  <c r="AD24" i="1"/>
  <c r="AC24" i="1"/>
  <c r="AB24" i="1"/>
  <c r="AA24" i="1"/>
  <c r="Z24" i="1"/>
  <c r="X24" i="1"/>
  <c r="W24" i="1"/>
  <c r="V24" i="1"/>
  <c r="U24" i="1"/>
  <c r="T24" i="1"/>
  <c r="S24" i="1"/>
  <c r="R24" i="1"/>
  <c r="Q24" i="1"/>
  <c r="O24" i="1"/>
  <c r="N24" i="1"/>
  <c r="AG23" i="1"/>
  <c r="AF23" i="1"/>
  <c r="AC23" i="1"/>
  <c r="AB23" i="1"/>
  <c r="AA23" i="1"/>
  <c r="Z23" i="1"/>
  <c r="X23" i="1"/>
  <c r="W23" i="1"/>
  <c r="V23" i="1"/>
  <c r="U23" i="1"/>
  <c r="T23" i="1"/>
  <c r="S23" i="1"/>
  <c r="R23" i="1"/>
  <c r="Q23" i="1"/>
  <c r="O23" i="1"/>
  <c r="N23" i="1"/>
  <c r="AG22" i="1"/>
  <c r="AF22" i="1"/>
  <c r="AE22" i="1"/>
  <c r="AD22" i="1"/>
  <c r="AC22" i="1"/>
  <c r="AB22" i="1"/>
  <c r="AA22" i="1"/>
  <c r="Z22" i="1"/>
  <c r="X22" i="1"/>
  <c r="W22" i="1"/>
  <c r="V22" i="1"/>
  <c r="U22" i="1"/>
  <c r="T22" i="1"/>
  <c r="S22" i="1"/>
  <c r="R22" i="1"/>
  <c r="Q22" i="1"/>
  <c r="O22" i="1"/>
  <c r="N22" i="1"/>
  <c r="AG21" i="1"/>
  <c r="AF21" i="1"/>
  <c r="AE21" i="1"/>
  <c r="AD21" i="1"/>
  <c r="AC21" i="1"/>
  <c r="AB21" i="1"/>
  <c r="AA21" i="1"/>
  <c r="Z21" i="1"/>
  <c r="X21" i="1"/>
  <c r="W21" i="1"/>
  <c r="V21" i="1"/>
  <c r="U21" i="1"/>
  <c r="T21" i="1"/>
  <c r="S21" i="1"/>
  <c r="R21" i="1"/>
  <c r="Q21" i="1"/>
  <c r="O21" i="1"/>
  <c r="N21" i="1"/>
  <c r="AG20" i="1"/>
  <c r="AF20" i="1"/>
  <c r="AE20" i="1"/>
  <c r="AD20" i="1"/>
  <c r="AC20" i="1"/>
  <c r="AB20" i="1"/>
  <c r="AA20" i="1"/>
  <c r="Z20" i="1"/>
  <c r="X20" i="1"/>
  <c r="W20" i="1"/>
  <c r="V20" i="1"/>
  <c r="U20" i="1"/>
  <c r="T20" i="1"/>
  <c r="S20" i="1"/>
  <c r="R20" i="1"/>
  <c r="Q20" i="1"/>
  <c r="O20" i="1"/>
  <c r="N20" i="1"/>
  <c r="AG19" i="1"/>
  <c r="AF19" i="1"/>
  <c r="AE19" i="1"/>
  <c r="AD19" i="1"/>
  <c r="AC19" i="1"/>
  <c r="AB19" i="1"/>
  <c r="AA19" i="1"/>
  <c r="Z19" i="1"/>
  <c r="X19" i="1"/>
  <c r="W19" i="1"/>
  <c r="V19" i="1"/>
  <c r="U19" i="1"/>
  <c r="T19" i="1"/>
  <c r="S19" i="1"/>
  <c r="R19" i="1"/>
  <c r="Q19" i="1"/>
  <c r="O19" i="1"/>
  <c r="N19" i="1"/>
  <c r="AG18" i="1"/>
  <c r="AF18" i="1"/>
  <c r="AE18" i="1"/>
  <c r="AD18" i="1"/>
  <c r="AC18" i="1"/>
  <c r="AB18" i="1"/>
  <c r="AA18" i="1"/>
  <c r="Z18" i="1"/>
  <c r="X18" i="1"/>
  <c r="W18" i="1"/>
  <c r="V18" i="1"/>
  <c r="U18" i="1"/>
  <c r="T18" i="1"/>
  <c r="S18" i="1"/>
  <c r="R18" i="1"/>
  <c r="Q18" i="1"/>
  <c r="O18" i="1"/>
  <c r="N18" i="1"/>
  <c r="AG17" i="1"/>
  <c r="AF17" i="1"/>
  <c r="AE17" i="1"/>
  <c r="AD17" i="1"/>
  <c r="AC17" i="1"/>
  <c r="AB17" i="1"/>
  <c r="AA17" i="1"/>
  <c r="Z17" i="1"/>
  <c r="X17" i="1"/>
  <c r="W17" i="1"/>
  <c r="V17" i="1"/>
  <c r="U17" i="1"/>
  <c r="T17" i="1"/>
  <c r="S17" i="1"/>
  <c r="R17" i="1"/>
  <c r="Q17" i="1"/>
  <c r="O17" i="1"/>
  <c r="N17" i="1"/>
  <c r="AG16" i="1"/>
  <c r="AF16" i="1"/>
  <c r="AE16" i="1"/>
  <c r="AD16" i="1"/>
  <c r="AC16" i="1"/>
  <c r="AB16" i="1"/>
  <c r="AA16" i="1"/>
  <c r="Z16" i="1"/>
  <c r="X16" i="1"/>
  <c r="W16" i="1"/>
  <c r="V16" i="1"/>
  <c r="U16" i="1"/>
  <c r="T16" i="1"/>
  <c r="S16" i="1"/>
  <c r="R16" i="1"/>
  <c r="Q16" i="1"/>
  <c r="O16" i="1"/>
  <c r="N16" i="1"/>
  <c r="AG15" i="1"/>
  <c r="AF15" i="1"/>
  <c r="AE15" i="1"/>
  <c r="AD15" i="1"/>
  <c r="AC15" i="1"/>
  <c r="AB15" i="1"/>
  <c r="AA15" i="1"/>
  <c r="Z15" i="1"/>
  <c r="X15" i="1"/>
  <c r="W15" i="1"/>
  <c r="V15" i="1"/>
  <c r="U15" i="1"/>
  <c r="T15" i="1"/>
  <c r="S15" i="1"/>
  <c r="R15" i="1"/>
  <c r="Q15" i="1"/>
  <c r="O15" i="1"/>
  <c r="N15" i="1"/>
  <c r="AG14" i="1"/>
  <c r="AF14" i="1"/>
  <c r="AE14" i="1"/>
  <c r="AD14" i="1"/>
  <c r="AC14" i="1"/>
  <c r="AB14" i="1"/>
  <c r="AA14" i="1"/>
  <c r="Z14" i="1"/>
  <c r="X14" i="1"/>
  <c r="W14" i="1"/>
  <c r="V14" i="1"/>
  <c r="U14" i="1"/>
  <c r="T14" i="1"/>
  <c r="S14" i="1"/>
  <c r="R14" i="1"/>
  <c r="Q14" i="1"/>
  <c r="O14" i="1"/>
  <c r="N14" i="1"/>
  <c r="AG13" i="1"/>
  <c r="AF13" i="1"/>
  <c r="AE13" i="1"/>
  <c r="AD13" i="1"/>
  <c r="AC13" i="1"/>
  <c r="AB13" i="1"/>
  <c r="AA13" i="1"/>
  <c r="Z13" i="1"/>
  <c r="X13" i="1"/>
  <c r="W13" i="1"/>
  <c r="V13" i="1"/>
  <c r="U13" i="1"/>
  <c r="T13" i="1"/>
  <c r="S13" i="1"/>
  <c r="R13" i="1"/>
  <c r="Q13" i="1"/>
  <c r="O13" i="1"/>
  <c r="N13" i="1"/>
  <c r="AG12" i="1"/>
  <c r="AF12" i="1"/>
  <c r="AE12" i="1"/>
  <c r="AD12" i="1"/>
  <c r="AC12" i="1"/>
  <c r="AB12" i="1"/>
  <c r="AA12" i="1"/>
  <c r="Z12" i="1"/>
  <c r="X12" i="1"/>
  <c r="W12" i="1"/>
  <c r="V12" i="1"/>
  <c r="U12" i="1"/>
  <c r="T12" i="1"/>
  <c r="S12" i="1"/>
  <c r="R12" i="1"/>
  <c r="Q12" i="1"/>
  <c r="O12" i="1"/>
  <c r="N12" i="1"/>
  <c r="AG11" i="1"/>
  <c r="AF11" i="1"/>
  <c r="AE11" i="1"/>
  <c r="AD11" i="1"/>
  <c r="AC11" i="1"/>
  <c r="AB11" i="1"/>
  <c r="AA11" i="1"/>
  <c r="Z11" i="1"/>
  <c r="X11" i="1"/>
  <c r="W11" i="1"/>
  <c r="V11" i="1"/>
  <c r="U11" i="1"/>
  <c r="T11" i="1"/>
  <c r="S11" i="1"/>
  <c r="R11" i="1"/>
  <c r="Q11" i="1"/>
  <c r="O11" i="1"/>
  <c r="N11" i="1"/>
  <c r="AG10" i="1"/>
  <c r="AF10" i="1"/>
  <c r="AE10" i="1"/>
  <c r="AD10" i="1"/>
  <c r="AC10" i="1"/>
  <c r="AB10" i="1"/>
  <c r="AA10" i="1"/>
  <c r="Z10" i="1"/>
  <c r="X10" i="1"/>
  <c r="W10" i="1"/>
  <c r="V10" i="1"/>
  <c r="U10" i="1"/>
  <c r="T10" i="1"/>
  <c r="S10" i="1"/>
  <c r="R10" i="1"/>
  <c r="Q10" i="1"/>
  <c r="O10" i="1"/>
  <c r="N10" i="1"/>
  <c r="AG9" i="1"/>
  <c r="AF9" i="1"/>
  <c r="AE9" i="1"/>
  <c r="AD9" i="1"/>
  <c r="AC9" i="1"/>
  <c r="AB9" i="1"/>
  <c r="AA9" i="1"/>
  <c r="Z9" i="1"/>
  <c r="X9" i="1"/>
  <c r="W9" i="1"/>
  <c r="V9" i="1"/>
  <c r="U9" i="1"/>
  <c r="T9" i="1"/>
  <c r="S9" i="1"/>
  <c r="R9" i="1"/>
  <c r="Q9" i="1"/>
  <c r="O9" i="1"/>
  <c r="N9" i="1"/>
  <c r="AG8" i="1"/>
  <c r="AF8" i="1"/>
  <c r="AC8" i="1"/>
  <c r="AB8" i="1"/>
  <c r="AA8" i="1"/>
  <c r="Z8" i="1"/>
  <c r="X8" i="1"/>
  <c r="W8" i="1"/>
  <c r="V8" i="1"/>
  <c r="U8" i="1"/>
  <c r="T8" i="1"/>
  <c r="S8" i="1"/>
  <c r="R8" i="1"/>
  <c r="Q8" i="1"/>
  <c r="O8" i="1"/>
  <c r="N8" i="1"/>
  <c r="AG7" i="1"/>
  <c r="AF7" i="1"/>
  <c r="AE7" i="1"/>
  <c r="AD7" i="1"/>
  <c r="AC7" i="1"/>
  <c r="AB7" i="1"/>
  <c r="AA7" i="1"/>
  <c r="Z7" i="1"/>
  <c r="X7" i="1"/>
  <c r="W7" i="1"/>
  <c r="V7" i="1"/>
  <c r="U7" i="1"/>
  <c r="T7" i="1"/>
  <c r="S7" i="1"/>
  <c r="R7" i="1"/>
  <c r="Q7" i="1"/>
  <c r="O7" i="1"/>
  <c r="N7" i="1"/>
  <c r="AG6" i="1"/>
  <c r="AF6" i="1"/>
  <c r="AE6" i="1"/>
  <c r="AD6" i="1"/>
  <c r="AC6" i="1"/>
  <c r="AB6" i="1"/>
  <c r="AA6" i="1"/>
  <c r="Z6" i="1"/>
  <c r="X6" i="1"/>
  <c r="W6" i="1"/>
  <c r="V6" i="1"/>
  <c r="U6" i="1"/>
  <c r="T6" i="1"/>
  <c r="S6" i="1"/>
  <c r="R6" i="1"/>
  <c r="Q6" i="1"/>
  <c r="O6" i="1"/>
  <c r="N6" i="1"/>
</calcChain>
</file>

<file path=xl/sharedStrings.xml><?xml version="1.0" encoding="utf-8"?>
<sst xmlns="http://schemas.openxmlformats.org/spreadsheetml/2006/main" count="382" uniqueCount="152">
  <si>
    <t>会社別　PER・PBR</t>
    <rPh sb="0" eb="2">
      <t>カイシャ</t>
    </rPh>
    <rPh sb="2" eb="3">
      <t>ベツ</t>
    </rPh>
    <phoneticPr fontId="3"/>
  </si>
  <si>
    <t>PER and PBR by Company</t>
    <phoneticPr fontId="5"/>
  </si>
  <si>
    <t>連結　　　　　Consolidated</t>
    <phoneticPr fontId="5"/>
  </si>
  <si>
    <t>単体　　　　　Non-consolidated</t>
    <phoneticPr fontId="5"/>
  </si>
  <si>
    <t>年月日</t>
  </si>
  <si>
    <t>市場区分</t>
  </si>
  <si>
    <t>市場区分名</t>
    <rPh sb="4" eb="5">
      <t>メイ</t>
    </rPh>
    <phoneticPr fontId="5"/>
  </si>
  <si>
    <t>Section</t>
    <phoneticPr fontId="5"/>
  </si>
  <si>
    <t>種別コード</t>
  </si>
  <si>
    <t>種別</t>
    <phoneticPr fontId="5"/>
  </si>
  <si>
    <t>Industry</t>
    <phoneticPr fontId="5"/>
  </si>
  <si>
    <t>規模区分名</t>
    <phoneticPr fontId="5"/>
  </si>
  <si>
    <t>Sector</t>
    <phoneticPr fontId="5"/>
  </si>
  <si>
    <t>インデックス
区分</t>
    <phoneticPr fontId="5"/>
  </si>
  <si>
    <t>銘柄
コード</t>
    <phoneticPr fontId="5"/>
  </si>
  <si>
    <t>銘柄名</t>
  </si>
  <si>
    <t>Issues</t>
    <phoneticPr fontId="5"/>
  </si>
  <si>
    <t>株価</t>
    <phoneticPr fontId="5"/>
  </si>
  <si>
    <t>計算用株式数</t>
  </si>
  <si>
    <t>決算
年月日</t>
    <phoneticPr fontId="5"/>
  </si>
  <si>
    <t>1株当たり
当期純利益</t>
    <phoneticPr fontId="5"/>
  </si>
  <si>
    <t>1株当たり
純資産</t>
    <phoneticPr fontId="5"/>
  </si>
  <si>
    <t>PER</t>
    <phoneticPr fontId="5"/>
  </si>
  <si>
    <t>PBR</t>
    <phoneticPr fontId="5"/>
  </si>
  <si>
    <t>親会社株主に帰属する
当期純利益</t>
    <phoneticPr fontId="5"/>
  </si>
  <si>
    <t>純資産</t>
  </si>
  <si>
    <t>優先株配当金</t>
  </si>
  <si>
    <t>優先株純資産</t>
  </si>
  <si>
    <t xml:space="preserve">PER </t>
    <phoneticPr fontId="5"/>
  </si>
  <si>
    <t>当期純利益</t>
    <phoneticPr fontId="5"/>
  </si>
  <si>
    <t>純資産</t>
    <phoneticPr fontId="5"/>
  </si>
  <si>
    <t>優先株配当金</t>
    <phoneticPr fontId="5"/>
  </si>
  <si>
    <t>優先株純資産</t>
    <phoneticPr fontId="5"/>
  </si>
  <si>
    <t>単体流用
フラグ</t>
    <phoneticPr fontId="5"/>
  </si>
  <si>
    <t>Date</t>
    <phoneticPr fontId="5"/>
  </si>
  <si>
    <t>Market
Sector</t>
    <phoneticPr fontId="5"/>
  </si>
  <si>
    <t>Industry
Code</t>
    <phoneticPr fontId="5"/>
  </si>
  <si>
    <t>Index
Sector</t>
    <phoneticPr fontId="5"/>
  </si>
  <si>
    <t>Code</t>
    <phoneticPr fontId="5"/>
  </si>
  <si>
    <t>Stock
Price</t>
    <phoneticPr fontId="5"/>
  </si>
  <si>
    <t>Share For Calculation</t>
    <phoneticPr fontId="5"/>
  </si>
  <si>
    <t>Fiscal
Date</t>
    <phoneticPr fontId="5"/>
  </si>
  <si>
    <t>Net Income
Per Share</t>
    <phoneticPr fontId="5"/>
  </si>
  <si>
    <t>Net Assets
Per Share</t>
    <phoneticPr fontId="5"/>
  </si>
  <si>
    <t>Net Income</t>
    <phoneticPr fontId="5"/>
  </si>
  <si>
    <t>Net Assets</t>
    <phoneticPr fontId="5"/>
  </si>
  <si>
    <t>Preferred Stock 
Dividends</t>
    <phoneticPr fontId="5"/>
  </si>
  <si>
    <t>Preferred Stock
Net Assets</t>
    <phoneticPr fontId="5"/>
  </si>
  <si>
    <t>Non-consolidated
Diversion Flag</t>
    <phoneticPr fontId="5"/>
  </si>
  <si>
    <t>円　\</t>
    <rPh sb="0" eb="1">
      <t>エン</t>
    </rPh>
    <phoneticPr fontId="5"/>
  </si>
  <si>
    <t>単位　units</t>
    <rPh sb="0" eb="2">
      <t>タンイ</t>
    </rPh>
    <phoneticPr fontId="5"/>
  </si>
  <si>
    <t>倍　times</t>
    <rPh sb="0" eb="1">
      <t>バイ</t>
    </rPh>
    <phoneticPr fontId="5"/>
  </si>
  <si>
    <t>2019/09/30</t>
  </si>
  <si>
    <t>0101</t>
  </si>
  <si>
    <t>市場一部内国株</t>
  </si>
  <si>
    <t>1st Section Domestic Stock</t>
  </si>
  <si>
    <t>0050</t>
  </si>
  <si>
    <t>水産・農林業</t>
  </si>
  <si>
    <t>Fishery,Agriculture &amp; Forestry</t>
  </si>
  <si>
    <t>小型株</t>
  </si>
  <si>
    <t>Small</t>
  </si>
  <si>
    <t>7</t>
  </si>
  <si>
    <t>13010</t>
  </si>
  <si>
    <t>極洋</t>
  </si>
  <si>
    <t>KYOKUYO CO.,LTD.</t>
  </si>
  <si>
    <t>2019/03/31</t>
  </si>
  <si>
    <t>2</t>
  </si>
  <si>
    <t>中型株</t>
  </si>
  <si>
    <t>Medium</t>
  </si>
  <si>
    <t>4</t>
  </si>
  <si>
    <t>13320</t>
  </si>
  <si>
    <t>日本水産</t>
  </si>
  <si>
    <t>Nippon Suisan Kaisha,Ltd.</t>
  </si>
  <si>
    <t>13330</t>
  </si>
  <si>
    <t>マルハニチロ</t>
  </si>
  <si>
    <t>Maruha Nichiro Corporation</t>
  </si>
  <si>
    <t/>
  </si>
  <si>
    <t>6050</t>
  </si>
  <si>
    <t>卸売業</t>
  </si>
  <si>
    <t>Wholesale Trade</t>
  </si>
  <si>
    <t>13520</t>
  </si>
  <si>
    <t>ホウスイ</t>
  </si>
  <si>
    <t>HOHSUI CORPORATION</t>
  </si>
  <si>
    <t>13760</t>
  </si>
  <si>
    <t>カネコ種苗</t>
  </si>
  <si>
    <t>KANEKO SEEDS CO.,LTD.</t>
  </si>
  <si>
    <t>2019/05/31</t>
  </si>
  <si>
    <t>6</t>
  </si>
  <si>
    <t>13770</t>
  </si>
  <si>
    <t>サカタのタネ</t>
  </si>
  <si>
    <t>SAKATA SEED CORPORATION</t>
  </si>
  <si>
    <t>13790</t>
  </si>
  <si>
    <t>ホクト</t>
  </si>
  <si>
    <t>HOKUTO CORPORATION</t>
  </si>
  <si>
    <t>0106</t>
  </si>
  <si>
    <t>JASDAQスタンダード内国株</t>
  </si>
  <si>
    <t>JASDAQ Standard Domestic Stock</t>
  </si>
  <si>
    <t>Z</t>
  </si>
  <si>
    <t>13800</t>
  </si>
  <si>
    <t>秋川牧園</t>
  </si>
  <si>
    <t>AKIKAWA FOODS &amp; FARMS CO.,LTD.</t>
  </si>
  <si>
    <t>13810</t>
  </si>
  <si>
    <t>アクシーズ</t>
  </si>
  <si>
    <t>AXYZ CO.,Ltd.</t>
  </si>
  <si>
    <t>2019/06/30</t>
  </si>
  <si>
    <t>13820</t>
  </si>
  <si>
    <t>ホーブ</t>
  </si>
  <si>
    <t>HOB Co.,Ltd.</t>
  </si>
  <si>
    <t>13830</t>
  </si>
  <si>
    <t>ベルグアース</t>
  </si>
  <si>
    <t>Berg Earth co.,ltd.</t>
  </si>
  <si>
    <t>2018/10/31</t>
  </si>
  <si>
    <t>13840</t>
  </si>
  <si>
    <t>ホクリヨウ</t>
  </si>
  <si>
    <t>Hokuryo Co.,Ltd.</t>
  </si>
  <si>
    <t>0107</t>
  </si>
  <si>
    <t>JASDAQグロース内国株</t>
  </si>
  <si>
    <t>JASDAQ Growth Domestic Stock</t>
  </si>
  <si>
    <t>2050</t>
  </si>
  <si>
    <t>建設業</t>
  </si>
  <si>
    <t>Construction</t>
  </si>
  <si>
    <t>14000</t>
  </si>
  <si>
    <t>ルーデン・ホールディングス</t>
  </si>
  <si>
    <t>RUDEN HOLDINGS CO.,Ltd.</t>
  </si>
  <si>
    <t>2018/12/31</t>
  </si>
  <si>
    <t>0104</t>
  </si>
  <si>
    <t>マザーズ内国株</t>
  </si>
  <si>
    <t>Mothers Domestic Stock</t>
  </si>
  <si>
    <t>14010</t>
  </si>
  <si>
    <t>エムビーエス</t>
  </si>
  <si>
    <t>mbs,inc.</t>
  </si>
  <si>
    <t>1</t>
  </si>
  <si>
    <t>14070</t>
  </si>
  <si>
    <t>ウエストホールディングス</t>
  </si>
  <si>
    <t>West Holdings Corporation</t>
  </si>
  <si>
    <t>2018/08/31</t>
  </si>
  <si>
    <t>14130</t>
  </si>
  <si>
    <t>ヒノキヤグループ</t>
  </si>
  <si>
    <t>Hinokiya Group Co.,Ltd.</t>
  </si>
  <si>
    <t>14140</t>
  </si>
  <si>
    <t>ショーボンドホールディングス</t>
  </si>
  <si>
    <t>SHO-BOND Holdings Co.,Ltd.</t>
  </si>
  <si>
    <t>14170</t>
  </si>
  <si>
    <t>ミライト・ホールディングス</t>
  </si>
  <si>
    <t>MIRAIT Holdings Corporation</t>
  </si>
  <si>
    <t>14180</t>
  </si>
  <si>
    <t>インターライフホールディングス</t>
  </si>
  <si>
    <t>INTERLIFE HOLDINGS CO.,LTD.</t>
  </si>
  <si>
    <t>2019/02/28</t>
  </si>
  <si>
    <t>14190</t>
  </si>
  <si>
    <t>タマホーム</t>
  </si>
  <si>
    <t>Tama Home Co.,Ltd.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</si>
</sst>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.0"/>
    <numFmt numFmtId="177" formatCode="#,##0.##"/>
  </numFmts>
  <fonts count="11" x14ac:knownFonts="1">
    <font>
      <sz val="11"/>
      <color theme="1"/>
      <name val="ＭＳ Ｐゴシック"/>
      <family val="2"/>
      <charset val="128"/>
      <scheme val="minor"/>
    </font>
    <font>
      <sz val="12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10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9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0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0" fillId="0" borderId="0" applyFont="0" applyFill="0" applyBorder="0" applyAlignment="0" applyProtection="0">
      <alignment vertical="center"/>
    </xf>
  </cellStyleXfs>
  <cellXfs count="52">
    <xf numFmtId="0" fontId="0" fillId="0" borderId="0" xfId="0">
      <alignment vertical="center"/>
    </xf>
    <xf numFmtId="49" fontId="1" fillId="0" borderId="0" xfId="0" applyNumberFormat="1" applyFont="1" applyFill="1" applyBorder="1" applyAlignment="1">
      <alignment vertical="center"/>
    </xf>
    <xf numFmtId="0" fontId="0" fillId="0" borderId="0" xfId="0" applyFill="1">
      <alignment vertical="center"/>
    </xf>
    <xf numFmtId="49" fontId="4" fillId="0" borderId="1" xfId="0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>
      <alignment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3" fontId="7" fillId="0" borderId="15" xfId="0" applyNumberFormat="1" applyFont="1" applyFill="1" applyBorder="1" applyAlignment="1">
      <alignment horizontal="right"/>
    </xf>
    <xf numFmtId="0" fontId="8" fillId="0" borderId="15" xfId="0" applyFont="1" applyFill="1" applyBorder="1" applyAlignment="1">
      <alignment horizontal="right"/>
    </xf>
    <xf numFmtId="0" fontId="4" fillId="0" borderId="14" xfId="0" applyFont="1" applyFill="1" applyBorder="1" applyAlignment="1">
      <alignment vertical="center"/>
    </xf>
    <xf numFmtId="3" fontId="7" fillId="0" borderId="14" xfId="0" applyNumberFormat="1" applyFont="1" applyFill="1" applyBorder="1" applyAlignment="1">
      <alignment horizontal="right"/>
    </xf>
    <xf numFmtId="0" fontId="7" fillId="0" borderId="14" xfId="0" applyFont="1" applyFill="1" applyBorder="1" applyAlignment="1">
      <alignment horizontal="right"/>
    </xf>
    <xf numFmtId="3" fontId="7" fillId="0" borderId="16" xfId="0" applyNumberFormat="1" applyFont="1" applyFill="1" applyBorder="1" applyAlignment="1">
      <alignment horizontal="right"/>
    </xf>
    <xf numFmtId="0" fontId="4" fillId="0" borderId="17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vertical="center" wrapText="1"/>
    </xf>
    <xf numFmtId="0" fontId="7" fillId="0" borderId="0" xfId="0" applyFont="1">
      <alignment vertical="center"/>
    </xf>
    <xf numFmtId="49" fontId="4" fillId="0" borderId="18" xfId="0" applyNumberFormat="1" applyFont="1" applyBorder="1" applyAlignment="1"/>
    <xf numFmtId="40" fontId="4" fillId="0" borderId="2" xfId="0" applyNumberFormat="1" applyFont="1" applyBorder="1" applyAlignment="1">
      <alignment horizontal="right"/>
    </xf>
    <xf numFmtId="40" fontId="4" fillId="0" borderId="18" xfId="0" applyNumberFormat="1" applyFont="1" applyBorder="1" applyAlignment="1">
      <alignment horizontal="right"/>
    </xf>
    <xf numFmtId="176" fontId="4" fillId="0" borderId="18" xfId="0" applyNumberFormat="1" applyFont="1" applyBorder="1" applyAlignment="1">
      <alignment horizontal="right"/>
    </xf>
    <xf numFmtId="0" fontId="4" fillId="0" borderId="0" xfId="0" applyFont="1">
      <alignment vertical="center"/>
    </xf>
    <xf numFmtId="0" fontId="9" fillId="0" borderId="0" xfId="0" applyFont="1">
      <alignment vertical="center"/>
    </xf>
    <xf numFmtId="38" fontId="4" fillId="0" borderId="18" xfId="1" applyFont="1" applyBorder="1" applyAlignment="1">
      <alignment horizontal="right"/>
    </xf>
    <xf numFmtId="38" fontId="4" fillId="0" borderId="19" xfId="1" applyFont="1" applyBorder="1" applyAlignment="1">
      <alignment horizontal="right"/>
    </xf>
    <xf numFmtId="177" fontId="4" fillId="0" borderId="2" xfId="0" applyNumberFormat="1" applyFont="1" applyBorder="1" applyAlignment="1">
      <alignment horizontal="right"/>
    </xf>
    <xf numFmtId="0" fontId="4" fillId="0" borderId="1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6"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H25"/>
  <sheetViews>
    <sheetView showGridLines="0" tabSelected="1" zoomScaleNormal="100" zoomScaleSheetLayoutView="40" workbookViewId="0"/>
  </sheetViews>
  <sheetFormatPr defaultRowHeight="13.5" x14ac:dyDescent="0.15"/>
  <cols>
    <col min="1" max="1" width="10.625" customWidth="1"/>
    <col min="2" max="2" width="8.5" bestFit="1" customWidth="1"/>
    <col min="3" max="4" width="17.875" customWidth="1"/>
    <col min="5" max="5" width="10.25" bestFit="1" customWidth="1"/>
    <col min="6" max="6" width="18" bestFit="1" customWidth="1"/>
    <col min="7" max="7" width="19.125" customWidth="1"/>
    <col min="8" max="8" width="10.5" customWidth="1"/>
    <col min="9" max="9" width="6.75" bestFit="1" customWidth="1"/>
    <col min="10" max="10" width="12.5" customWidth="1"/>
    <col min="11" max="11" width="6.75" bestFit="1" customWidth="1"/>
    <col min="12" max="13" width="21.625" customWidth="1"/>
    <col min="14" max="14" width="9.125" bestFit="1" customWidth="1"/>
    <col min="15" max="15" width="14.875" customWidth="1"/>
    <col min="16" max="16" width="10.625" customWidth="1"/>
    <col min="17" max="18" width="14.125" customWidth="1"/>
    <col min="19" max="20" width="8.875" bestFit="1" customWidth="1"/>
    <col min="21" max="21" width="20" customWidth="1"/>
    <col min="22" max="22" width="15.625" customWidth="1"/>
    <col min="23" max="24" width="15.125" customWidth="1"/>
    <col min="25" max="25" width="10.625" customWidth="1"/>
    <col min="26" max="26" width="14.125" customWidth="1"/>
    <col min="27" max="27" width="14.25" customWidth="1"/>
    <col min="28" max="29" width="8.875" bestFit="1" customWidth="1"/>
    <col min="30" max="33" width="15.125" customWidth="1"/>
    <col min="34" max="34" width="13.875" bestFit="1" customWidth="1"/>
  </cols>
  <sheetData>
    <row r="1" spans="1:34" ht="33.75" customHeight="1" x14ac:dyDescent="0.1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</row>
    <row r="2" spans="1:34" ht="17.25" customHeight="1" x14ac:dyDescent="0.15">
      <c r="A2" s="3" t="s">
        <v>1</v>
      </c>
      <c r="B2" s="4"/>
      <c r="C2" s="4"/>
      <c r="D2" s="4"/>
      <c r="E2" s="4"/>
      <c r="F2" s="4"/>
      <c r="G2" s="4"/>
      <c r="H2" s="4"/>
      <c r="I2" s="5"/>
      <c r="J2" s="4"/>
      <c r="K2" s="4"/>
      <c r="L2" s="4"/>
      <c r="M2" s="4"/>
      <c r="N2" s="4"/>
      <c r="O2" s="6"/>
      <c r="P2" s="46" t="s">
        <v>2</v>
      </c>
      <c r="Q2" s="47"/>
      <c r="R2" s="47"/>
      <c r="S2" s="47"/>
      <c r="T2" s="47"/>
      <c r="U2" s="47"/>
      <c r="V2" s="47"/>
      <c r="W2" s="47"/>
      <c r="X2" s="48"/>
      <c r="Y2" s="47" t="s">
        <v>3</v>
      </c>
      <c r="Z2" s="47"/>
      <c r="AA2" s="47"/>
      <c r="AB2" s="47"/>
      <c r="AC2" s="47"/>
      <c r="AD2" s="47"/>
      <c r="AE2" s="47"/>
      <c r="AF2" s="47"/>
      <c r="AG2" s="47"/>
      <c r="AH2" s="49"/>
    </row>
    <row r="3" spans="1:34" s="13" customFormat="1" ht="24.75" customHeight="1" x14ac:dyDescent="0.15">
      <c r="A3" s="7" t="s">
        <v>4</v>
      </c>
      <c r="B3" s="7" t="s">
        <v>5</v>
      </c>
      <c r="C3" s="50" t="s">
        <v>6</v>
      </c>
      <c r="D3" s="50" t="s">
        <v>7</v>
      </c>
      <c r="E3" s="7" t="s">
        <v>8</v>
      </c>
      <c r="F3" s="50" t="s">
        <v>9</v>
      </c>
      <c r="G3" s="51" t="s">
        <v>10</v>
      </c>
      <c r="H3" s="51" t="s">
        <v>11</v>
      </c>
      <c r="I3" s="51" t="s">
        <v>12</v>
      </c>
      <c r="J3" s="8" t="s">
        <v>13</v>
      </c>
      <c r="K3" s="8" t="s">
        <v>14</v>
      </c>
      <c r="L3" s="50" t="s">
        <v>15</v>
      </c>
      <c r="M3" s="50" t="s">
        <v>16</v>
      </c>
      <c r="N3" s="9" t="s">
        <v>17</v>
      </c>
      <c r="O3" s="10" t="s">
        <v>18</v>
      </c>
      <c r="P3" s="8" t="s">
        <v>19</v>
      </c>
      <c r="Q3" s="8" t="s">
        <v>20</v>
      </c>
      <c r="R3" s="8" t="s">
        <v>21</v>
      </c>
      <c r="S3" s="50" t="s">
        <v>22</v>
      </c>
      <c r="T3" s="50" t="s">
        <v>23</v>
      </c>
      <c r="U3" s="8" t="s">
        <v>24</v>
      </c>
      <c r="V3" s="7" t="s">
        <v>25</v>
      </c>
      <c r="W3" s="7" t="s">
        <v>26</v>
      </c>
      <c r="X3" s="11" t="s">
        <v>27</v>
      </c>
      <c r="Y3" s="12" t="s">
        <v>19</v>
      </c>
      <c r="Z3" s="8" t="s">
        <v>20</v>
      </c>
      <c r="AA3" s="8" t="s">
        <v>21</v>
      </c>
      <c r="AB3" s="50" t="s">
        <v>28</v>
      </c>
      <c r="AC3" s="50" t="s">
        <v>23</v>
      </c>
      <c r="AD3" s="7" t="s">
        <v>29</v>
      </c>
      <c r="AE3" s="7" t="s">
        <v>30</v>
      </c>
      <c r="AF3" s="7" t="s">
        <v>31</v>
      </c>
      <c r="AG3" s="7" t="s">
        <v>32</v>
      </c>
      <c r="AH3" s="8" t="s">
        <v>33</v>
      </c>
    </row>
    <row r="4" spans="1:34" s="21" customFormat="1" ht="24" x14ac:dyDescent="0.15">
      <c r="A4" s="42" t="s">
        <v>34</v>
      </c>
      <c r="B4" s="44" t="s">
        <v>35</v>
      </c>
      <c r="C4" s="42"/>
      <c r="D4" s="42"/>
      <c r="E4" s="14" t="s">
        <v>36</v>
      </c>
      <c r="F4" s="42"/>
      <c r="G4" s="44"/>
      <c r="H4" s="44"/>
      <c r="I4" s="44"/>
      <c r="J4" s="14" t="s">
        <v>37</v>
      </c>
      <c r="K4" s="15" t="s">
        <v>38</v>
      </c>
      <c r="L4" s="42"/>
      <c r="M4" s="42"/>
      <c r="N4" s="16" t="s">
        <v>39</v>
      </c>
      <c r="O4" s="16" t="s">
        <v>40</v>
      </c>
      <c r="P4" s="14" t="s">
        <v>41</v>
      </c>
      <c r="Q4" s="17" t="s">
        <v>42</v>
      </c>
      <c r="R4" s="17" t="s">
        <v>43</v>
      </c>
      <c r="S4" s="42"/>
      <c r="T4" s="42"/>
      <c r="U4" s="18" t="s">
        <v>44</v>
      </c>
      <c r="V4" s="18" t="s">
        <v>45</v>
      </c>
      <c r="W4" s="17" t="s">
        <v>46</v>
      </c>
      <c r="X4" s="19" t="s">
        <v>47</v>
      </c>
      <c r="Y4" s="20" t="s">
        <v>41</v>
      </c>
      <c r="Z4" s="17" t="s">
        <v>42</v>
      </c>
      <c r="AA4" s="17" t="s">
        <v>43</v>
      </c>
      <c r="AB4" s="42"/>
      <c r="AC4" s="42"/>
      <c r="AD4" s="18" t="s">
        <v>44</v>
      </c>
      <c r="AE4" s="18" t="s">
        <v>45</v>
      </c>
      <c r="AF4" s="17" t="s">
        <v>46</v>
      </c>
      <c r="AG4" s="17" t="s">
        <v>47</v>
      </c>
      <c r="AH4" s="17" t="s">
        <v>48</v>
      </c>
    </row>
    <row r="5" spans="1:34" s="32" customFormat="1" ht="11.25" customHeight="1" x14ac:dyDescent="0.15">
      <c r="A5" s="43"/>
      <c r="B5" s="45"/>
      <c r="C5" s="43"/>
      <c r="D5" s="43"/>
      <c r="E5" s="22"/>
      <c r="F5" s="43"/>
      <c r="G5" s="45"/>
      <c r="H5" s="45"/>
      <c r="I5" s="45"/>
      <c r="J5" s="22"/>
      <c r="K5" s="23"/>
      <c r="L5" s="43"/>
      <c r="M5" s="43"/>
      <c r="N5" s="24" t="s">
        <v>49</v>
      </c>
      <c r="O5" s="25" t="s">
        <v>50</v>
      </c>
      <c r="P5" s="26"/>
      <c r="Q5" s="27" t="s">
        <v>49</v>
      </c>
      <c r="R5" s="27" t="s">
        <v>49</v>
      </c>
      <c r="S5" s="28" t="s">
        <v>51</v>
      </c>
      <c r="T5" s="28" t="s">
        <v>51</v>
      </c>
      <c r="U5" s="27" t="s">
        <v>49</v>
      </c>
      <c r="V5" s="27" t="s">
        <v>49</v>
      </c>
      <c r="W5" s="27" t="s">
        <v>49</v>
      </c>
      <c r="X5" s="29" t="s">
        <v>49</v>
      </c>
      <c r="Y5" s="30"/>
      <c r="Z5" s="27" t="s">
        <v>49</v>
      </c>
      <c r="AA5" s="27" t="s">
        <v>49</v>
      </c>
      <c r="AB5" s="28" t="s">
        <v>51</v>
      </c>
      <c r="AC5" s="28" t="s">
        <v>51</v>
      </c>
      <c r="AD5" s="27" t="s">
        <v>49</v>
      </c>
      <c r="AE5" s="27" t="s">
        <v>49</v>
      </c>
      <c r="AF5" s="27" t="s">
        <v>49</v>
      </c>
      <c r="AG5" s="27" t="s">
        <v>49</v>
      </c>
      <c r="AH5" s="31"/>
    </row>
    <row r="6" spans="1:34" s="37" customFormat="1" ht="13.5" customHeight="1" x14ac:dyDescent="0.15">
      <c r="A6" s="33" t="s">
        <v>52</v>
      </c>
      <c r="B6" s="33" t="s">
        <v>53</v>
      </c>
      <c r="C6" s="33" t="s">
        <v>54</v>
      </c>
      <c r="D6" s="33" t="s">
        <v>55</v>
      </c>
      <c r="E6" s="33" t="s">
        <v>56</v>
      </c>
      <c r="F6" s="33" t="s">
        <v>57</v>
      </c>
      <c r="G6" s="33" t="s">
        <v>58</v>
      </c>
      <c r="H6" s="33" t="s">
        <v>59</v>
      </c>
      <c r="I6" s="33" t="s">
        <v>60</v>
      </c>
      <c r="J6" s="33" t="s">
        <v>61</v>
      </c>
      <c r="K6" s="33" t="s">
        <v>62</v>
      </c>
      <c r="L6" s="33" t="s">
        <v>63</v>
      </c>
      <c r="M6" s="33" t="s">
        <v>64</v>
      </c>
      <c r="N6" s="41">
        <f>2778</f>
        <v>2778</v>
      </c>
      <c r="O6" s="34">
        <f>10928283</f>
        <v>10928283</v>
      </c>
      <c r="P6" s="33" t="s">
        <v>65</v>
      </c>
      <c r="Q6" s="35">
        <f>266.65</f>
        <v>266.64999999999998</v>
      </c>
      <c r="R6" s="35">
        <f>2927.82</f>
        <v>2927.82</v>
      </c>
      <c r="S6" s="36">
        <f>10.4</f>
        <v>10.4</v>
      </c>
      <c r="T6" s="36">
        <f>0.9</f>
        <v>0.9</v>
      </c>
      <c r="U6" s="39">
        <f>2914000000</f>
        <v>2914000000</v>
      </c>
      <c r="V6" s="39">
        <f>31996000000</f>
        <v>31996000000</v>
      </c>
      <c r="W6" s="39">
        <f>0</f>
        <v>0</v>
      </c>
      <c r="X6" s="40">
        <f>0</f>
        <v>0</v>
      </c>
      <c r="Y6" s="33" t="s">
        <v>65</v>
      </c>
      <c r="Z6" s="35">
        <f>141.93</f>
        <v>141.93</v>
      </c>
      <c r="AA6" s="35">
        <f>2225.14</f>
        <v>2225.14</v>
      </c>
      <c r="AB6" s="36">
        <f>19.6</f>
        <v>19.600000000000001</v>
      </c>
      <c r="AC6" s="36">
        <f>1.2</f>
        <v>1.2</v>
      </c>
      <c r="AD6" s="39">
        <f>1551000000</f>
        <v>1551000000</v>
      </c>
      <c r="AE6" s="39">
        <f>24317000000</f>
        <v>24317000000</v>
      </c>
      <c r="AF6" s="39">
        <f>0</f>
        <v>0</v>
      </c>
      <c r="AG6" s="39">
        <f>0</f>
        <v>0</v>
      </c>
      <c r="AH6" s="33" t="s">
        <v>66</v>
      </c>
    </row>
    <row r="7" spans="1:34" x14ac:dyDescent="0.15">
      <c r="A7" s="33" t="s">
        <v>52</v>
      </c>
      <c r="B7" s="33" t="s">
        <v>53</v>
      </c>
      <c r="C7" s="33" t="s">
        <v>54</v>
      </c>
      <c r="D7" s="33" t="s">
        <v>55</v>
      </c>
      <c r="E7" s="33" t="s">
        <v>56</v>
      </c>
      <c r="F7" s="38" t="s">
        <v>57</v>
      </c>
      <c r="G7" s="33" t="s">
        <v>58</v>
      </c>
      <c r="H7" s="33" t="s">
        <v>67</v>
      </c>
      <c r="I7" s="33" t="s">
        <v>68</v>
      </c>
      <c r="J7" s="33" t="s">
        <v>69</v>
      </c>
      <c r="K7" s="33" t="s">
        <v>70</v>
      </c>
      <c r="L7" s="33" t="s">
        <v>71</v>
      </c>
      <c r="M7" s="33" t="s">
        <v>72</v>
      </c>
      <c r="N7" s="41">
        <f>611</f>
        <v>611</v>
      </c>
      <c r="O7" s="34">
        <f>312430277</f>
        <v>312430277</v>
      </c>
      <c r="P7" s="33" t="s">
        <v>65</v>
      </c>
      <c r="Q7" s="35">
        <f>49.22</f>
        <v>49.22</v>
      </c>
      <c r="R7" s="35">
        <f>531.82</f>
        <v>531.82000000000005</v>
      </c>
      <c r="S7" s="36">
        <f>12.4</f>
        <v>12.4</v>
      </c>
      <c r="T7" s="36">
        <f>1.1</f>
        <v>1.1000000000000001</v>
      </c>
      <c r="U7" s="39">
        <f>15379000000</f>
        <v>15379000000</v>
      </c>
      <c r="V7" s="39">
        <f>166158000000</f>
        <v>166158000000</v>
      </c>
      <c r="W7" s="39">
        <f>0</f>
        <v>0</v>
      </c>
      <c r="X7" s="40">
        <f>0</f>
        <v>0</v>
      </c>
      <c r="Y7" s="33" t="s">
        <v>65</v>
      </c>
      <c r="Z7" s="35">
        <f>17.54</f>
        <v>17.54</v>
      </c>
      <c r="AA7" s="35">
        <f>287.62</f>
        <v>287.62</v>
      </c>
      <c r="AB7" s="36">
        <f>34.8</f>
        <v>34.799999999999997</v>
      </c>
      <c r="AC7" s="36">
        <f>2.1</f>
        <v>2.1</v>
      </c>
      <c r="AD7" s="39">
        <f>5480000000</f>
        <v>5480000000</v>
      </c>
      <c r="AE7" s="39">
        <f>89862000000</f>
        <v>89862000000</v>
      </c>
      <c r="AF7" s="39">
        <f>0</f>
        <v>0</v>
      </c>
      <c r="AG7" s="39">
        <f>0</f>
        <v>0</v>
      </c>
      <c r="AH7" s="33" t="s">
        <v>66</v>
      </c>
    </row>
    <row r="8" spans="1:34" x14ac:dyDescent="0.15">
      <c r="A8" s="33" t="s">
        <v>52</v>
      </c>
      <c r="B8" s="33" t="s">
        <v>53</v>
      </c>
      <c r="C8" s="33" t="s">
        <v>54</v>
      </c>
      <c r="D8" s="33" t="s">
        <v>55</v>
      </c>
      <c r="E8" s="33" t="s">
        <v>56</v>
      </c>
      <c r="F8" s="33" t="s">
        <v>57</v>
      </c>
      <c r="G8" s="33" t="s">
        <v>58</v>
      </c>
      <c r="H8" s="33" t="s">
        <v>67</v>
      </c>
      <c r="I8" s="33" t="s">
        <v>68</v>
      </c>
      <c r="J8" s="33" t="s">
        <v>69</v>
      </c>
      <c r="K8" s="33" t="s">
        <v>73</v>
      </c>
      <c r="L8" s="33" t="s">
        <v>74</v>
      </c>
      <c r="M8" s="33" t="s">
        <v>75</v>
      </c>
      <c r="N8" s="41">
        <f>2724</f>
        <v>2724</v>
      </c>
      <c r="O8" s="34">
        <f>52656910</f>
        <v>52656910</v>
      </c>
      <c r="P8" s="33" t="s">
        <v>65</v>
      </c>
      <c r="Q8" s="35">
        <f>317.05</f>
        <v>317.05</v>
      </c>
      <c r="R8" s="35">
        <f>2855.83</f>
        <v>2855.83</v>
      </c>
      <c r="S8" s="36">
        <f>8.6</f>
        <v>8.6</v>
      </c>
      <c r="T8" s="36">
        <f>1</f>
        <v>1</v>
      </c>
      <c r="U8" s="39">
        <f>16695000000</f>
        <v>16695000000</v>
      </c>
      <c r="V8" s="39">
        <f>150379000000</f>
        <v>150379000000</v>
      </c>
      <c r="W8" s="39">
        <f>0</f>
        <v>0</v>
      </c>
      <c r="X8" s="40">
        <f>0</f>
        <v>0</v>
      </c>
      <c r="Y8" s="33" t="s">
        <v>76</v>
      </c>
      <c r="Z8" s="35">
        <f>0</f>
        <v>0</v>
      </c>
      <c r="AA8" s="35">
        <f>0</f>
        <v>0</v>
      </c>
      <c r="AB8" s="36" t="str">
        <f>"－"</f>
        <v>－</v>
      </c>
      <c r="AC8" s="36" t="str">
        <f>"－"</f>
        <v>－</v>
      </c>
      <c r="AD8" s="39"/>
      <c r="AE8" s="39"/>
      <c r="AF8" s="39">
        <f>0</f>
        <v>0</v>
      </c>
      <c r="AG8" s="39">
        <f>0</f>
        <v>0</v>
      </c>
      <c r="AH8" s="33" t="s">
        <v>66</v>
      </c>
    </row>
    <row r="9" spans="1:34" x14ac:dyDescent="0.15">
      <c r="A9" s="33" t="s">
        <v>52</v>
      </c>
      <c r="B9" s="33" t="s">
        <v>53</v>
      </c>
      <c r="C9" s="33" t="s">
        <v>54</v>
      </c>
      <c r="D9" s="33" t="s">
        <v>55</v>
      </c>
      <c r="E9" s="33" t="s">
        <v>77</v>
      </c>
      <c r="F9" s="33" t="s">
        <v>78</v>
      </c>
      <c r="G9" s="33" t="s">
        <v>79</v>
      </c>
      <c r="H9" s="33" t="s">
        <v>59</v>
      </c>
      <c r="I9" s="33" t="s">
        <v>60</v>
      </c>
      <c r="J9" s="33" t="s">
        <v>61</v>
      </c>
      <c r="K9" s="33" t="s">
        <v>80</v>
      </c>
      <c r="L9" s="33" t="s">
        <v>81</v>
      </c>
      <c r="M9" s="33" t="s">
        <v>82</v>
      </c>
      <c r="N9" s="41">
        <f>823</f>
        <v>823</v>
      </c>
      <c r="O9" s="34">
        <f>8379000</f>
        <v>8379000</v>
      </c>
      <c r="P9" s="33" t="s">
        <v>65</v>
      </c>
      <c r="Q9" s="35">
        <f>39.98</f>
        <v>39.979999999999997</v>
      </c>
      <c r="R9" s="35">
        <f>802.01</f>
        <v>802.01</v>
      </c>
      <c r="S9" s="36">
        <f>20.6</f>
        <v>20.6</v>
      </c>
      <c r="T9" s="36">
        <f>1</f>
        <v>1</v>
      </c>
      <c r="U9" s="39">
        <f>335000000</f>
        <v>335000000</v>
      </c>
      <c r="V9" s="39">
        <f>6720000000</f>
        <v>6720000000</v>
      </c>
      <c r="W9" s="39">
        <f>0</f>
        <v>0</v>
      </c>
      <c r="X9" s="40">
        <f>0</f>
        <v>0</v>
      </c>
      <c r="Y9" s="33" t="s">
        <v>65</v>
      </c>
      <c r="Z9" s="35">
        <f>24.94</f>
        <v>24.94</v>
      </c>
      <c r="AA9" s="35">
        <f>653.9</f>
        <v>653.9</v>
      </c>
      <c r="AB9" s="36">
        <f>33</f>
        <v>33</v>
      </c>
      <c r="AC9" s="36">
        <f>1.3</f>
        <v>1.3</v>
      </c>
      <c r="AD9" s="39">
        <f>209000000</f>
        <v>209000000</v>
      </c>
      <c r="AE9" s="39">
        <f>5479000000</f>
        <v>5479000000</v>
      </c>
      <c r="AF9" s="39">
        <f>0</f>
        <v>0</v>
      </c>
      <c r="AG9" s="39">
        <f>0</f>
        <v>0</v>
      </c>
      <c r="AH9" s="33" t="s">
        <v>66</v>
      </c>
    </row>
    <row r="10" spans="1:34" x14ac:dyDescent="0.15">
      <c r="A10" s="33" t="s">
        <v>52</v>
      </c>
      <c r="B10" s="33" t="s">
        <v>53</v>
      </c>
      <c r="C10" s="33" t="s">
        <v>54</v>
      </c>
      <c r="D10" s="33" t="s">
        <v>55</v>
      </c>
      <c r="E10" s="33" t="s">
        <v>56</v>
      </c>
      <c r="F10" s="33" t="s">
        <v>57</v>
      </c>
      <c r="G10" s="33" t="s">
        <v>58</v>
      </c>
      <c r="H10" s="33" t="s">
        <v>59</v>
      </c>
      <c r="I10" s="33" t="s">
        <v>60</v>
      </c>
      <c r="J10" s="33" t="s">
        <v>61</v>
      </c>
      <c r="K10" s="33" t="s">
        <v>83</v>
      </c>
      <c r="L10" s="33" t="s">
        <v>84</v>
      </c>
      <c r="M10" s="33" t="s">
        <v>85</v>
      </c>
      <c r="N10" s="41">
        <f>1288</f>
        <v>1288</v>
      </c>
      <c r="O10" s="34">
        <f>11772626</f>
        <v>11772626</v>
      </c>
      <c r="P10" s="33" t="s">
        <v>86</v>
      </c>
      <c r="Q10" s="35">
        <f>109.07</f>
        <v>109.07</v>
      </c>
      <c r="R10" s="35">
        <f>1666.49</f>
        <v>1666.49</v>
      </c>
      <c r="S10" s="36">
        <f>11.8</f>
        <v>11.8</v>
      </c>
      <c r="T10" s="36">
        <f>0.8</f>
        <v>0.8</v>
      </c>
      <c r="U10" s="39">
        <f>1284000000</f>
        <v>1284000000</v>
      </c>
      <c r="V10" s="39">
        <f>19619000000</f>
        <v>19619000000</v>
      </c>
      <c r="W10" s="39">
        <f>0</f>
        <v>0</v>
      </c>
      <c r="X10" s="40">
        <f>0</f>
        <v>0</v>
      </c>
      <c r="Y10" s="33" t="s">
        <v>86</v>
      </c>
      <c r="Z10" s="35">
        <f>108.47</f>
        <v>108.47</v>
      </c>
      <c r="AA10" s="35">
        <f>1655.2</f>
        <v>1655.2</v>
      </c>
      <c r="AB10" s="36">
        <f>11.9</f>
        <v>11.9</v>
      </c>
      <c r="AC10" s="36">
        <f>0.8</f>
        <v>0.8</v>
      </c>
      <c r="AD10" s="39">
        <f>1277000000</f>
        <v>1277000000</v>
      </c>
      <c r="AE10" s="39">
        <f>19486000000</f>
        <v>19486000000</v>
      </c>
      <c r="AF10" s="39">
        <f>0</f>
        <v>0</v>
      </c>
      <c r="AG10" s="39">
        <f>0</f>
        <v>0</v>
      </c>
      <c r="AH10" s="33" t="s">
        <v>66</v>
      </c>
    </row>
    <row r="11" spans="1:34" x14ac:dyDescent="0.15">
      <c r="A11" s="33" t="s">
        <v>52</v>
      </c>
      <c r="B11" s="33" t="s">
        <v>53</v>
      </c>
      <c r="C11" s="33" t="s">
        <v>54</v>
      </c>
      <c r="D11" s="33" t="s">
        <v>55</v>
      </c>
      <c r="E11" s="33" t="s">
        <v>56</v>
      </c>
      <c r="F11" s="33" t="s">
        <v>57</v>
      </c>
      <c r="G11" s="33" t="s">
        <v>58</v>
      </c>
      <c r="H11" s="33" t="s">
        <v>59</v>
      </c>
      <c r="I11" s="33" t="s">
        <v>60</v>
      </c>
      <c r="J11" s="33" t="s">
        <v>87</v>
      </c>
      <c r="K11" s="33" t="s">
        <v>88</v>
      </c>
      <c r="L11" s="33" t="s">
        <v>89</v>
      </c>
      <c r="M11" s="33" t="s">
        <v>90</v>
      </c>
      <c r="N11" s="41">
        <f>3690</f>
        <v>3690</v>
      </c>
      <c r="O11" s="34">
        <f>47410750</f>
        <v>47410750</v>
      </c>
      <c r="P11" s="33" t="s">
        <v>86</v>
      </c>
      <c r="Q11" s="35">
        <f>144.61</f>
        <v>144.61000000000001</v>
      </c>
      <c r="R11" s="35">
        <f>2127.85</f>
        <v>2127.85</v>
      </c>
      <c r="S11" s="36">
        <f>25.5</f>
        <v>25.5</v>
      </c>
      <c r="T11" s="36">
        <f>1.7</f>
        <v>1.7</v>
      </c>
      <c r="U11" s="39">
        <f>6856000000</f>
        <v>6856000000</v>
      </c>
      <c r="V11" s="39">
        <f>100883000000</f>
        <v>100883000000</v>
      </c>
      <c r="W11" s="39">
        <f>0</f>
        <v>0</v>
      </c>
      <c r="X11" s="40">
        <f>0</f>
        <v>0</v>
      </c>
      <c r="Y11" s="33" t="s">
        <v>86</v>
      </c>
      <c r="Z11" s="35">
        <f>69.14</f>
        <v>69.14</v>
      </c>
      <c r="AA11" s="35">
        <f>1639.73</f>
        <v>1639.73</v>
      </c>
      <c r="AB11" s="36">
        <f>53.4</f>
        <v>53.4</v>
      </c>
      <c r="AC11" s="36">
        <f>2.3</f>
        <v>2.2999999999999998</v>
      </c>
      <c r="AD11" s="39">
        <f>3278000000</f>
        <v>3278000000</v>
      </c>
      <c r="AE11" s="39">
        <f>77741000000</f>
        <v>77741000000</v>
      </c>
      <c r="AF11" s="39">
        <f>0</f>
        <v>0</v>
      </c>
      <c r="AG11" s="39">
        <f>0</f>
        <v>0</v>
      </c>
      <c r="AH11" s="33" t="s">
        <v>66</v>
      </c>
    </row>
    <row r="12" spans="1:34" x14ac:dyDescent="0.15">
      <c r="A12" s="33" t="s">
        <v>52</v>
      </c>
      <c r="B12" s="33" t="s">
        <v>53</v>
      </c>
      <c r="C12" s="33" t="s">
        <v>54</v>
      </c>
      <c r="D12" s="33" t="s">
        <v>55</v>
      </c>
      <c r="E12" s="33" t="s">
        <v>56</v>
      </c>
      <c r="F12" s="33" t="s">
        <v>57</v>
      </c>
      <c r="G12" s="33" t="s">
        <v>58</v>
      </c>
      <c r="H12" s="33" t="s">
        <v>59</v>
      </c>
      <c r="I12" s="33" t="s">
        <v>60</v>
      </c>
      <c r="J12" s="33" t="s">
        <v>87</v>
      </c>
      <c r="K12" s="33" t="s">
        <v>91</v>
      </c>
      <c r="L12" s="33" t="s">
        <v>92</v>
      </c>
      <c r="M12" s="33" t="s">
        <v>93</v>
      </c>
      <c r="N12" s="41">
        <f>1984</f>
        <v>1984</v>
      </c>
      <c r="O12" s="34">
        <f>33359040</f>
        <v>33359040</v>
      </c>
      <c r="P12" s="33" t="s">
        <v>65</v>
      </c>
      <c r="Q12" s="35">
        <f>95.57</f>
        <v>95.57</v>
      </c>
      <c r="R12" s="35">
        <f>1559.7</f>
        <v>1559.7</v>
      </c>
      <c r="S12" s="36">
        <f>20.8</f>
        <v>20.8</v>
      </c>
      <c r="T12" s="36">
        <f>1.3</f>
        <v>1.3</v>
      </c>
      <c r="U12" s="39">
        <f>3188000000</f>
        <v>3188000000</v>
      </c>
      <c r="V12" s="39">
        <f>52030000000</f>
        <v>52030000000</v>
      </c>
      <c r="W12" s="39">
        <f>0</f>
        <v>0</v>
      </c>
      <c r="X12" s="40">
        <f>0</f>
        <v>0</v>
      </c>
      <c r="Y12" s="33" t="s">
        <v>65</v>
      </c>
      <c r="Z12" s="35">
        <f>90.08</f>
        <v>90.08</v>
      </c>
      <c r="AA12" s="35">
        <f>1570.76</f>
        <v>1570.76</v>
      </c>
      <c r="AB12" s="36">
        <f>22</f>
        <v>22</v>
      </c>
      <c r="AC12" s="36">
        <f>1.3</f>
        <v>1.3</v>
      </c>
      <c r="AD12" s="39">
        <f>3005000000</f>
        <v>3005000000</v>
      </c>
      <c r="AE12" s="39">
        <f>52399000000</f>
        <v>52399000000</v>
      </c>
      <c r="AF12" s="39">
        <f>0</f>
        <v>0</v>
      </c>
      <c r="AG12" s="39">
        <f>0</f>
        <v>0</v>
      </c>
      <c r="AH12" s="33" t="s">
        <v>66</v>
      </c>
    </row>
    <row r="13" spans="1:34" x14ac:dyDescent="0.15">
      <c r="A13" s="33" t="s">
        <v>52</v>
      </c>
      <c r="B13" s="33" t="s">
        <v>94</v>
      </c>
      <c r="C13" s="33" t="s">
        <v>95</v>
      </c>
      <c r="D13" s="33" t="s">
        <v>96</v>
      </c>
      <c r="E13" s="33" t="s">
        <v>56</v>
      </c>
      <c r="F13" s="33" t="s">
        <v>57</v>
      </c>
      <c r="G13" s="33" t="s">
        <v>58</v>
      </c>
      <c r="H13" s="33"/>
      <c r="I13" s="33"/>
      <c r="J13" s="33" t="s">
        <v>97</v>
      </c>
      <c r="K13" s="33" t="s">
        <v>98</v>
      </c>
      <c r="L13" s="33" t="s">
        <v>99</v>
      </c>
      <c r="M13" s="33" t="s">
        <v>100</v>
      </c>
      <c r="N13" s="41">
        <f>813</f>
        <v>813</v>
      </c>
      <c r="O13" s="34">
        <f>4179000</f>
        <v>4179000</v>
      </c>
      <c r="P13" s="33" t="s">
        <v>65</v>
      </c>
      <c r="Q13" s="35">
        <f>32.3</f>
        <v>32.299999999999997</v>
      </c>
      <c r="R13" s="35">
        <f>405.84</f>
        <v>405.84</v>
      </c>
      <c r="S13" s="36">
        <f>25.2</f>
        <v>25.2</v>
      </c>
      <c r="T13" s="36">
        <f>2</f>
        <v>2</v>
      </c>
      <c r="U13" s="39">
        <f>135000000</f>
        <v>135000000</v>
      </c>
      <c r="V13" s="39">
        <f>1696000000</f>
        <v>1696000000</v>
      </c>
      <c r="W13" s="39">
        <f>0</f>
        <v>0</v>
      </c>
      <c r="X13" s="40">
        <f>0</f>
        <v>0</v>
      </c>
      <c r="Y13" s="33" t="s">
        <v>65</v>
      </c>
      <c r="Z13" s="35">
        <f>30.87</f>
        <v>30.87</v>
      </c>
      <c r="AA13" s="35">
        <f>376.65</f>
        <v>376.65</v>
      </c>
      <c r="AB13" s="36">
        <f>26.3</f>
        <v>26.3</v>
      </c>
      <c r="AC13" s="36">
        <f>2.2</f>
        <v>2.2000000000000002</v>
      </c>
      <c r="AD13" s="39">
        <f>129000000</f>
        <v>129000000</v>
      </c>
      <c r="AE13" s="39">
        <f>1574000000</f>
        <v>1574000000</v>
      </c>
      <c r="AF13" s="39">
        <f>0</f>
        <v>0</v>
      </c>
      <c r="AG13" s="39">
        <f>0</f>
        <v>0</v>
      </c>
      <c r="AH13" s="33" t="s">
        <v>66</v>
      </c>
    </row>
    <row r="14" spans="1:34" x14ac:dyDescent="0.15">
      <c r="A14" s="33" t="s">
        <v>52</v>
      </c>
      <c r="B14" s="33" t="s">
        <v>94</v>
      </c>
      <c r="C14" s="33" t="s">
        <v>95</v>
      </c>
      <c r="D14" s="33" t="s">
        <v>96</v>
      </c>
      <c r="E14" s="33" t="s">
        <v>56</v>
      </c>
      <c r="F14" s="33" t="s">
        <v>57</v>
      </c>
      <c r="G14" s="33" t="s">
        <v>58</v>
      </c>
      <c r="H14" s="33"/>
      <c r="I14" s="33"/>
      <c r="J14" s="33" t="s">
        <v>97</v>
      </c>
      <c r="K14" s="33" t="s">
        <v>101</v>
      </c>
      <c r="L14" s="33" t="s">
        <v>102</v>
      </c>
      <c r="M14" s="33" t="s">
        <v>103</v>
      </c>
      <c r="N14" s="41">
        <f>2277</f>
        <v>2277</v>
      </c>
      <c r="O14" s="34">
        <f>5617500</f>
        <v>5617500</v>
      </c>
      <c r="P14" s="33" t="s">
        <v>104</v>
      </c>
      <c r="Q14" s="35">
        <f>321.67</f>
        <v>321.67</v>
      </c>
      <c r="R14" s="35">
        <f>2459.28</f>
        <v>2459.2800000000002</v>
      </c>
      <c r="S14" s="36">
        <f>7.1</f>
        <v>7.1</v>
      </c>
      <c r="T14" s="36">
        <f>0.9</f>
        <v>0.9</v>
      </c>
      <c r="U14" s="39">
        <f>1807000000</f>
        <v>1807000000</v>
      </c>
      <c r="V14" s="39">
        <f>13815000000</f>
        <v>13815000000</v>
      </c>
      <c r="W14" s="39">
        <f>0</f>
        <v>0</v>
      </c>
      <c r="X14" s="40">
        <f>0</f>
        <v>0</v>
      </c>
      <c r="Y14" s="33" t="s">
        <v>104</v>
      </c>
      <c r="Z14" s="35">
        <f>302.63</f>
        <v>302.63</v>
      </c>
      <c r="AA14" s="35">
        <f>1982.55</f>
        <v>1982.55</v>
      </c>
      <c r="AB14" s="36">
        <f>7.5</f>
        <v>7.5</v>
      </c>
      <c r="AC14" s="36">
        <f>1.1</f>
        <v>1.1000000000000001</v>
      </c>
      <c r="AD14" s="39">
        <f>1700000000</f>
        <v>1700000000</v>
      </c>
      <c r="AE14" s="39">
        <f>11137000000</f>
        <v>11137000000</v>
      </c>
      <c r="AF14" s="39">
        <f>0</f>
        <v>0</v>
      </c>
      <c r="AG14" s="39">
        <f>0</f>
        <v>0</v>
      </c>
      <c r="AH14" s="33" t="s">
        <v>66</v>
      </c>
    </row>
    <row r="15" spans="1:34" x14ac:dyDescent="0.15">
      <c r="A15" s="33" t="s">
        <v>52</v>
      </c>
      <c r="B15" s="33" t="s">
        <v>94</v>
      </c>
      <c r="C15" s="33" t="s">
        <v>95</v>
      </c>
      <c r="D15" s="33" t="s">
        <v>96</v>
      </c>
      <c r="E15" s="33" t="s">
        <v>56</v>
      </c>
      <c r="F15" s="33" t="s">
        <v>57</v>
      </c>
      <c r="G15" s="33" t="s">
        <v>58</v>
      </c>
      <c r="H15" s="33"/>
      <c r="I15" s="33"/>
      <c r="J15" s="33" t="s">
        <v>97</v>
      </c>
      <c r="K15" s="33" t="s">
        <v>105</v>
      </c>
      <c r="L15" s="33" t="s">
        <v>106</v>
      </c>
      <c r="M15" s="33" t="s">
        <v>107</v>
      </c>
      <c r="N15" s="41">
        <f>995</f>
        <v>995</v>
      </c>
      <c r="O15" s="34">
        <f>762000</f>
        <v>762000</v>
      </c>
      <c r="P15" s="33" t="s">
        <v>104</v>
      </c>
      <c r="Q15" s="35">
        <f>57.74</f>
        <v>57.74</v>
      </c>
      <c r="R15" s="35">
        <f>576.12</f>
        <v>576.12</v>
      </c>
      <c r="S15" s="36">
        <f>17.2</f>
        <v>17.2</v>
      </c>
      <c r="T15" s="36">
        <f>1.7</f>
        <v>1.7</v>
      </c>
      <c r="U15" s="39">
        <f>44000000</f>
        <v>44000000</v>
      </c>
      <c r="V15" s="39">
        <f>439000000</f>
        <v>439000000</v>
      </c>
      <c r="W15" s="39">
        <f>0</f>
        <v>0</v>
      </c>
      <c r="X15" s="40">
        <f>0</f>
        <v>0</v>
      </c>
      <c r="Y15" s="33" t="s">
        <v>104</v>
      </c>
      <c r="Z15" s="35">
        <f>51.18</f>
        <v>51.18</v>
      </c>
      <c r="AA15" s="35">
        <f>532.81</f>
        <v>532.80999999999995</v>
      </c>
      <c r="AB15" s="36">
        <f>19.4</f>
        <v>19.399999999999999</v>
      </c>
      <c r="AC15" s="36">
        <f>1.9</f>
        <v>1.9</v>
      </c>
      <c r="AD15" s="39">
        <f>39000000</f>
        <v>39000000</v>
      </c>
      <c r="AE15" s="39">
        <f>406000000</f>
        <v>406000000</v>
      </c>
      <c r="AF15" s="39">
        <f>0</f>
        <v>0</v>
      </c>
      <c r="AG15" s="39">
        <f>0</f>
        <v>0</v>
      </c>
      <c r="AH15" s="33" t="s">
        <v>66</v>
      </c>
    </row>
    <row r="16" spans="1:34" x14ac:dyDescent="0.15">
      <c r="A16" s="33" t="s">
        <v>52</v>
      </c>
      <c r="B16" s="33" t="s">
        <v>94</v>
      </c>
      <c r="C16" s="33" t="s">
        <v>95</v>
      </c>
      <c r="D16" s="33" t="s">
        <v>96</v>
      </c>
      <c r="E16" s="33" t="s">
        <v>56</v>
      </c>
      <c r="F16" s="33" t="s">
        <v>57</v>
      </c>
      <c r="G16" s="33" t="s">
        <v>58</v>
      </c>
      <c r="H16" s="33"/>
      <c r="I16" s="33"/>
      <c r="J16" s="33" t="s">
        <v>97</v>
      </c>
      <c r="K16" s="33" t="s">
        <v>108</v>
      </c>
      <c r="L16" s="33" t="s">
        <v>109</v>
      </c>
      <c r="M16" s="33" t="s">
        <v>110</v>
      </c>
      <c r="N16" s="41">
        <f>2220</f>
        <v>2220</v>
      </c>
      <c r="O16" s="34">
        <f>1269900</f>
        <v>1269900</v>
      </c>
      <c r="P16" s="33" t="s">
        <v>111</v>
      </c>
      <c r="Q16" s="35">
        <f>22.84</f>
        <v>22.84</v>
      </c>
      <c r="R16" s="35">
        <f>1055.2</f>
        <v>1055.2</v>
      </c>
      <c r="S16" s="36">
        <f>97.2</f>
        <v>97.2</v>
      </c>
      <c r="T16" s="36">
        <f>2.1</f>
        <v>2.1</v>
      </c>
      <c r="U16" s="39">
        <f>29000000</f>
        <v>29000000</v>
      </c>
      <c r="V16" s="39">
        <f>1340000000</f>
        <v>1340000000</v>
      </c>
      <c r="W16" s="39">
        <f>0</f>
        <v>0</v>
      </c>
      <c r="X16" s="40">
        <f>0</f>
        <v>0</v>
      </c>
      <c r="Y16" s="33" t="s">
        <v>111</v>
      </c>
      <c r="Z16" s="35">
        <f>31.5</f>
        <v>31.5</v>
      </c>
      <c r="AA16" s="35">
        <f>892.2</f>
        <v>892.2</v>
      </c>
      <c r="AB16" s="36">
        <f>70.5</f>
        <v>70.5</v>
      </c>
      <c r="AC16" s="36">
        <f>2.5</f>
        <v>2.5</v>
      </c>
      <c r="AD16" s="39">
        <f>40000000</f>
        <v>40000000</v>
      </c>
      <c r="AE16" s="39">
        <f>1133000000</f>
        <v>1133000000</v>
      </c>
      <c r="AF16" s="39">
        <f>0</f>
        <v>0</v>
      </c>
      <c r="AG16" s="39">
        <f>0</f>
        <v>0</v>
      </c>
      <c r="AH16" s="33" t="s">
        <v>66</v>
      </c>
    </row>
    <row r="17" spans="1:34" x14ac:dyDescent="0.15">
      <c r="A17" s="33" t="s">
        <v>52</v>
      </c>
      <c r="B17" s="33" t="s">
        <v>53</v>
      </c>
      <c r="C17" s="33" t="s">
        <v>54</v>
      </c>
      <c r="D17" s="33" t="s">
        <v>55</v>
      </c>
      <c r="E17" s="33" t="s">
        <v>56</v>
      </c>
      <c r="F17" s="33" t="s">
        <v>57</v>
      </c>
      <c r="G17" s="33" t="s">
        <v>58</v>
      </c>
      <c r="H17" s="33" t="s">
        <v>59</v>
      </c>
      <c r="I17" s="33" t="s">
        <v>60</v>
      </c>
      <c r="J17" s="33" t="s">
        <v>61</v>
      </c>
      <c r="K17" s="33" t="s">
        <v>112</v>
      </c>
      <c r="L17" s="33" t="s">
        <v>113</v>
      </c>
      <c r="M17" s="33" t="s">
        <v>114</v>
      </c>
      <c r="N17" s="41">
        <f>666</f>
        <v>666</v>
      </c>
      <c r="O17" s="34">
        <f>8459000</f>
        <v>8459000</v>
      </c>
      <c r="P17" s="33" t="s">
        <v>65</v>
      </c>
      <c r="Q17" s="35">
        <f>10.05</f>
        <v>10.050000000000001</v>
      </c>
      <c r="R17" s="35">
        <f>1039.25</f>
        <v>1039.25</v>
      </c>
      <c r="S17" s="36">
        <f>66.3</f>
        <v>66.3</v>
      </c>
      <c r="T17" s="36">
        <f>0.6</f>
        <v>0.6</v>
      </c>
      <c r="U17" s="39">
        <f>85000000</f>
        <v>85000000</v>
      </c>
      <c r="V17" s="39">
        <f>8791000000</f>
        <v>8791000000</v>
      </c>
      <c r="W17" s="39">
        <f>0</f>
        <v>0</v>
      </c>
      <c r="X17" s="40">
        <f>0</f>
        <v>0</v>
      </c>
      <c r="Y17" s="33" t="s">
        <v>65</v>
      </c>
      <c r="Z17" s="35">
        <f>61</f>
        <v>61</v>
      </c>
      <c r="AA17" s="35">
        <f>1047.88</f>
        <v>1047.8800000000001</v>
      </c>
      <c r="AB17" s="36">
        <f>10.9</f>
        <v>10.9</v>
      </c>
      <c r="AC17" s="36">
        <f>0.6</f>
        <v>0.6</v>
      </c>
      <c r="AD17" s="39">
        <f>516000000</f>
        <v>516000000</v>
      </c>
      <c r="AE17" s="39">
        <f>8864000000</f>
        <v>8864000000</v>
      </c>
      <c r="AF17" s="39">
        <f>0</f>
        <v>0</v>
      </c>
      <c r="AG17" s="39">
        <f>0</f>
        <v>0</v>
      </c>
      <c r="AH17" s="33" t="s">
        <v>66</v>
      </c>
    </row>
    <row r="18" spans="1:34" x14ac:dyDescent="0.15">
      <c r="A18" s="33" t="s">
        <v>52</v>
      </c>
      <c r="B18" s="33" t="s">
        <v>115</v>
      </c>
      <c r="C18" s="33" t="s">
        <v>116</v>
      </c>
      <c r="D18" s="33" t="s">
        <v>117</v>
      </c>
      <c r="E18" s="33" t="s">
        <v>118</v>
      </c>
      <c r="F18" s="33" t="s">
        <v>119</v>
      </c>
      <c r="G18" s="33" t="s">
        <v>120</v>
      </c>
      <c r="H18" s="33"/>
      <c r="I18" s="33"/>
      <c r="J18" s="33" t="s">
        <v>97</v>
      </c>
      <c r="K18" s="33" t="s">
        <v>121</v>
      </c>
      <c r="L18" s="33" t="s">
        <v>122</v>
      </c>
      <c r="M18" s="33" t="s">
        <v>123</v>
      </c>
      <c r="N18" s="41">
        <f>297</f>
        <v>297</v>
      </c>
      <c r="O18" s="34">
        <f>12456000</f>
        <v>12456000</v>
      </c>
      <c r="P18" s="33" t="s">
        <v>124</v>
      </c>
      <c r="Q18" s="35">
        <f>-3.85</f>
        <v>-3.85</v>
      </c>
      <c r="R18" s="35">
        <f>224.47</f>
        <v>224.47</v>
      </c>
      <c r="S18" s="36" t="str">
        <f>"－"</f>
        <v>－</v>
      </c>
      <c r="T18" s="36">
        <f>1.3</f>
        <v>1.3</v>
      </c>
      <c r="U18" s="39">
        <f>-48000000</f>
        <v>-48000000</v>
      </c>
      <c r="V18" s="39">
        <f>2796000000</f>
        <v>2796000000</v>
      </c>
      <c r="W18" s="39">
        <f>0</f>
        <v>0</v>
      </c>
      <c r="X18" s="40">
        <f>0</f>
        <v>0</v>
      </c>
      <c r="Y18" s="33" t="s">
        <v>124</v>
      </c>
      <c r="Z18" s="35">
        <f>7.55</f>
        <v>7.55</v>
      </c>
      <c r="AA18" s="35">
        <f>217.08</f>
        <v>217.08</v>
      </c>
      <c r="AB18" s="36">
        <f>39.3</f>
        <v>39.299999999999997</v>
      </c>
      <c r="AC18" s="36">
        <f>1.4</f>
        <v>1.4</v>
      </c>
      <c r="AD18" s="39">
        <f>94000000</f>
        <v>94000000</v>
      </c>
      <c r="AE18" s="39">
        <f>2704000000</f>
        <v>2704000000</v>
      </c>
      <c r="AF18" s="39">
        <f>0</f>
        <v>0</v>
      </c>
      <c r="AG18" s="39">
        <f>0</f>
        <v>0</v>
      </c>
      <c r="AH18" s="33" t="s">
        <v>66</v>
      </c>
    </row>
    <row r="19" spans="1:34" x14ac:dyDescent="0.15">
      <c r="A19" s="33" t="s">
        <v>52</v>
      </c>
      <c r="B19" s="33" t="s">
        <v>125</v>
      </c>
      <c r="C19" s="33" t="s">
        <v>126</v>
      </c>
      <c r="D19" s="33" t="s">
        <v>127</v>
      </c>
      <c r="E19" s="33" t="s">
        <v>118</v>
      </c>
      <c r="F19" s="33" t="s">
        <v>119</v>
      </c>
      <c r="G19" s="33" t="s">
        <v>120</v>
      </c>
      <c r="H19" s="33"/>
      <c r="I19" s="33"/>
      <c r="J19" s="33" t="s">
        <v>97</v>
      </c>
      <c r="K19" s="33" t="s">
        <v>128</v>
      </c>
      <c r="L19" s="33" t="s">
        <v>129</v>
      </c>
      <c r="M19" s="33" t="s">
        <v>130</v>
      </c>
      <c r="N19" s="41">
        <f>827</f>
        <v>827</v>
      </c>
      <c r="O19" s="34">
        <f>7287000</f>
        <v>7287000</v>
      </c>
      <c r="P19" s="33" t="s">
        <v>86</v>
      </c>
      <c r="Q19" s="35">
        <f>41.31</f>
        <v>41.31</v>
      </c>
      <c r="R19" s="35">
        <f>287.77</f>
        <v>287.77</v>
      </c>
      <c r="S19" s="36">
        <f>20</f>
        <v>20</v>
      </c>
      <c r="T19" s="36">
        <f>2.9</f>
        <v>2.9</v>
      </c>
      <c r="U19" s="39">
        <f>301000000</f>
        <v>301000000</v>
      </c>
      <c r="V19" s="39">
        <f>2097000000</f>
        <v>2097000000</v>
      </c>
      <c r="W19" s="39">
        <f>0</f>
        <v>0</v>
      </c>
      <c r="X19" s="40">
        <f>0</f>
        <v>0</v>
      </c>
      <c r="Y19" s="33" t="s">
        <v>86</v>
      </c>
      <c r="Z19" s="35">
        <f>41.31</f>
        <v>41.31</v>
      </c>
      <c r="AA19" s="35">
        <f>287.77</f>
        <v>287.77</v>
      </c>
      <c r="AB19" s="36">
        <f>20</f>
        <v>20</v>
      </c>
      <c r="AC19" s="36">
        <f>2.9</f>
        <v>2.9</v>
      </c>
      <c r="AD19" s="39">
        <f>301000000</f>
        <v>301000000</v>
      </c>
      <c r="AE19" s="39">
        <f>2097000000</f>
        <v>2097000000</v>
      </c>
      <c r="AF19" s="39">
        <f>0</f>
        <v>0</v>
      </c>
      <c r="AG19" s="39">
        <f>0</f>
        <v>0</v>
      </c>
      <c r="AH19" s="33" t="s">
        <v>131</v>
      </c>
    </row>
    <row r="20" spans="1:34" x14ac:dyDescent="0.15">
      <c r="A20" s="33" t="s">
        <v>52</v>
      </c>
      <c r="B20" s="33" t="s">
        <v>94</v>
      </c>
      <c r="C20" s="33" t="s">
        <v>95</v>
      </c>
      <c r="D20" s="33" t="s">
        <v>96</v>
      </c>
      <c r="E20" s="33" t="s">
        <v>118</v>
      </c>
      <c r="F20" s="33" t="s">
        <v>119</v>
      </c>
      <c r="G20" s="33" t="s">
        <v>120</v>
      </c>
      <c r="H20" s="33"/>
      <c r="I20" s="33"/>
      <c r="J20" s="33" t="s">
        <v>97</v>
      </c>
      <c r="K20" s="33" t="s">
        <v>132</v>
      </c>
      <c r="L20" s="33" t="s">
        <v>133</v>
      </c>
      <c r="M20" s="33" t="s">
        <v>134</v>
      </c>
      <c r="N20" s="41">
        <f>1330</f>
        <v>1330</v>
      </c>
      <c r="O20" s="34">
        <f>27235200</f>
        <v>27235200</v>
      </c>
      <c r="P20" s="33" t="s">
        <v>135</v>
      </c>
      <c r="Q20" s="35">
        <f>97.92</f>
        <v>97.92</v>
      </c>
      <c r="R20" s="35">
        <f>584.87</f>
        <v>584.87</v>
      </c>
      <c r="S20" s="36">
        <f>13.6</f>
        <v>13.6</v>
      </c>
      <c r="T20" s="36">
        <f>2.3</f>
        <v>2.2999999999999998</v>
      </c>
      <c r="U20" s="39">
        <f>2667000000</f>
        <v>2667000000</v>
      </c>
      <c r="V20" s="39">
        <f>15929000000</f>
        <v>15929000000</v>
      </c>
      <c r="W20" s="39">
        <f>0</f>
        <v>0</v>
      </c>
      <c r="X20" s="40">
        <f>0</f>
        <v>0</v>
      </c>
      <c r="Y20" s="33" t="s">
        <v>135</v>
      </c>
      <c r="Z20" s="35">
        <f>1.32</f>
        <v>1.32</v>
      </c>
      <c r="AA20" s="35">
        <f>420.82</f>
        <v>420.82</v>
      </c>
      <c r="AB20" s="36">
        <f>1007.6</f>
        <v>1007.6</v>
      </c>
      <c r="AC20" s="36">
        <f>3.2</f>
        <v>3.2</v>
      </c>
      <c r="AD20" s="39">
        <f>36000000</f>
        <v>36000000</v>
      </c>
      <c r="AE20" s="39">
        <f>11461000000</f>
        <v>11461000000</v>
      </c>
      <c r="AF20" s="39">
        <f>0</f>
        <v>0</v>
      </c>
      <c r="AG20" s="39">
        <f>0</f>
        <v>0</v>
      </c>
      <c r="AH20" s="33" t="s">
        <v>66</v>
      </c>
    </row>
    <row r="21" spans="1:34" x14ac:dyDescent="0.15">
      <c r="A21" s="33" t="s">
        <v>52</v>
      </c>
      <c r="B21" s="33" t="s">
        <v>53</v>
      </c>
      <c r="C21" s="33" t="s">
        <v>54</v>
      </c>
      <c r="D21" s="33" t="s">
        <v>55</v>
      </c>
      <c r="E21" s="33" t="s">
        <v>118</v>
      </c>
      <c r="F21" s="33" t="s">
        <v>119</v>
      </c>
      <c r="G21" s="33" t="s">
        <v>120</v>
      </c>
      <c r="H21" s="33" t="s">
        <v>59</v>
      </c>
      <c r="I21" s="33" t="s">
        <v>60</v>
      </c>
      <c r="J21" s="33" t="s">
        <v>61</v>
      </c>
      <c r="K21" s="33" t="s">
        <v>136</v>
      </c>
      <c r="L21" s="33" t="s">
        <v>137</v>
      </c>
      <c r="M21" s="33" t="s">
        <v>138</v>
      </c>
      <c r="N21" s="41">
        <f>1920</f>
        <v>1920</v>
      </c>
      <c r="O21" s="34">
        <f>13575000</f>
        <v>13575000</v>
      </c>
      <c r="P21" s="33" t="s">
        <v>124</v>
      </c>
      <c r="Q21" s="35">
        <f>169.65</f>
        <v>169.65</v>
      </c>
      <c r="R21" s="35">
        <f>1501.51</f>
        <v>1501.51</v>
      </c>
      <c r="S21" s="36">
        <f>11.3</f>
        <v>11.3</v>
      </c>
      <c r="T21" s="36">
        <f>1.3</f>
        <v>1.3</v>
      </c>
      <c r="U21" s="39">
        <f>2303000000</f>
        <v>2303000000</v>
      </c>
      <c r="V21" s="39">
        <f>20383000000</f>
        <v>20383000000</v>
      </c>
      <c r="W21" s="39">
        <f>0</f>
        <v>0</v>
      </c>
      <c r="X21" s="40">
        <f>0</f>
        <v>0</v>
      </c>
      <c r="Y21" s="33" t="s">
        <v>124</v>
      </c>
      <c r="Z21" s="35">
        <f>220.41</f>
        <v>220.41</v>
      </c>
      <c r="AA21" s="35">
        <f>1319.12</f>
        <v>1319.12</v>
      </c>
      <c r="AB21" s="36">
        <f>8.7</f>
        <v>8.6999999999999993</v>
      </c>
      <c r="AC21" s="36">
        <f>1.5</f>
        <v>1.5</v>
      </c>
      <c r="AD21" s="39">
        <f>2992000000</f>
        <v>2992000000</v>
      </c>
      <c r="AE21" s="39">
        <f>17907000000</f>
        <v>17907000000</v>
      </c>
      <c r="AF21" s="39">
        <f>0</f>
        <v>0</v>
      </c>
      <c r="AG21" s="39">
        <f>0</f>
        <v>0</v>
      </c>
      <c r="AH21" s="33" t="s">
        <v>66</v>
      </c>
    </row>
    <row r="22" spans="1:34" x14ac:dyDescent="0.15">
      <c r="A22" s="33" t="s">
        <v>52</v>
      </c>
      <c r="B22" s="33" t="s">
        <v>53</v>
      </c>
      <c r="C22" s="33" t="s">
        <v>54</v>
      </c>
      <c r="D22" s="33" t="s">
        <v>55</v>
      </c>
      <c r="E22" s="33" t="s">
        <v>118</v>
      </c>
      <c r="F22" s="33" t="s">
        <v>119</v>
      </c>
      <c r="G22" s="33" t="s">
        <v>120</v>
      </c>
      <c r="H22" s="33" t="s">
        <v>59</v>
      </c>
      <c r="I22" s="33" t="s">
        <v>60</v>
      </c>
      <c r="J22" s="33" t="s">
        <v>87</v>
      </c>
      <c r="K22" s="33" t="s">
        <v>139</v>
      </c>
      <c r="L22" s="33" t="s">
        <v>140</v>
      </c>
      <c r="M22" s="33" t="s">
        <v>141</v>
      </c>
      <c r="N22" s="41">
        <f>3790</f>
        <v>3790</v>
      </c>
      <c r="O22" s="34">
        <f>56745180</f>
        <v>56745180</v>
      </c>
      <c r="P22" s="33" t="s">
        <v>104</v>
      </c>
      <c r="Q22" s="35">
        <f>142.39</f>
        <v>142.38999999999999</v>
      </c>
      <c r="R22" s="35">
        <f>1376.47</f>
        <v>1376.47</v>
      </c>
      <c r="S22" s="36">
        <f>26.6</f>
        <v>26.6</v>
      </c>
      <c r="T22" s="36">
        <f>2.8</f>
        <v>2.8</v>
      </c>
      <c r="U22" s="39">
        <f>8080000000</f>
        <v>8080000000</v>
      </c>
      <c r="V22" s="39">
        <f>78108000000</f>
        <v>78108000000</v>
      </c>
      <c r="W22" s="39">
        <f>0</f>
        <v>0</v>
      </c>
      <c r="X22" s="40">
        <f>0</f>
        <v>0</v>
      </c>
      <c r="Y22" s="33" t="s">
        <v>104</v>
      </c>
      <c r="Z22" s="35">
        <f>68.29</f>
        <v>68.290000000000006</v>
      </c>
      <c r="AA22" s="35">
        <f>747.22</f>
        <v>747.22</v>
      </c>
      <c r="AB22" s="36">
        <f>55.5</f>
        <v>55.5</v>
      </c>
      <c r="AC22" s="36">
        <f>5.1</f>
        <v>5.0999999999999996</v>
      </c>
      <c r="AD22" s="39">
        <f>3875000000</f>
        <v>3875000000</v>
      </c>
      <c r="AE22" s="39">
        <f>42401000000</f>
        <v>42401000000</v>
      </c>
      <c r="AF22" s="39">
        <f>0</f>
        <v>0</v>
      </c>
      <c r="AG22" s="39">
        <f>0</f>
        <v>0</v>
      </c>
      <c r="AH22" s="33" t="s">
        <v>66</v>
      </c>
    </row>
    <row r="23" spans="1:34" x14ac:dyDescent="0.15">
      <c r="A23" s="33" t="s">
        <v>52</v>
      </c>
      <c r="B23" s="33" t="s">
        <v>53</v>
      </c>
      <c r="C23" s="33" t="s">
        <v>54</v>
      </c>
      <c r="D23" s="33" t="s">
        <v>55</v>
      </c>
      <c r="E23" s="33" t="s">
        <v>118</v>
      </c>
      <c r="F23" s="33" t="s">
        <v>119</v>
      </c>
      <c r="G23" s="33" t="s">
        <v>120</v>
      </c>
      <c r="H23" s="33" t="s">
        <v>59</v>
      </c>
      <c r="I23" s="33" t="s">
        <v>60</v>
      </c>
      <c r="J23" s="33" t="s">
        <v>87</v>
      </c>
      <c r="K23" s="33" t="s">
        <v>142</v>
      </c>
      <c r="L23" s="33" t="s">
        <v>143</v>
      </c>
      <c r="M23" s="33" t="s">
        <v>144</v>
      </c>
      <c r="N23" s="41">
        <f>1629</f>
        <v>1629</v>
      </c>
      <c r="O23" s="34">
        <f>108325329</f>
        <v>108325329</v>
      </c>
      <c r="P23" s="33" t="s">
        <v>65</v>
      </c>
      <c r="Q23" s="35">
        <f>237.35</f>
        <v>237.35</v>
      </c>
      <c r="R23" s="35">
        <f>1842.22</f>
        <v>1842.22</v>
      </c>
      <c r="S23" s="36">
        <f>6.9</f>
        <v>6.9</v>
      </c>
      <c r="T23" s="36">
        <f>0.9</f>
        <v>0.9</v>
      </c>
      <c r="U23" s="39">
        <f>25711000000</f>
        <v>25711000000</v>
      </c>
      <c r="V23" s="39">
        <f>199559000000</f>
        <v>199559000000</v>
      </c>
      <c r="W23" s="39">
        <f>0</f>
        <v>0</v>
      </c>
      <c r="X23" s="40">
        <f>0</f>
        <v>0</v>
      </c>
      <c r="Y23" s="33" t="s">
        <v>76</v>
      </c>
      <c r="Z23" s="35">
        <f>0</f>
        <v>0</v>
      </c>
      <c r="AA23" s="35">
        <f>0</f>
        <v>0</v>
      </c>
      <c r="AB23" s="36" t="str">
        <f>"－"</f>
        <v>－</v>
      </c>
      <c r="AC23" s="36" t="str">
        <f>"－"</f>
        <v>－</v>
      </c>
      <c r="AD23" s="39"/>
      <c r="AE23" s="39"/>
      <c r="AF23" s="39">
        <f>0</f>
        <v>0</v>
      </c>
      <c r="AG23" s="39">
        <f>0</f>
        <v>0</v>
      </c>
      <c r="AH23" s="33" t="s">
        <v>66</v>
      </c>
    </row>
    <row r="24" spans="1:34" x14ac:dyDescent="0.15">
      <c r="A24" s="33" t="s">
        <v>52</v>
      </c>
      <c r="B24" s="33" t="s">
        <v>94</v>
      </c>
      <c r="C24" s="33" t="s">
        <v>95</v>
      </c>
      <c r="D24" s="33" t="s">
        <v>96</v>
      </c>
      <c r="E24" s="33" t="s">
        <v>118</v>
      </c>
      <c r="F24" s="33" t="s">
        <v>119</v>
      </c>
      <c r="G24" s="33" t="s">
        <v>120</v>
      </c>
      <c r="H24" s="33"/>
      <c r="I24" s="33"/>
      <c r="J24" s="33" t="s">
        <v>97</v>
      </c>
      <c r="K24" s="33" t="s">
        <v>145</v>
      </c>
      <c r="L24" s="33" t="s">
        <v>146</v>
      </c>
      <c r="M24" s="33" t="s">
        <v>147</v>
      </c>
      <c r="N24" s="41">
        <f>263</f>
        <v>263</v>
      </c>
      <c r="O24" s="34">
        <f>20010529</f>
        <v>20010529</v>
      </c>
      <c r="P24" s="33" t="s">
        <v>148</v>
      </c>
      <c r="Q24" s="35">
        <f>-3.7</f>
        <v>-3.7</v>
      </c>
      <c r="R24" s="35">
        <f>197.65</f>
        <v>197.65</v>
      </c>
      <c r="S24" s="36" t="str">
        <f>"－"</f>
        <v>－</v>
      </c>
      <c r="T24" s="36">
        <f>1.3</f>
        <v>1.3</v>
      </c>
      <c r="U24" s="39">
        <f>-74000000</f>
        <v>-74000000</v>
      </c>
      <c r="V24" s="39">
        <f>3955000000</f>
        <v>3955000000</v>
      </c>
      <c r="W24" s="39">
        <f>0</f>
        <v>0</v>
      </c>
      <c r="X24" s="40">
        <f>0</f>
        <v>0</v>
      </c>
      <c r="Y24" s="33" t="s">
        <v>148</v>
      </c>
      <c r="Z24" s="35">
        <f>13.54</f>
        <v>13.54</v>
      </c>
      <c r="AA24" s="35">
        <f>205.99</f>
        <v>205.99</v>
      </c>
      <c r="AB24" s="36">
        <f>19.4</f>
        <v>19.399999999999999</v>
      </c>
      <c r="AC24" s="36">
        <f>1.3</f>
        <v>1.3</v>
      </c>
      <c r="AD24" s="39">
        <f>271000000</f>
        <v>271000000</v>
      </c>
      <c r="AE24" s="39">
        <f>4122000000</f>
        <v>4122000000</v>
      </c>
      <c r="AF24" s="39">
        <f>0</f>
        <v>0</v>
      </c>
      <c r="AG24" s="39">
        <f>0</f>
        <v>0</v>
      </c>
      <c r="AH24" s="33" t="s">
        <v>66</v>
      </c>
    </row>
    <row r="25" spans="1:34" x14ac:dyDescent="0.15">
      <c r="A25" s="33" t="s">
        <v>52</v>
      </c>
      <c r="B25" s="33" t="s">
        <v>53</v>
      </c>
      <c r="C25" s="33" t="s">
        <v>54</v>
      </c>
      <c r="D25" s="33" t="s">
        <v>55</v>
      </c>
      <c r="E25" s="33" t="s">
        <v>118</v>
      </c>
      <c r="F25" s="33" t="s">
        <v>119</v>
      </c>
      <c r="G25" s="33" t="s">
        <v>120</v>
      </c>
      <c r="H25" s="33" t="s">
        <v>59</v>
      </c>
      <c r="I25" s="33" t="s">
        <v>60</v>
      </c>
      <c r="J25" s="33" t="s">
        <v>61</v>
      </c>
      <c r="K25" s="33" t="s">
        <v>149</v>
      </c>
      <c r="L25" s="33" t="s">
        <v>150</v>
      </c>
      <c r="M25" s="33" t="s">
        <v>151</v>
      </c>
      <c r="N25" s="41">
        <f>1392</f>
        <v>1392</v>
      </c>
      <c r="O25" s="34">
        <f>30055800</f>
        <v>30055800</v>
      </c>
      <c r="P25" s="33" t="s">
        <v>86</v>
      </c>
      <c r="Q25" s="35">
        <f>130.89</f>
        <v>130.88999999999999</v>
      </c>
      <c r="R25" s="35">
        <f>605.21</f>
        <v>605.21</v>
      </c>
      <c r="S25" s="36">
        <f>10.6</f>
        <v>10.6</v>
      </c>
      <c r="T25" s="36">
        <f>2.3</f>
        <v>2.2999999999999998</v>
      </c>
      <c r="U25" s="39">
        <f>3934000000</f>
        <v>3934000000</v>
      </c>
      <c r="V25" s="39">
        <f>18190000000</f>
        <v>18190000000</v>
      </c>
      <c r="W25" s="39">
        <f>0</f>
        <v>0</v>
      </c>
      <c r="X25" s="40">
        <f>0</f>
        <v>0</v>
      </c>
      <c r="Y25" s="33" t="s">
        <v>86</v>
      </c>
      <c r="Z25" s="35">
        <f>108.56</f>
        <v>108.56</v>
      </c>
      <c r="AA25" s="35">
        <f>507.22</f>
        <v>507.22</v>
      </c>
      <c r="AB25" s="36">
        <f>12.8</f>
        <v>12.8</v>
      </c>
      <c r="AC25" s="36">
        <f>2.7</f>
        <v>2.7</v>
      </c>
      <c r="AD25" s="39">
        <f>3263000000</f>
        <v>3263000000</v>
      </c>
      <c r="AE25" s="39">
        <f>15245000000</f>
        <v>15245000000</v>
      </c>
      <c r="AF25" s="39">
        <f>0</f>
        <v>0</v>
      </c>
      <c r="AG25" s="39">
        <f>0</f>
        <v>0</v>
      </c>
      <c r="AH25" s="33" t="s">
        <v>66</v>
      </c>
    </row>
  </sheetData>
  <mergeCells count="16">
    <mergeCell ref="A4:A5"/>
    <mergeCell ref="B4:B5"/>
    <mergeCell ref="P2:X2"/>
    <mergeCell ref="Y2:AH2"/>
    <mergeCell ref="C3:C5"/>
    <mergeCell ref="D3:D5"/>
    <mergeCell ref="F3:F5"/>
    <mergeCell ref="G3:G5"/>
    <mergeCell ref="H3:H5"/>
    <mergeCell ref="I3:I5"/>
    <mergeCell ref="L3:L5"/>
    <mergeCell ref="M3:M5"/>
    <mergeCell ref="S3:S4"/>
    <mergeCell ref="T3:T4"/>
    <mergeCell ref="AB3:AB4"/>
    <mergeCell ref="AC3:AC4"/>
  </mergeCells>
  <phoneticPr fontId="2"/>
  <conditionalFormatting sqref="D13:D16">
    <cfRule type="cellIs" dxfId="5" priority="7" stopIfTrue="1" operator="equal">
      <formula>" "</formula>
    </cfRule>
  </conditionalFormatting>
  <conditionalFormatting sqref="D18">
    <cfRule type="cellIs" dxfId="4" priority="6" stopIfTrue="1" operator="equal">
      <formula>" "</formula>
    </cfRule>
  </conditionalFormatting>
  <conditionalFormatting sqref="D19">
    <cfRule type="cellIs" dxfId="3" priority="5" stopIfTrue="1" operator="equal">
      <formula>" "</formula>
    </cfRule>
  </conditionalFormatting>
  <conditionalFormatting sqref="D20">
    <cfRule type="cellIs" dxfId="2" priority="4" stopIfTrue="1" operator="equal">
      <formula>" "</formula>
    </cfRule>
  </conditionalFormatting>
  <conditionalFormatting sqref="D21">
    <cfRule type="cellIs" dxfId="1" priority="3" stopIfTrue="1" operator="equal">
      <formula>" "</formula>
    </cfRule>
  </conditionalFormatting>
  <conditionalFormatting sqref="D25">
    <cfRule type="cellIs" dxfId="0" priority="2" stopIfTrue="1" operator="equal">
      <formula>" "</formula>
    </cfRule>
  </conditionalFormatting>
  <pageMargins left="0.23622047244094491" right="0.23622047244094491" top="0.35433070866141736" bottom="0.35433070866141736" header="0.11811023622047245" footer="0.11811023622047245"/>
  <pageSetup paperSize="9" scale="31" fitToHeight="0" orientation="landscape" r:id="rId1"/>
  <headerFooter>
    <oddFooter>&amp;C&amp;P/&amp;N&amp;RCopyright (c) Tokyo Stock Exchange, Inc. All Rights Reserved.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PERPBR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久保 栄冶</dc:creator>
  <cp:lastModifiedBy>Tahara, Kazuki (田原 和規)</cp:lastModifiedBy>
  <dcterms:created xsi:type="dcterms:W3CDTF">2019-02-08T03:53:36Z</dcterms:created>
  <dcterms:modified xsi:type="dcterms:W3CDTF">2020-02-26T05:34:01Z</dcterms:modified>
</cp:coreProperties>
</file>